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5th sem project\"/>
    </mc:Choice>
  </mc:AlternateContent>
  <xr:revisionPtr revIDLastSave="0" documentId="13_ncr:1_{72B7138A-F7C8-46F0-A5CC-B51F2BB919B2}" xr6:coauthVersionLast="47" xr6:coauthVersionMax="47" xr10:uidLastSave="{00000000-0000-0000-0000-000000000000}"/>
  <bookViews>
    <workbookView xWindow="-120" yWindow="-120" windowWidth="20730" windowHeight="11760" tabRatio="660" xr2:uid="{0C316193-700D-4C70-85C6-E59201AF4C3A}"/>
  </bookViews>
  <sheets>
    <sheet name="Master Sheet" sheetId="13" r:id="rId1"/>
    <sheet name="0-5" sheetId="1" r:id="rId2"/>
    <sheet name="5-10" sheetId="2" r:id="rId3"/>
    <sheet name="10-15" sheetId="3" r:id="rId4"/>
    <sheet name="15-20" sheetId="4" r:id="rId5"/>
    <sheet name="20-25" sheetId="5" r:id="rId6"/>
    <sheet name="25-30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3" l="1"/>
  <c r="U6" i="13"/>
  <c r="U7" i="13"/>
  <c r="U8" i="13"/>
  <c r="U9" i="13"/>
  <c r="U4" i="13"/>
  <c r="R10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3" i="6"/>
  <c r="R98" i="6"/>
  <c r="M10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3" i="6"/>
  <c r="M100" i="6"/>
  <c r="R13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3" i="5"/>
  <c r="R135" i="5"/>
  <c r="M14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3" i="5"/>
  <c r="M135" i="5"/>
  <c r="R128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3" i="4"/>
  <c r="R125" i="4"/>
  <c r="M12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3" i="4"/>
  <c r="M126" i="4"/>
  <c r="R116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3" i="3"/>
  <c r="R113" i="3"/>
  <c r="M11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3" i="3"/>
  <c r="M113" i="3"/>
  <c r="T11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3" i="2"/>
  <c r="T108" i="2"/>
  <c r="N11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3" i="2"/>
  <c r="N109" i="2"/>
  <c r="S11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3" i="1"/>
  <c r="S114" i="1"/>
  <c r="P139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L3" i="1"/>
  <c r="K3" i="1"/>
  <c r="R9" i="13"/>
  <c r="O9" i="13"/>
  <c r="S8" i="13"/>
  <c r="R8" i="13"/>
  <c r="Q8" i="13"/>
  <c r="P8" i="13"/>
  <c r="O8" i="13"/>
  <c r="N8" i="13"/>
  <c r="F9" i="13"/>
  <c r="K8" i="13"/>
  <c r="J8" i="13"/>
  <c r="I8" i="13"/>
  <c r="H8" i="13"/>
  <c r="G8" i="13"/>
  <c r="M8" i="13"/>
  <c r="F8" i="13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J156" i="5" s="1"/>
  <c r="I155" i="5"/>
  <c r="I154" i="5"/>
  <c r="I153" i="5"/>
  <c r="I152" i="5"/>
  <c r="I151" i="5"/>
  <c r="I150" i="5"/>
  <c r="I149" i="5"/>
  <c r="I148" i="5"/>
  <c r="J148" i="5" s="1"/>
  <c r="I147" i="5"/>
  <c r="I146" i="5"/>
  <c r="I145" i="5"/>
  <c r="I144" i="5"/>
  <c r="I143" i="5"/>
  <c r="I142" i="5"/>
  <c r="I141" i="5"/>
  <c r="I140" i="5"/>
  <c r="J140" i="5" s="1"/>
  <c r="I139" i="5"/>
  <c r="I138" i="5"/>
  <c r="I137" i="5"/>
  <c r="I136" i="5"/>
  <c r="I135" i="5"/>
  <c r="I134" i="5"/>
  <c r="I133" i="5"/>
  <c r="I132" i="5"/>
  <c r="J132" i="5" s="1"/>
  <c r="I131" i="5"/>
  <c r="I130" i="5"/>
  <c r="I129" i="5"/>
  <c r="I128" i="5"/>
  <c r="Q127" i="5"/>
  <c r="I127" i="5"/>
  <c r="Q126" i="5"/>
  <c r="I126" i="5"/>
  <c r="J126" i="5" s="1"/>
  <c r="Q125" i="5"/>
  <c r="I125" i="5"/>
  <c r="Q124" i="5"/>
  <c r="I124" i="5"/>
  <c r="Q123" i="5"/>
  <c r="I123" i="5"/>
  <c r="Q122" i="5"/>
  <c r="I122" i="5"/>
  <c r="J122" i="5" s="1"/>
  <c r="Q121" i="5"/>
  <c r="I121" i="5"/>
  <c r="Q120" i="5"/>
  <c r="I120" i="5"/>
  <c r="Q119" i="5"/>
  <c r="I119" i="5"/>
  <c r="Q118" i="5"/>
  <c r="I118" i="5"/>
  <c r="J118" i="5" s="1"/>
  <c r="Q117" i="5"/>
  <c r="I117" i="5"/>
  <c r="Q116" i="5"/>
  <c r="I116" i="5"/>
  <c r="Q115" i="5"/>
  <c r="I115" i="5"/>
  <c r="Q114" i="5"/>
  <c r="I114" i="5"/>
  <c r="J114" i="5" s="1"/>
  <c r="Q113" i="5"/>
  <c r="I113" i="5"/>
  <c r="Q112" i="5"/>
  <c r="I112" i="5"/>
  <c r="Q111" i="5"/>
  <c r="I111" i="5"/>
  <c r="Q110" i="5"/>
  <c r="I110" i="5"/>
  <c r="J110" i="5" s="1"/>
  <c r="Q109" i="5"/>
  <c r="I109" i="5"/>
  <c r="Q108" i="5"/>
  <c r="I108" i="5"/>
  <c r="Q107" i="5"/>
  <c r="I107" i="5"/>
  <c r="Q106" i="5"/>
  <c r="I106" i="5"/>
  <c r="J106" i="5" s="1"/>
  <c r="Q105" i="5"/>
  <c r="I105" i="5"/>
  <c r="Q104" i="5"/>
  <c r="I104" i="5"/>
  <c r="Q103" i="5"/>
  <c r="I103" i="5"/>
  <c r="Q102" i="5"/>
  <c r="I102" i="5"/>
  <c r="J102" i="5" s="1"/>
  <c r="Q101" i="5"/>
  <c r="I101" i="5"/>
  <c r="Q100" i="5"/>
  <c r="I100" i="5"/>
  <c r="Q99" i="5"/>
  <c r="I99" i="5"/>
  <c r="Q98" i="5"/>
  <c r="I98" i="5"/>
  <c r="J98" i="5" s="1"/>
  <c r="Q97" i="5"/>
  <c r="I97" i="5"/>
  <c r="Q96" i="5"/>
  <c r="I96" i="5"/>
  <c r="Q95" i="5"/>
  <c r="I95" i="5"/>
  <c r="Q94" i="5"/>
  <c r="I94" i="5"/>
  <c r="J94" i="5" s="1"/>
  <c r="Q93" i="5"/>
  <c r="I93" i="5"/>
  <c r="Q92" i="5"/>
  <c r="I92" i="5"/>
  <c r="Q91" i="5"/>
  <c r="I91" i="5"/>
  <c r="Q90" i="5"/>
  <c r="I90" i="5"/>
  <c r="J90" i="5" s="1"/>
  <c r="Q89" i="5"/>
  <c r="I89" i="5"/>
  <c r="Q88" i="5"/>
  <c r="I88" i="5"/>
  <c r="Q87" i="5"/>
  <c r="I87" i="5"/>
  <c r="Q86" i="5"/>
  <c r="I86" i="5"/>
  <c r="J86" i="5" s="1"/>
  <c r="Q85" i="5"/>
  <c r="I85" i="5"/>
  <c r="Q84" i="5"/>
  <c r="I84" i="5"/>
  <c r="Q83" i="5"/>
  <c r="I83" i="5"/>
  <c r="Q82" i="5"/>
  <c r="I82" i="5"/>
  <c r="J82" i="5" s="1"/>
  <c r="Q81" i="5"/>
  <c r="I81" i="5"/>
  <c r="Q80" i="5"/>
  <c r="I80" i="5"/>
  <c r="Q79" i="5"/>
  <c r="I79" i="5"/>
  <c r="Q78" i="5"/>
  <c r="I78" i="5"/>
  <c r="J78" i="5" s="1"/>
  <c r="Q77" i="5"/>
  <c r="I77" i="5"/>
  <c r="Q76" i="5"/>
  <c r="I76" i="5"/>
  <c r="Q75" i="5"/>
  <c r="I75" i="5"/>
  <c r="Q74" i="5"/>
  <c r="I74" i="5"/>
  <c r="Q73" i="5"/>
  <c r="I73" i="5"/>
  <c r="Q72" i="5"/>
  <c r="I72" i="5"/>
  <c r="Q71" i="5"/>
  <c r="I71" i="5"/>
  <c r="Q70" i="5"/>
  <c r="I70" i="5"/>
  <c r="Q69" i="5"/>
  <c r="I69" i="5"/>
  <c r="Q68" i="5"/>
  <c r="I68" i="5"/>
  <c r="Q67" i="5"/>
  <c r="I67" i="5"/>
  <c r="Q66" i="5"/>
  <c r="I66" i="5"/>
  <c r="Q65" i="5"/>
  <c r="I65" i="5"/>
  <c r="Q64" i="5"/>
  <c r="I64" i="5"/>
  <c r="Q63" i="5"/>
  <c r="I63" i="5"/>
  <c r="Q62" i="5"/>
  <c r="I62" i="5"/>
  <c r="Q61" i="5"/>
  <c r="I61" i="5"/>
  <c r="Q60" i="5"/>
  <c r="I60" i="5"/>
  <c r="Q59" i="5"/>
  <c r="I59" i="5"/>
  <c r="Q58" i="5"/>
  <c r="I58" i="5"/>
  <c r="Q57" i="5"/>
  <c r="I57" i="5"/>
  <c r="Q56" i="5"/>
  <c r="I56" i="5"/>
  <c r="Q55" i="5"/>
  <c r="I55" i="5"/>
  <c r="Q54" i="5"/>
  <c r="I54" i="5"/>
  <c r="Q53" i="5"/>
  <c r="I53" i="5"/>
  <c r="Q52" i="5"/>
  <c r="I52" i="5"/>
  <c r="Q51" i="5"/>
  <c r="I51" i="5"/>
  <c r="Q50" i="5"/>
  <c r="I50" i="5"/>
  <c r="Q49" i="5"/>
  <c r="I49" i="5"/>
  <c r="Q48" i="5"/>
  <c r="I48" i="5"/>
  <c r="Q47" i="5"/>
  <c r="I47" i="5"/>
  <c r="Q46" i="5"/>
  <c r="I46" i="5"/>
  <c r="Q45" i="5"/>
  <c r="I45" i="5"/>
  <c r="Q44" i="5"/>
  <c r="I44" i="5"/>
  <c r="Q43" i="5"/>
  <c r="I43" i="5"/>
  <c r="Q42" i="5"/>
  <c r="I42" i="5"/>
  <c r="Q41" i="5"/>
  <c r="I41" i="5"/>
  <c r="Q40" i="5"/>
  <c r="I40" i="5"/>
  <c r="Q39" i="5"/>
  <c r="I39" i="5"/>
  <c r="Q38" i="5"/>
  <c r="I38" i="5"/>
  <c r="Q37" i="5"/>
  <c r="I37" i="5"/>
  <c r="Q36" i="5"/>
  <c r="I36" i="5"/>
  <c r="Q35" i="5"/>
  <c r="I35" i="5"/>
  <c r="Q34" i="5"/>
  <c r="I34" i="5"/>
  <c r="Q33" i="5"/>
  <c r="I33" i="5"/>
  <c r="Q32" i="5"/>
  <c r="I32" i="5"/>
  <c r="Q31" i="5"/>
  <c r="I31" i="5"/>
  <c r="Q30" i="5"/>
  <c r="I30" i="5"/>
  <c r="Q29" i="5"/>
  <c r="I29" i="5"/>
  <c r="Q28" i="5"/>
  <c r="I28" i="5"/>
  <c r="Q27" i="5"/>
  <c r="I27" i="5"/>
  <c r="Q26" i="5"/>
  <c r="I26" i="5"/>
  <c r="Q25" i="5"/>
  <c r="I25" i="5"/>
  <c r="Q24" i="5"/>
  <c r="I24" i="5"/>
  <c r="Q23" i="5"/>
  <c r="I23" i="5"/>
  <c r="Q22" i="5"/>
  <c r="I22" i="5"/>
  <c r="Q21" i="5"/>
  <c r="I21" i="5"/>
  <c r="Q20" i="5"/>
  <c r="I20" i="5"/>
  <c r="Q19" i="5"/>
  <c r="I19" i="5"/>
  <c r="Q18" i="5"/>
  <c r="I18" i="5"/>
  <c r="Q17" i="5"/>
  <c r="I17" i="5"/>
  <c r="Q16" i="5"/>
  <c r="I16" i="5"/>
  <c r="Q15" i="5"/>
  <c r="I15" i="5"/>
  <c r="Q14" i="5"/>
  <c r="I14" i="5"/>
  <c r="Q13" i="5"/>
  <c r="I13" i="5"/>
  <c r="Q12" i="5"/>
  <c r="I12" i="5"/>
  <c r="Q11" i="5"/>
  <c r="I11" i="5"/>
  <c r="Q10" i="5"/>
  <c r="I10" i="5"/>
  <c r="Q9" i="5"/>
  <c r="I9" i="5"/>
  <c r="Q8" i="5"/>
  <c r="I8" i="5"/>
  <c r="Q7" i="5"/>
  <c r="I7" i="5"/>
  <c r="Q6" i="5"/>
  <c r="I6" i="5"/>
  <c r="Q5" i="5"/>
  <c r="I5" i="5"/>
  <c r="Q4" i="5"/>
  <c r="I4" i="5"/>
  <c r="Q3" i="5"/>
  <c r="I3" i="5"/>
  <c r="J165" i="5"/>
  <c r="J164" i="5"/>
  <c r="J157" i="5"/>
  <c r="J149" i="5"/>
  <c r="J141" i="5"/>
  <c r="J133" i="5"/>
  <c r="S126" i="5"/>
  <c r="U126" i="5" s="1"/>
  <c r="S122" i="5"/>
  <c r="U122" i="5" s="1"/>
  <c r="S118" i="5"/>
  <c r="U118" i="5" s="1"/>
  <c r="S106" i="5"/>
  <c r="U106" i="5" s="1"/>
  <c r="S7" i="13"/>
  <c r="R7" i="13"/>
  <c r="Q7" i="13"/>
  <c r="P7" i="13"/>
  <c r="O7" i="13"/>
  <c r="N7" i="13"/>
  <c r="M7" i="13"/>
  <c r="K7" i="13"/>
  <c r="J7" i="13"/>
  <c r="I7" i="13"/>
  <c r="H7" i="13"/>
  <c r="G7" i="13"/>
  <c r="F7" i="13"/>
  <c r="E7" i="13"/>
  <c r="S6" i="13"/>
  <c r="R6" i="13"/>
  <c r="Q6" i="13"/>
  <c r="P6" i="13"/>
  <c r="O6" i="13"/>
  <c r="N6" i="13"/>
  <c r="M6" i="13"/>
  <c r="K6" i="13"/>
  <c r="J6" i="13"/>
  <c r="I6" i="13"/>
  <c r="H6" i="13"/>
  <c r="G6" i="13"/>
  <c r="F6" i="13"/>
  <c r="E6" i="13"/>
  <c r="S5" i="13"/>
  <c r="R5" i="13"/>
  <c r="Q5" i="13"/>
  <c r="P5" i="13"/>
  <c r="O5" i="13"/>
  <c r="N5" i="13"/>
  <c r="M5" i="13"/>
  <c r="K5" i="13"/>
  <c r="J5" i="13"/>
  <c r="I5" i="13"/>
  <c r="H5" i="13"/>
  <c r="F5" i="13"/>
  <c r="E5" i="13"/>
  <c r="F4" i="13"/>
  <c r="D6" i="13"/>
  <c r="B7" i="13"/>
  <c r="C6" i="13"/>
  <c r="B6" i="13"/>
  <c r="C5" i="13"/>
  <c r="B5" i="13"/>
  <c r="D5" i="13" s="1"/>
  <c r="I178" i="6"/>
  <c r="I177" i="6"/>
  <c r="J177" i="6" s="1"/>
  <c r="I176" i="6"/>
  <c r="J176" i="6" s="1"/>
  <c r="I175" i="6"/>
  <c r="I174" i="6"/>
  <c r="I173" i="6"/>
  <c r="J173" i="6" s="1"/>
  <c r="I172" i="6"/>
  <c r="J172" i="6" s="1"/>
  <c r="I171" i="6"/>
  <c r="J171" i="6" s="1"/>
  <c r="I170" i="6"/>
  <c r="I169" i="6"/>
  <c r="I168" i="6"/>
  <c r="J168" i="6" s="1"/>
  <c r="I167" i="6"/>
  <c r="J167" i="6" s="1"/>
  <c r="I166" i="6"/>
  <c r="J166" i="6" s="1"/>
  <c r="I165" i="6"/>
  <c r="I164" i="6"/>
  <c r="I163" i="6"/>
  <c r="J163" i="6" s="1"/>
  <c r="I162" i="6"/>
  <c r="I161" i="6"/>
  <c r="J161" i="6" s="1"/>
  <c r="I160" i="6"/>
  <c r="J160" i="6" s="1"/>
  <c r="I159" i="6"/>
  <c r="I158" i="6"/>
  <c r="J158" i="6" s="1"/>
  <c r="I157" i="6"/>
  <c r="J157" i="6" s="1"/>
  <c r="I156" i="6"/>
  <c r="J156" i="6" s="1"/>
  <c r="I155" i="6"/>
  <c r="J155" i="6" s="1"/>
  <c r="I154" i="6"/>
  <c r="I153" i="6"/>
  <c r="J153" i="6" s="1"/>
  <c r="I152" i="6"/>
  <c r="I151" i="6"/>
  <c r="I150" i="6"/>
  <c r="I149" i="6"/>
  <c r="I148" i="6"/>
  <c r="J148" i="6" s="1"/>
  <c r="I147" i="6"/>
  <c r="J147" i="6" s="1"/>
  <c r="I146" i="6"/>
  <c r="I145" i="6"/>
  <c r="J145" i="6" s="1"/>
  <c r="I144" i="6"/>
  <c r="J144" i="6" s="1"/>
  <c r="I143" i="6"/>
  <c r="I142" i="6"/>
  <c r="J142" i="6" s="1"/>
  <c r="I141" i="6"/>
  <c r="J141" i="6" s="1"/>
  <c r="I140" i="6"/>
  <c r="J140" i="6" s="1"/>
  <c r="I139" i="6"/>
  <c r="J139" i="6" s="1"/>
  <c r="I138" i="6"/>
  <c r="I137" i="6"/>
  <c r="I136" i="6"/>
  <c r="J136" i="6" s="1"/>
  <c r="I135" i="6"/>
  <c r="I134" i="6"/>
  <c r="J134" i="6" s="1"/>
  <c r="I133" i="6"/>
  <c r="J133" i="6" s="1"/>
  <c r="I132" i="6"/>
  <c r="J132" i="6" s="1"/>
  <c r="I131" i="6"/>
  <c r="J131" i="6" s="1"/>
  <c r="I130" i="6"/>
  <c r="I129" i="6"/>
  <c r="J129" i="6" s="1"/>
  <c r="I128" i="6"/>
  <c r="J128" i="6" s="1"/>
  <c r="I127" i="6"/>
  <c r="I126" i="6"/>
  <c r="I125" i="6"/>
  <c r="J125" i="6" s="1"/>
  <c r="J9" i="13" s="1"/>
  <c r="I124" i="6"/>
  <c r="J124" i="6" s="1"/>
  <c r="I123" i="6"/>
  <c r="J123" i="6" s="1"/>
  <c r="I122" i="6"/>
  <c r="I121" i="6"/>
  <c r="I120" i="6"/>
  <c r="J120" i="6" s="1"/>
  <c r="I119" i="6"/>
  <c r="I118" i="6"/>
  <c r="J118" i="6" s="1"/>
  <c r="I117" i="6"/>
  <c r="J117" i="6" s="1"/>
  <c r="I116" i="6"/>
  <c r="J116" i="6" s="1"/>
  <c r="I115" i="6"/>
  <c r="J115" i="6" s="1"/>
  <c r="I114" i="6"/>
  <c r="I113" i="6"/>
  <c r="J113" i="6" s="1"/>
  <c r="I112" i="6"/>
  <c r="J112" i="6" s="1"/>
  <c r="I111" i="6"/>
  <c r="I110" i="6"/>
  <c r="J110" i="6" s="1"/>
  <c r="I109" i="6"/>
  <c r="J109" i="6" s="1"/>
  <c r="I108" i="6"/>
  <c r="J108" i="6" s="1"/>
  <c r="I107" i="6"/>
  <c r="J107" i="6" s="1"/>
  <c r="I106" i="6"/>
  <c r="I105" i="6"/>
  <c r="I104" i="6"/>
  <c r="J104" i="6" s="1"/>
  <c r="I103" i="6"/>
  <c r="I102" i="6"/>
  <c r="I101" i="6"/>
  <c r="I100" i="6"/>
  <c r="J100" i="6" s="1"/>
  <c r="I99" i="6"/>
  <c r="J99" i="6" s="1"/>
  <c r="I98" i="6"/>
  <c r="I97" i="6"/>
  <c r="J97" i="6" s="1"/>
  <c r="I96" i="6"/>
  <c r="I95" i="6"/>
  <c r="I94" i="6"/>
  <c r="J94" i="6" s="1"/>
  <c r="I93" i="6"/>
  <c r="J93" i="6" s="1"/>
  <c r="I92" i="6"/>
  <c r="J92" i="6" s="1"/>
  <c r="I91" i="6"/>
  <c r="J91" i="6" s="1"/>
  <c r="I90" i="6"/>
  <c r="Q89" i="6"/>
  <c r="I89" i="6"/>
  <c r="J89" i="6" s="1"/>
  <c r="Q88" i="6"/>
  <c r="I88" i="6"/>
  <c r="Q87" i="6"/>
  <c r="I87" i="6"/>
  <c r="Q86" i="6"/>
  <c r="S86" i="6" s="1"/>
  <c r="I86" i="6"/>
  <c r="Q85" i="6"/>
  <c r="S85" i="6" s="1"/>
  <c r="I85" i="6"/>
  <c r="J85" i="6" s="1"/>
  <c r="Q84" i="6"/>
  <c r="I84" i="6"/>
  <c r="J84" i="6" s="1"/>
  <c r="Q83" i="6"/>
  <c r="S83" i="6" s="1"/>
  <c r="I83" i="6"/>
  <c r="J83" i="6" s="1"/>
  <c r="Q82" i="6"/>
  <c r="S82" i="6" s="1"/>
  <c r="I82" i="6"/>
  <c r="Q81" i="6"/>
  <c r="S81" i="6" s="1"/>
  <c r="I81" i="6"/>
  <c r="Q80" i="6"/>
  <c r="I80" i="6"/>
  <c r="Q79" i="6"/>
  <c r="S79" i="6" s="1"/>
  <c r="I79" i="6"/>
  <c r="J79" i="6" s="1"/>
  <c r="Q78" i="6"/>
  <c r="S78" i="6" s="1"/>
  <c r="I78" i="6"/>
  <c r="Q77" i="6"/>
  <c r="S77" i="6" s="1"/>
  <c r="I77" i="6"/>
  <c r="J77" i="6" s="1"/>
  <c r="Q76" i="6"/>
  <c r="I76" i="6"/>
  <c r="Q75" i="6"/>
  <c r="S75" i="6" s="1"/>
  <c r="I75" i="6"/>
  <c r="J75" i="6" s="1"/>
  <c r="Q74" i="6"/>
  <c r="S74" i="6" s="1"/>
  <c r="I74" i="6"/>
  <c r="Q73" i="6"/>
  <c r="I73" i="6"/>
  <c r="J73" i="6" s="1"/>
  <c r="Q72" i="6"/>
  <c r="I72" i="6"/>
  <c r="J72" i="6" s="1"/>
  <c r="Q71" i="6"/>
  <c r="S71" i="6" s="1"/>
  <c r="I71" i="6"/>
  <c r="J71" i="6" s="1"/>
  <c r="Q70" i="6"/>
  <c r="S70" i="6" s="1"/>
  <c r="I70" i="6"/>
  <c r="Q69" i="6"/>
  <c r="S69" i="6" s="1"/>
  <c r="I69" i="6"/>
  <c r="Q68" i="6"/>
  <c r="I68" i="6"/>
  <c r="J68" i="6" s="1"/>
  <c r="Q67" i="6"/>
  <c r="S67" i="6" s="1"/>
  <c r="I67" i="6"/>
  <c r="J67" i="6" s="1"/>
  <c r="Q66" i="6"/>
  <c r="S66" i="6" s="1"/>
  <c r="I66" i="6"/>
  <c r="Q65" i="6"/>
  <c r="S65" i="6" s="1"/>
  <c r="I65" i="6"/>
  <c r="J65" i="6" s="1"/>
  <c r="Q64" i="6"/>
  <c r="I64" i="6"/>
  <c r="Q63" i="6"/>
  <c r="I63" i="6"/>
  <c r="J63" i="6" s="1"/>
  <c r="Q62" i="6"/>
  <c r="S62" i="6" s="1"/>
  <c r="I62" i="6"/>
  <c r="Q61" i="6"/>
  <c r="I61" i="6"/>
  <c r="J61" i="6" s="1"/>
  <c r="Q60" i="6"/>
  <c r="I60" i="6"/>
  <c r="J60" i="6" s="1"/>
  <c r="Q59" i="6"/>
  <c r="I59" i="6"/>
  <c r="J59" i="6" s="1"/>
  <c r="Q58" i="6"/>
  <c r="S58" i="6" s="1"/>
  <c r="I58" i="6"/>
  <c r="Q57" i="6"/>
  <c r="S57" i="6" s="1"/>
  <c r="I57" i="6"/>
  <c r="J57" i="6" s="1"/>
  <c r="Q56" i="6"/>
  <c r="I56" i="6"/>
  <c r="Q55" i="6"/>
  <c r="I55" i="6"/>
  <c r="J55" i="6" s="1"/>
  <c r="Q54" i="6"/>
  <c r="S54" i="6" s="1"/>
  <c r="I54" i="6"/>
  <c r="Q53" i="6"/>
  <c r="S53" i="6" s="1"/>
  <c r="I53" i="6"/>
  <c r="J53" i="6" s="1"/>
  <c r="Q52" i="6"/>
  <c r="I52" i="6"/>
  <c r="Q51" i="6"/>
  <c r="I51" i="6"/>
  <c r="Q50" i="6"/>
  <c r="S50" i="6" s="1"/>
  <c r="I50" i="6"/>
  <c r="I49" i="6"/>
  <c r="J49" i="6" s="1"/>
  <c r="Q48" i="6"/>
  <c r="S48" i="6" s="1"/>
  <c r="I48" i="6"/>
  <c r="Q47" i="6"/>
  <c r="S47" i="6" s="1"/>
  <c r="I47" i="6"/>
  <c r="J47" i="6" s="1"/>
  <c r="I46" i="6"/>
  <c r="J46" i="6" s="1"/>
  <c r="Q45" i="6"/>
  <c r="S45" i="6" s="1"/>
  <c r="I45" i="6"/>
  <c r="Q44" i="6"/>
  <c r="S44" i="6" s="1"/>
  <c r="I44" i="6"/>
  <c r="J44" i="6" s="1"/>
  <c r="Q43" i="6"/>
  <c r="I43" i="6"/>
  <c r="J43" i="6" s="1"/>
  <c r="Q42" i="6"/>
  <c r="S42" i="6" s="1"/>
  <c r="I42" i="6"/>
  <c r="J42" i="6" s="1"/>
  <c r="Q41" i="6"/>
  <c r="S41" i="6" s="1"/>
  <c r="I41" i="6"/>
  <c r="Q40" i="6"/>
  <c r="I40" i="6"/>
  <c r="J40" i="6" s="1"/>
  <c r="Q39" i="6"/>
  <c r="I39" i="6"/>
  <c r="I38" i="6"/>
  <c r="J38" i="6" s="1"/>
  <c r="Q37" i="6"/>
  <c r="S37" i="6" s="1"/>
  <c r="I37" i="6"/>
  <c r="J37" i="6" s="1"/>
  <c r="I36" i="6"/>
  <c r="I35" i="6"/>
  <c r="Q34" i="6"/>
  <c r="S34" i="6" s="1"/>
  <c r="I34" i="6"/>
  <c r="Q33" i="6"/>
  <c r="I33" i="6"/>
  <c r="J33" i="6" s="1"/>
  <c r="Q32" i="6"/>
  <c r="S32" i="6" s="1"/>
  <c r="I32" i="6"/>
  <c r="J32" i="6" s="1"/>
  <c r="Q31" i="6"/>
  <c r="I31" i="6"/>
  <c r="J31" i="6" s="1"/>
  <c r="Q30" i="6"/>
  <c r="S30" i="6" s="1"/>
  <c r="I30" i="6"/>
  <c r="Q29" i="6"/>
  <c r="S29" i="6" s="1"/>
  <c r="I29" i="6"/>
  <c r="J29" i="6" s="1"/>
  <c r="Q28" i="6"/>
  <c r="S28" i="6" s="1"/>
  <c r="I28" i="6"/>
  <c r="J28" i="6" s="1"/>
  <c r="Q27" i="6"/>
  <c r="I27" i="6"/>
  <c r="I26" i="6"/>
  <c r="J26" i="6" s="1"/>
  <c r="Q25" i="6"/>
  <c r="I25" i="6"/>
  <c r="J25" i="6" s="1"/>
  <c r="Q24" i="6"/>
  <c r="S24" i="6" s="1"/>
  <c r="I24" i="6"/>
  <c r="J24" i="6" s="1"/>
  <c r="Q23" i="6"/>
  <c r="S23" i="6" s="1"/>
  <c r="I23" i="6"/>
  <c r="I22" i="6"/>
  <c r="J22" i="6" s="1"/>
  <c r="Q21" i="6"/>
  <c r="I21" i="6"/>
  <c r="Q20" i="6"/>
  <c r="I20" i="6"/>
  <c r="J20" i="6" s="1"/>
  <c r="Q19" i="6"/>
  <c r="S19" i="6" s="1"/>
  <c r="I19" i="6"/>
  <c r="J19" i="6" s="1"/>
  <c r="Q18" i="6"/>
  <c r="I18" i="6"/>
  <c r="J18" i="6" s="1"/>
  <c r="I17" i="6"/>
  <c r="J17" i="6" s="1"/>
  <c r="I16" i="6"/>
  <c r="Q15" i="6"/>
  <c r="I15" i="6"/>
  <c r="J15" i="6" s="1"/>
  <c r="Q14" i="6"/>
  <c r="S14" i="6" s="1"/>
  <c r="I14" i="6"/>
  <c r="J14" i="6" s="1"/>
  <c r="Q13" i="6"/>
  <c r="I13" i="6"/>
  <c r="Q12" i="6"/>
  <c r="S12" i="6" s="1"/>
  <c r="I12" i="6"/>
  <c r="Q11" i="6"/>
  <c r="S11" i="6" s="1"/>
  <c r="I11" i="6"/>
  <c r="I10" i="6"/>
  <c r="J10" i="6" s="1"/>
  <c r="Q9" i="6"/>
  <c r="S9" i="6" s="1"/>
  <c r="I9" i="6"/>
  <c r="Q8" i="6"/>
  <c r="S8" i="6" s="1"/>
  <c r="I8" i="6"/>
  <c r="J8" i="6" s="1"/>
  <c r="Q7" i="6"/>
  <c r="I7" i="6"/>
  <c r="Q6" i="6"/>
  <c r="I6" i="6"/>
  <c r="Q5" i="6"/>
  <c r="S5" i="6" s="1"/>
  <c r="I5" i="6"/>
  <c r="Q4" i="6"/>
  <c r="I4" i="6"/>
  <c r="J4" i="6" s="1"/>
  <c r="E9" i="13" s="1"/>
  <c r="Q3" i="6"/>
  <c r="I3" i="6"/>
  <c r="J3" i="6" s="1"/>
  <c r="G9" i="13" s="1"/>
  <c r="J165" i="6"/>
  <c r="J164" i="6"/>
  <c r="J149" i="6"/>
  <c r="S87" i="6"/>
  <c r="J87" i="6"/>
  <c r="S59" i="6"/>
  <c r="S51" i="6"/>
  <c r="J51" i="6"/>
  <c r="J11" i="6"/>
  <c r="S6" i="6"/>
  <c r="J6" i="6"/>
  <c r="E201" i="6"/>
  <c r="E200" i="6"/>
  <c r="H200" i="6" s="1"/>
  <c r="E199" i="6"/>
  <c r="I199" i="6" s="1"/>
  <c r="E198" i="6"/>
  <c r="E197" i="6"/>
  <c r="E196" i="6"/>
  <c r="E195" i="6"/>
  <c r="E188" i="6"/>
  <c r="E187" i="6"/>
  <c r="I187" i="6" s="1"/>
  <c r="E186" i="6"/>
  <c r="I186" i="6" s="1"/>
  <c r="E185" i="6"/>
  <c r="I185" i="6" s="1"/>
  <c r="E184" i="6"/>
  <c r="E183" i="6"/>
  <c r="E182" i="6"/>
  <c r="G201" i="6"/>
  <c r="G200" i="6"/>
  <c r="G199" i="6"/>
  <c r="G198" i="6"/>
  <c r="G197" i="6"/>
  <c r="G196" i="6"/>
  <c r="G195" i="6"/>
  <c r="G188" i="6"/>
  <c r="G187" i="6"/>
  <c r="G186" i="6"/>
  <c r="G185" i="6"/>
  <c r="G184" i="6"/>
  <c r="G183" i="6"/>
  <c r="G182" i="6"/>
  <c r="E196" i="5"/>
  <c r="I196" i="5" s="1"/>
  <c r="E195" i="5"/>
  <c r="I195" i="5" s="1"/>
  <c r="E194" i="5"/>
  <c r="E193" i="5"/>
  <c r="I193" i="5" s="1"/>
  <c r="E192" i="5"/>
  <c r="E191" i="5"/>
  <c r="I191" i="5" s="1"/>
  <c r="E190" i="5"/>
  <c r="I190" i="5" s="1"/>
  <c r="E182" i="5"/>
  <c r="I182" i="5" s="1"/>
  <c r="E181" i="5"/>
  <c r="I181" i="5" s="1"/>
  <c r="E180" i="5"/>
  <c r="I180" i="5" s="1"/>
  <c r="E179" i="5"/>
  <c r="H179" i="5" s="1"/>
  <c r="E178" i="5"/>
  <c r="I178" i="5" s="1"/>
  <c r="E177" i="5"/>
  <c r="I177" i="5" s="1"/>
  <c r="E176" i="5"/>
  <c r="I176" i="5" s="1"/>
  <c r="I194" i="5"/>
  <c r="I192" i="5"/>
  <c r="G196" i="5"/>
  <c r="G195" i="5"/>
  <c r="G194" i="5"/>
  <c r="G193" i="5"/>
  <c r="G192" i="5"/>
  <c r="G191" i="5"/>
  <c r="G190" i="5"/>
  <c r="G182" i="5"/>
  <c r="G181" i="5"/>
  <c r="G180" i="5"/>
  <c r="G179" i="5"/>
  <c r="G178" i="5"/>
  <c r="G177" i="5"/>
  <c r="G176" i="5"/>
  <c r="G203" i="1"/>
  <c r="E203" i="1"/>
  <c r="I203" i="1" s="1"/>
  <c r="G189" i="1"/>
  <c r="E189" i="1"/>
  <c r="I189" i="1" s="1"/>
  <c r="E179" i="4"/>
  <c r="E178" i="4"/>
  <c r="E177" i="4"/>
  <c r="I177" i="4" s="1"/>
  <c r="E176" i="4"/>
  <c r="I176" i="4" s="1"/>
  <c r="E175" i="4"/>
  <c r="I175" i="4" s="1"/>
  <c r="E174" i="4"/>
  <c r="I174" i="4" s="1"/>
  <c r="E173" i="4"/>
  <c r="I173" i="4" s="1"/>
  <c r="E166" i="4"/>
  <c r="E165" i="4"/>
  <c r="E164" i="4"/>
  <c r="E163" i="4"/>
  <c r="E162" i="4"/>
  <c r="E161" i="4"/>
  <c r="E160" i="4"/>
  <c r="I160" i="4" s="1"/>
  <c r="G179" i="4"/>
  <c r="G178" i="4"/>
  <c r="G177" i="4"/>
  <c r="G176" i="4"/>
  <c r="G175" i="4"/>
  <c r="G174" i="4"/>
  <c r="G173" i="4"/>
  <c r="G166" i="4"/>
  <c r="I166" i="4" s="1"/>
  <c r="G165" i="4"/>
  <c r="G164" i="4"/>
  <c r="G163" i="4"/>
  <c r="G162" i="4"/>
  <c r="G161" i="4"/>
  <c r="G160" i="4"/>
  <c r="G195" i="3"/>
  <c r="E195" i="3"/>
  <c r="I195" i="3" s="1"/>
  <c r="I181" i="3"/>
  <c r="G181" i="3"/>
  <c r="G182" i="3"/>
  <c r="E181" i="3"/>
  <c r="H181" i="3" s="1"/>
  <c r="G168" i="2"/>
  <c r="E168" i="2"/>
  <c r="I168" i="2" s="1"/>
  <c r="G154" i="2"/>
  <c r="E154" i="2"/>
  <c r="I154" i="2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3" i="6"/>
  <c r="J5" i="6"/>
  <c r="J9" i="6"/>
  <c r="J16" i="6"/>
  <c r="J21" i="6"/>
  <c r="J34" i="6"/>
  <c r="J35" i="6"/>
  <c r="J36" i="6"/>
  <c r="J41" i="6"/>
  <c r="J50" i="6"/>
  <c r="J52" i="6"/>
  <c r="J54" i="6"/>
  <c r="J56" i="6"/>
  <c r="J58" i="6"/>
  <c r="J62" i="6"/>
  <c r="J64" i="6"/>
  <c r="J66" i="6"/>
  <c r="J69" i="6"/>
  <c r="J70" i="6"/>
  <c r="J74" i="6"/>
  <c r="J76" i="6"/>
  <c r="J78" i="6"/>
  <c r="J80" i="6"/>
  <c r="J81" i="6"/>
  <c r="J82" i="6"/>
  <c r="J86" i="6"/>
  <c r="J88" i="6"/>
  <c r="J90" i="6"/>
  <c r="J95" i="6"/>
  <c r="J96" i="6"/>
  <c r="J98" i="6"/>
  <c r="J101" i="6"/>
  <c r="J102" i="6"/>
  <c r="J103" i="6"/>
  <c r="J105" i="6"/>
  <c r="J106" i="6"/>
  <c r="J111" i="6"/>
  <c r="J114" i="6"/>
  <c r="J119" i="6"/>
  <c r="K9" i="13" s="1"/>
  <c r="J121" i="6"/>
  <c r="J122" i="6"/>
  <c r="J126" i="6"/>
  <c r="J127" i="6"/>
  <c r="J130" i="6"/>
  <c r="J135" i="6"/>
  <c r="J137" i="6"/>
  <c r="J138" i="6"/>
  <c r="J143" i="6"/>
  <c r="J146" i="6"/>
  <c r="J150" i="6"/>
  <c r="J151" i="6"/>
  <c r="J152" i="6"/>
  <c r="J154" i="6"/>
  <c r="J159" i="6"/>
  <c r="J162" i="6"/>
  <c r="J169" i="6"/>
  <c r="I9" i="13" s="1"/>
  <c r="J170" i="6"/>
  <c r="J174" i="6"/>
  <c r="J175" i="6"/>
  <c r="J178" i="6"/>
  <c r="T89" i="6"/>
  <c r="S89" i="6"/>
  <c r="P89" i="6"/>
  <c r="T88" i="6"/>
  <c r="S88" i="6"/>
  <c r="P88" i="6"/>
  <c r="T87" i="6"/>
  <c r="P87" i="6"/>
  <c r="T86" i="6"/>
  <c r="P86" i="6"/>
  <c r="T85" i="6"/>
  <c r="P85" i="6"/>
  <c r="T84" i="6"/>
  <c r="S84" i="6"/>
  <c r="P84" i="6"/>
  <c r="T83" i="6"/>
  <c r="P83" i="6"/>
  <c r="T82" i="6"/>
  <c r="P82" i="6"/>
  <c r="T81" i="6"/>
  <c r="P81" i="6"/>
  <c r="T80" i="6"/>
  <c r="S80" i="6"/>
  <c r="P80" i="6"/>
  <c r="T79" i="6"/>
  <c r="P79" i="6"/>
  <c r="T78" i="6"/>
  <c r="P78" i="6"/>
  <c r="T77" i="6"/>
  <c r="P77" i="6"/>
  <c r="T76" i="6"/>
  <c r="S76" i="6"/>
  <c r="P76" i="6"/>
  <c r="T75" i="6"/>
  <c r="P75" i="6"/>
  <c r="T74" i="6"/>
  <c r="P74" i="6"/>
  <c r="T73" i="6"/>
  <c r="S73" i="6"/>
  <c r="P73" i="6"/>
  <c r="T72" i="6"/>
  <c r="S72" i="6"/>
  <c r="P72" i="6"/>
  <c r="T71" i="6"/>
  <c r="P71" i="6"/>
  <c r="T70" i="6"/>
  <c r="P70" i="6"/>
  <c r="T69" i="6"/>
  <c r="P69" i="6"/>
  <c r="T68" i="6"/>
  <c r="S68" i="6"/>
  <c r="P68" i="6"/>
  <c r="T67" i="6"/>
  <c r="P67" i="6"/>
  <c r="T66" i="6"/>
  <c r="P66" i="6"/>
  <c r="T65" i="6"/>
  <c r="P65" i="6"/>
  <c r="T64" i="6"/>
  <c r="S64" i="6"/>
  <c r="P64" i="6"/>
  <c r="T63" i="6"/>
  <c r="S63" i="6"/>
  <c r="P63" i="6"/>
  <c r="T62" i="6"/>
  <c r="P62" i="6"/>
  <c r="T61" i="6"/>
  <c r="S61" i="6"/>
  <c r="P61" i="6"/>
  <c r="T60" i="6"/>
  <c r="S60" i="6"/>
  <c r="P60" i="6"/>
  <c r="T59" i="6"/>
  <c r="P59" i="6"/>
  <c r="T58" i="6"/>
  <c r="P58" i="6"/>
  <c r="T57" i="6"/>
  <c r="P57" i="6"/>
  <c r="T56" i="6"/>
  <c r="S56" i="6"/>
  <c r="P56" i="6"/>
  <c r="T55" i="6"/>
  <c r="S55" i="6"/>
  <c r="P55" i="6"/>
  <c r="T54" i="6"/>
  <c r="P54" i="6"/>
  <c r="T53" i="6"/>
  <c r="P53" i="6"/>
  <c r="T52" i="6"/>
  <c r="S52" i="6"/>
  <c r="P52" i="6"/>
  <c r="T51" i="6"/>
  <c r="P51" i="6"/>
  <c r="T50" i="6"/>
  <c r="P50" i="6"/>
  <c r="T49" i="6"/>
  <c r="S49" i="6"/>
  <c r="P49" i="6"/>
  <c r="T48" i="6"/>
  <c r="P48" i="6"/>
  <c r="J48" i="6"/>
  <c r="T47" i="6"/>
  <c r="P47" i="6"/>
  <c r="T46" i="6"/>
  <c r="S46" i="6"/>
  <c r="P46" i="6"/>
  <c r="T45" i="6"/>
  <c r="P45" i="6"/>
  <c r="J45" i="6"/>
  <c r="T44" i="6"/>
  <c r="P44" i="6"/>
  <c r="T43" i="6"/>
  <c r="S43" i="6"/>
  <c r="P43" i="6"/>
  <c r="T42" i="6"/>
  <c r="P42" i="6"/>
  <c r="T41" i="6"/>
  <c r="P41" i="6"/>
  <c r="T40" i="6"/>
  <c r="S40" i="6"/>
  <c r="P40" i="6"/>
  <c r="T39" i="6"/>
  <c r="S39" i="6"/>
  <c r="P39" i="6"/>
  <c r="J39" i="6"/>
  <c r="T38" i="6"/>
  <c r="S38" i="6"/>
  <c r="P38" i="6"/>
  <c r="T37" i="6"/>
  <c r="P37" i="6"/>
  <c r="T36" i="6"/>
  <c r="S36" i="6"/>
  <c r="P36" i="6"/>
  <c r="T35" i="6"/>
  <c r="S35" i="6"/>
  <c r="P35" i="6"/>
  <c r="T34" i="6"/>
  <c r="P34" i="6"/>
  <c r="T33" i="6"/>
  <c r="S33" i="6"/>
  <c r="P33" i="6"/>
  <c r="T32" i="6"/>
  <c r="P32" i="6"/>
  <c r="T31" i="6"/>
  <c r="S31" i="6"/>
  <c r="P31" i="6"/>
  <c r="T30" i="6"/>
  <c r="P30" i="6"/>
  <c r="J30" i="6"/>
  <c r="T29" i="6"/>
  <c r="P29" i="6"/>
  <c r="T28" i="6"/>
  <c r="P28" i="6"/>
  <c r="T27" i="6"/>
  <c r="S27" i="6"/>
  <c r="P27" i="6"/>
  <c r="J27" i="6"/>
  <c r="T26" i="6"/>
  <c r="S26" i="6"/>
  <c r="P26" i="6"/>
  <c r="T25" i="6"/>
  <c r="S25" i="6"/>
  <c r="P25" i="6"/>
  <c r="T24" i="6"/>
  <c r="P24" i="6"/>
  <c r="T23" i="6"/>
  <c r="P23" i="6"/>
  <c r="J23" i="6"/>
  <c r="T22" i="6"/>
  <c r="S22" i="6"/>
  <c r="P22" i="6"/>
  <c r="T21" i="6"/>
  <c r="S21" i="6"/>
  <c r="P21" i="6"/>
  <c r="T20" i="6"/>
  <c r="S20" i="6"/>
  <c r="P20" i="6"/>
  <c r="T19" i="6"/>
  <c r="P19" i="6"/>
  <c r="T18" i="6"/>
  <c r="S18" i="6"/>
  <c r="P18" i="6"/>
  <c r="T17" i="6"/>
  <c r="S17" i="6"/>
  <c r="P17" i="6"/>
  <c r="T16" i="6"/>
  <c r="S16" i="6"/>
  <c r="P16" i="6"/>
  <c r="T15" i="6"/>
  <c r="S15" i="6"/>
  <c r="P15" i="6"/>
  <c r="T14" i="6"/>
  <c r="P14" i="6"/>
  <c r="T13" i="6"/>
  <c r="S13" i="6"/>
  <c r="P13" i="6"/>
  <c r="J13" i="6"/>
  <c r="H9" i="13" s="1"/>
  <c r="T12" i="6"/>
  <c r="P12" i="6"/>
  <c r="J12" i="6"/>
  <c r="T11" i="6"/>
  <c r="P11" i="6"/>
  <c r="T10" i="6"/>
  <c r="S10" i="6"/>
  <c r="P10" i="6"/>
  <c r="T9" i="6"/>
  <c r="P9" i="6"/>
  <c r="T8" i="6"/>
  <c r="P8" i="6"/>
  <c r="T7" i="6"/>
  <c r="S7" i="6"/>
  <c r="P7" i="6"/>
  <c r="J7" i="6"/>
  <c r="T6" i="6"/>
  <c r="P6" i="6"/>
  <c r="T5" i="6"/>
  <c r="P5" i="6"/>
  <c r="T4" i="6"/>
  <c r="S4" i="6"/>
  <c r="P4" i="6"/>
  <c r="T3" i="6"/>
  <c r="S3" i="6"/>
  <c r="P3" i="6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S113" i="5"/>
  <c r="U113" i="5" s="1"/>
  <c r="S114" i="5"/>
  <c r="U114" i="5" s="1"/>
  <c r="S117" i="5"/>
  <c r="U117" i="5" s="1"/>
  <c r="S119" i="5"/>
  <c r="U119" i="5" s="1"/>
  <c r="S120" i="5"/>
  <c r="U120" i="5" s="1"/>
  <c r="S121" i="5"/>
  <c r="U121" i="5" s="1"/>
  <c r="S111" i="5"/>
  <c r="U111" i="5" s="1"/>
  <c r="S112" i="5"/>
  <c r="U112" i="5" s="1"/>
  <c r="S115" i="5"/>
  <c r="U115" i="5" s="1"/>
  <c r="S116" i="5"/>
  <c r="U116" i="5" s="1"/>
  <c r="S123" i="5"/>
  <c r="U123" i="5" s="1"/>
  <c r="S124" i="5"/>
  <c r="U124" i="5" s="1"/>
  <c r="S125" i="5"/>
  <c r="U125" i="5" s="1"/>
  <c r="S127" i="5"/>
  <c r="U127" i="5" s="1"/>
  <c r="T109" i="5"/>
  <c r="T108" i="5"/>
  <c r="T107" i="5"/>
  <c r="T106" i="5"/>
  <c r="T105" i="5"/>
  <c r="T104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S110" i="5"/>
  <c r="U110" i="5" s="1"/>
  <c r="S109" i="5"/>
  <c r="U109" i="5" s="1"/>
  <c r="S108" i="5"/>
  <c r="U108" i="5" s="1"/>
  <c r="S107" i="5"/>
  <c r="U107" i="5" s="1"/>
  <c r="S105" i="5"/>
  <c r="U105" i="5" s="1"/>
  <c r="S104" i="5"/>
  <c r="U104" i="5" s="1"/>
  <c r="J171" i="5"/>
  <c r="J170" i="5"/>
  <c r="J169" i="5"/>
  <c r="J168" i="5"/>
  <c r="J167" i="5"/>
  <c r="J166" i="5"/>
  <c r="J163" i="5"/>
  <c r="J162" i="5"/>
  <c r="J161" i="5"/>
  <c r="J160" i="5"/>
  <c r="J159" i="5"/>
  <c r="J158" i="5"/>
  <c r="J155" i="5"/>
  <c r="J154" i="5"/>
  <c r="J153" i="5"/>
  <c r="J152" i="5"/>
  <c r="J151" i="5"/>
  <c r="J150" i="5"/>
  <c r="J147" i="5"/>
  <c r="J146" i="5"/>
  <c r="J145" i="5"/>
  <c r="J144" i="5"/>
  <c r="J143" i="5"/>
  <c r="J142" i="5"/>
  <c r="J139" i="5"/>
  <c r="J138" i="5"/>
  <c r="J137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J136" i="5"/>
  <c r="J135" i="5"/>
  <c r="J134" i="5"/>
  <c r="J131" i="5"/>
  <c r="J130" i="5"/>
  <c r="J129" i="5"/>
  <c r="J128" i="5"/>
  <c r="J127" i="5"/>
  <c r="J125" i="5"/>
  <c r="J124" i="5"/>
  <c r="J123" i="5"/>
  <c r="J121" i="5"/>
  <c r="J120" i="5"/>
  <c r="J119" i="5"/>
  <c r="J117" i="5"/>
  <c r="J116" i="5"/>
  <c r="J115" i="5"/>
  <c r="J113" i="5"/>
  <c r="J112" i="5"/>
  <c r="J111" i="5"/>
  <c r="J109" i="5"/>
  <c r="J108" i="5"/>
  <c r="J10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J105" i="5"/>
  <c r="J104" i="5"/>
  <c r="J103" i="5"/>
  <c r="J101" i="5"/>
  <c r="J100" i="5"/>
  <c r="J99" i="5"/>
  <c r="J97" i="5"/>
  <c r="J96" i="5"/>
  <c r="J95" i="5"/>
  <c r="J93" i="5"/>
  <c r="J92" i="5"/>
  <c r="J91" i="5"/>
  <c r="J89" i="5"/>
  <c r="J88" i="5"/>
  <c r="J87" i="5"/>
  <c r="J85" i="5"/>
  <c r="J84" i="5"/>
  <c r="J83" i="5"/>
  <c r="J81" i="5"/>
  <c r="J80" i="5"/>
  <c r="J7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J155" i="4"/>
  <c r="G155" i="4"/>
  <c r="J154" i="4"/>
  <c r="G154" i="4"/>
  <c r="J153" i="4"/>
  <c r="G153" i="4"/>
  <c r="J152" i="4"/>
  <c r="G152" i="4"/>
  <c r="J151" i="4"/>
  <c r="G151" i="4"/>
  <c r="J150" i="4"/>
  <c r="G150" i="4"/>
  <c r="J149" i="4"/>
  <c r="G149" i="4"/>
  <c r="J148" i="4"/>
  <c r="G148" i="4"/>
  <c r="J147" i="4"/>
  <c r="G147" i="4"/>
  <c r="J146" i="4"/>
  <c r="G146" i="4"/>
  <c r="J145" i="4"/>
  <c r="G145" i="4"/>
  <c r="J144" i="4"/>
  <c r="G144" i="4"/>
  <c r="J143" i="4"/>
  <c r="G143" i="4"/>
  <c r="J142" i="4"/>
  <c r="G142" i="4"/>
  <c r="J141" i="4"/>
  <c r="G141" i="4"/>
  <c r="J140" i="4"/>
  <c r="G140" i="4"/>
  <c r="J139" i="4"/>
  <c r="G139" i="4"/>
  <c r="J138" i="4"/>
  <c r="G138" i="4"/>
  <c r="J137" i="4"/>
  <c r="G137" i="4"/>
  <c r="J136" i="4"/>
  <c r="G136" i="4"/>
  <c r="J135" i="4"/>
  <c r="G135" i="4"/>
  <c r="J134" i="4"/>
  <c r="G134" i="4"/>
  <c r="J133" i="4"/>
  <c r="G133" i="4"/>
  <c r="J132" i="4"/>
  <c r="G132" i="4"/>
  <c r="J131" i="4"/>
  <c r="G131" i="4"/>
  <c r="J130" i="4"/>
  <c r="G130" i="4"/>
  <c r="J129" i="4"/>
  <c r="G129" i="4"/>
  <c r="J128" i="4"/>
  <c r="G128" i="4"/>
  <c r="J127" i="4"/>
  <c r="G127" i="4"/>
  <c r="J126" i="4"/>
  <c r="G126" i="4"/>
  <c r="J125" i="4"/>
  <c r="G125" i="4"/>
  <c r="J124" i="4"/>
  <c r="G124" i="4"/>
  <c r="J123" i="4"/>
  <c r="G123" i="4"/>
  <c r="J122" i="4"/>
  <c r="G122" i="4"/>
  <c r="J121" i="4"/>
  <c r="G121" i="4"/>
  <c r="J120" i="4"/>
  <c r="G120" i="4"/>
  <c r="J119" i="4"/>
  <c r="G119" i="4"/>
  <c r="J118" i="4"/>
  <c r="G118" i="4"/>
  <c r="J117" i="4"/>
  <c r="G117" i="4"/>
  <c r="T116" i="4"/>
  <c r="Q116" i="4"/>
  <c r="S116" i="4" s="1"/>
  <c r="U116" i="4" s="1"/>
  <c r="P116" i="4"/>
  <c r="J116" i="4"/>
  <c r="G116" i="4"/>
  <c r="T115" i="4"/>
  <c r="Q115" i="4"/>
  <c r="S115" i="4" s="1"/>
  <c r="P115" i="4"/>
  <c r="J115" i="4"/>
  <c r="G115" i="4"/>
  <c r="T114" i="4"/>
  <c r="Q114" i="4"/>
  <c r="S114" i="4" s="1"/>
  <c r="U114" i="4" s="1"/>
  <c r="P114" i="4"/>
  <c r="J114" i="4"/>
  <c r="G114" i="4"/>
  <c r="T113" i="4"/>
  <c r="Q113" i="4"/>
  <c r="S113" i="4" s="1"/>
  <c r="U113" i="4" s="1"/>
  <c r="P113" i="4"/>
  <c r="J113" i="4"/>
  <c r="G113" i="4"/>
  <c r="T112" i="4"/>
  <c r="Q112" i="4"/>
  <c r="S112" i="4" s="1"/>
  <c r="U112" i="4" s="1"/>
  <c r="P112" i="4"/>
  <c r="J112" i="4"/>
  <c r="G112" i="4"/>
  <c r="T111" i="4"/>
  <c r="Q111" i="4"/>
  <c r="S111" i="4" s="1"/>
  <c r="P111" i="4"/>
  <c r="J111" i="4"/>
  <c r="G111" i="4"/>
  <c r="T110" i="4"/>
  <c r="Q110" i="4"/>
  <c r="S110" i="4" s="1"/>
  <c r="U110" i="4" s="1"/>
  <c r="P110" i="4"/>
  <c r="J110" i="4"/>
  <c r="G110" i="4"/>
  <c r="T109" i="4"/>
  <c r="Q109" i="4"/>
  <c r="S109" i="4" s="1"/>
  <c r="P109" i="4"/>
  <c r="J109" i="4"/>
  <c r="G109" i="4"/>
  <c r="T108" i="4"/>
  <c r="Q108" i="4"/>
  <c r="S108" i="4" s="1"/>
  <c r="P108" i="4"/>
  <c r="J108" i="4"/>
  <c r="G108" i="4"/>
  <c r="T107" i="4"/>
  <c r="Q107" i="4"/>
  <c r="S107" i="4" s="1"/>
  <c r="P107" i="4"/>
  <c r="J107" i="4"/>
  <c r="G107" i="4"/>
  <c r="T106" i="4"/>
  <c r="Q106" i="4"/>
  <c r="S106" i="4" s="1"/>
  <c r="U106" i="4" s="1"/>
  <c r="P106" i="4"/>
  <c r="J106" i="4"/>
  <c r="G106" i="4"/>
  <c r="T105" i="4"/>
  <c r="Q105" i="4"/>
  <c r="S105" i="4" s="1"/>
  <c r="P105" i="4"/>
  <c r="J105" i="4"/>
  <c r="G105" i="4"/>
  <c r="T104" i="4"/>
  <c r="Q104" i="4"/>
  <c r="S104" i="4" s="1"/>
  <c r="U104" i="4" s="1"/>
  <c r="P104" i="4"/>
  <c r="J104" i="4"/>
  <c r="G104" i="4"/>
  <c r="T103" i="4"/>
  <c r="Q103" i="4"/>
  <c r="S103" i="4" s="1"/>
  <c r="U103" i="4" s="1"/>
  <c r="P103" i="4"/>
  <c r="J103" i="4"/>
  <c r="G103" i="4"/>
  <c r="T102" i="4"/>
  <c r="Q102" i="4"/>
  <c r="S102" i="4" s="1"/>
  <c r="U102" i="4" s="1"/>
  <c r="P102" i="4"/>
  <c r="J102" i="4"/>
  <c r="G102" i="4"/>
  <c r="T101" i="4"/>
  <c r="Q101" i="4"/>
  <c r="S101" i="4" s="1"/>
  <c r="P101" i="4"/>
  <c r="J101" i="4"/>
  <c r="G101" i="4"/>
  <c r="T100" i="4"/>
  <c r="Q100" i="4"/>
  <c r="S100" i="4" s="1"/>
  <c r="U100" i="4" s="1"/>
  <c r="P100" i="4"/>
  <c r="J100" i="4"/>
  <c r="G100" i="4"/>
  <c r="T99" i="4"/>
  <c r="Q99" i="4"/>
  <c r="S99" i="4" s="1"/>
  <c r="U99" i="4" s="1"/>
  <c r="P99" i="4"/>
  <c r="J99" i="4"/>
  <c r="G99" i="4"/>
  <c r="T98" i="4"/>
  <c r="S98" i="4"/>
  <c r="Q98" i="4"/>
  <c r="P98" i="4"/>
  <c r="J98" i="4"/>
  <c r="G98" i="4"/>
  <c r="T97" i="4"/>
  <c r="Q97" i="4"/>
  <c r="S97" i="4" s="1"/>
  <c r="U97" i="4" s="1"/>
  <c r="P97" i="4"/>
  <c r="J97" i="4"/>
  <c r="G97" i="4"/>
  <c r="T96" i="4"/>
  <c r="Q96" i="4"/>
  <c r="S96" i="4" s="1"/>
  <c r="P96" i="4"/>
  <c r="J96" i="4"/>
  <c r="G96" i="4"/>
  <c r="T95" i="4"/>
  <c r="S95" i="4"/>
  <c r="Q95" i="4"/>
  <c r="P95" i="4"/>
  <c r="J95" i="4"/>
  <c r="G95" i="4"/>
  <c r="T94" i="4"/>
  <c r="Q94" i="4"/>
  <c r="S94" i="4" s="1"/>
  <c r="U94" i="4" s="1"/>
  <c r="P94" i="4"/>
  <c r="J94" i="4"/>
  <c r="G94" i="4"/>
  <c r="T93" i="4"/>
  <c r="Q93" i="4"/>
  <c r="S93" i="4" s="1"/>
  <c r="U93" i="4" s="1"/>
  <c r="P93" i="4"/>
  <c r="J93" i="4"/>
  <c r="G93" i="4"/>
  <c r="T92" i="4"/>
  <c r="Q92" i="4"/>
  <c r="S92" i="4" s="1"/>
  <c r="P92" i="4"/>
  <c r="J92" i="4"/>
  <c r="G92" i="4"/>
  <c r="T91" i="4"/>
  <c r="Q91" i="4"/>
  <c r="S91" i="4" s="1"/>
  <c r="P91" i="4"/>
  <c r="J91" i="4"/>
  <c r="G91" i="4"/>
  <c r="T90" i="4"/>
  <c r="Q90" i="4"/>
  <c r="S90" i="4" s="1"/>
  <c r="U90" i="4" s="1"/>
  <c r="P90" i="4"/>
  <c r="J90" i="4"/>
  <c r="G90" i="4"/>
  <c r="T89" i="4"/>
  <c r="Q89" i="4"/>
  <c r="S89" i="4" s="1"/>
  <c r="U89" i="4" s="1"/>
  <c r="P89" i="4"/>
  <c r="J89" i="4"/>
  <c r="G89" i="4"/>
  <c r="T88" i="4"/>
  <c r="Q88" i="4"/>
  <c r="S88" i="4" s="1"/>
  <c r="P88" i="4"/>
  <c r="J88" i="4"/>
  <c r="G88" i="4"/>
  <c r="T87" i="4"/>
  <c r="Q87" i="4"/>
  <c r="S87" i="4" s="1"/>
  <c r="U87" i="4" s="1"/>
  <c r="P87" i="4"/>
  <c r="J87" i="4"/>
  <c r="G87" i="4"/>
  <c r="T86" i="4"/>
  <c r="Q86" i="4"/>
  <c r="S86" i="4" s="1"/>
  <c r="U86" i="4" s="1"/>
  <c r="P86" i="4"/>
  <c r="J86" i="4"/>
  <c r="G86" i="4"/>
  <c r="T85" i="4"/>
  <c r="Q85" i="4"/>
  <c r="S85" i="4" s="1"/>
  <c r="P85" i="4"/>
  <c r="J85" i="4"/>
  <c r="G85" i="4"/>
  <c r="T84" i="4"/>
  <c r="Q84" i="4"/>
  <c r="S84" i="4" s="1"/>
  <c r="P84" i="4"/>
  <c r="J84" i="4"/>
  <c r="G84" i="4"/>
  <c r="T83" i="4"/>
  <c r="Q83" i="4"/>
  <c r="S83" i="4" s="1"/>
  <c r="P83" i="4"/>
  <c r="J83" i="4"/>
  <c r="G83" i="4"/>
  <c r="T82" i="4"/>
  <c r="Q82" i="4"/>
  <c r="S82" i="4" s="1"/>
  <c r="U82" i="4" s="1"/>
  <c r="P82" i="4"/>
  <c r="J82" i="4"/>
  <c r="G82" i="4"/>
  <c r="T81" i="4"/>
  <c r="Q81" i="4"/>
  <c r="S81" i="4" s="1"/>
  <c r="U81" i="4" s="1"/>
  <c r="P81" i="4"/>
  <c r="J81" i="4"/>
  <c r="G81" i="4"/>
  <c r="T80" i="4"/>
  <c r="Q80" i="4"/>
  <c r="S80" i="4" s="1"/>
  <c r="P80" i="4"/>
  <c r="J80" i="4"/>
  <c r="G80" i="4"/>
  <c r="T79" i="4"/>
  <c r="Q79" i="4"/>
  <c r="S79" i="4" s="1"/>
  <c r="U79" i="4" s="1"/>
  <c r="P79" i="4"/>
  <c r="J79" i="4"/>
  <c r="G79" i="4"/>
  <c r="T78" i="4"/>
  <c r="Q78" i="4"/>
  <c r="S78" i="4" s="1"/>
  <c r="U78" i="4" s="1"/>
  <c r="P78" i="4"/>
  <c r="J78" i="4"/>
  <c r="G78" i="4"/>
  <c r="T77" i="4"/>
  <c r="Q77" i="4"/>
  <c r="S77" i="4" s="1"/>
  <c r="P77" i="4"/>
  <c r="J77" i="4"/>
  <c r="G77" i="4"/>
  <c r="T76" i="4"/>
  <c r="Q76" i="4"/>
  <c r="S76" i="4" s="1"/>
  <c r="P76" i="4"/>
  <c r="J76" i="4"/>
  <c r="G76" i="4"/>
  <c r="T75" i="4"/>
  <c r="Q75" i="4"/>
  <c r="S75" i="4" s="1"/>
  <c r="P75" i="4"/>
  <c r="J75" i="4"/>
  <c r="G75" i="4"/>
  <c r="T74" i="4"/>
  <c r="Q74" i="4"/>
  <c r="S74" i="4" s="1"/>
  <c r="U74" i="4" s="1"/>
  <c r="P74" i="4"/>
  <c r="J74" i="4"/>
  <c r="G74" i="4"/>
  <c r="T73" i="4"/>
  <c r="Q73" i="4"/>
  <c r="S73" i="4" s="1"/>
  <c r="P73" i="4"/>
  <c r="J73" i="4"/>
  <c r="G73" i="4"/>
  <c r="T72" i="4"/>
  <c r="Q72" i="4"/>
  <c r="S72" i="4" s="1"/>
  <c r="U72" i="4" s="1"/>
  <c r="P72" i="4"/>
  <c r="J72" i="4"/>
  <c r="G72" i="4"/>
  <c r="T71" i="4"/>
  <c r="Q71" i="4"/>
  <c r="S71" i="4" s="1"/>
  <c r="U71" i="4" s="1"/>
  <c r="P71" i="4"/>
  <c r="J71" i="4"/>
  <c r="G71" i="4"/>
  <c r="T70" i="4"/>
  <c r="Q70" i="4"/>
  <c r="S70" i="4" s="1"/>
  <c r="P70" i="4"/>
  <c r="J70" i="4"/>
  <c r="G70" i="4"/>
  <c r="T69" i="4"/>
  <c r="Q69" i="4"/>
  <c r="S69" i="4" s="1"/>
  <c r="P69" i="4"/>
  <c r="J69" i="4"/>
  <c r="G69" i="4"/>
  <c r="T68" i="4"/>
  <c r="Q68" i="4"/>
  <c r="S68" i="4" s="1"/>
  <c r="U68" i="4" s="1"/>
  <c r="P68" i="4"/>
  <c r="J68" i="4"/>
  <c r="G68" i="4"/>
  <c r="T67" i="4"/>
  <c r="Q67" i="4"/>
  <c r="S67" i="4" s="1"/>
  <c r="U67" i="4" s="1"/>
  <c r="P67" i="4"/>
  <c r="J67" i="4"/>
  <c r="G67" i="4"/>
  <c r="T66" i="4"/>
  <c r="Q66" i="4"/>
  <c r="S66" i="4" s="1"/>
  <c r="P66" i="4"/>
  <c r="J66" i="4"/>
  <c r="G66" i="4"/>
  <c r="T65" i="4"/>
  <c r="Q65" i="4"/>
  <c r="S65" i="4" s="1"/>
  <c r="U65" i="4" s="1"/>
  <c r="P65" i="4"/>
  <c r="J65" i="4"/>
  <c r="G65" i="4"/>
  <c r="T64" i="4"/>
  <c r="Q64" i="4"/>
  <c r="S64" i="4" s="1"/>
  <c r="P64" i="4"/>
  <c r="J64" i="4"/>
  <c r="G64" i="4"/>
  <c r="T63" i="4"/>
  <c r="Q63" i="4"/>
  <c r="S63" i="4" s="1"/>
  <c r="P63" i="4"/>
  <c r="J63" i="4"/>
  <c r="G63" i="4"/>
  <c r="T62" i="4"/>
  <c r="Q62" i="4"/>
  <c r="S62" i="4" s="1"/>
  <c r="U62" i="4" s="1"/>
  <c r="P62" i="4"/>
  <c r="J62" i="4"/>
  <c r="G62" i="4"/>
  <c r="T61" i="4"/>
  <c r="Q61" i="4"/>
  <c r="S61" i="4" s="1"/>
  <c r="P61" i="4"/>
  <c r="J61" i="4"/>
  <c r="G61" i="4"/>
  <c r="T60" i="4"/>
  <c r="Q60" i="4"/>
  <c r="S60" i="4" s="1"/>
  <c r="P60" i="4"/>
  <c r="J60" i="4"/>
  <c r="G60" i="4"/>
  <c r="T59" i="4"/>
  <c r="Q59" i="4"/>
  <c r="S59" i="4" s="1"/>
  <c r="U59" i="4" s="1"/>
  <c r="P59" i="4"/>
  <c r="J59" i="4"/>
  <c r="G59" i="4"/>
  <c r="T58" i="4"/>
  <c r="Q58" i="4"/>
  <c r="S58" i="4" s="1"/>
  <c r="P58" i="4"/>
  <c r="J58" i="4"/>
  <c r="G58" i="4"/>
  <c r="T57" i="4"/>
  <c r="Q57" i="4"/>
  <c r="S57" i="4" s="1"/>
  <c r="P57" i="4"/>
  <c r="J57" i="4"/>
  <c r="G57" i="4"/>
  <c r="T56" i="4"/>
  <c r="Q56" i="4"/>
  <c r="S56" i="4" s="1"/>
  <c r="U56" i="4" s="1"/>
  <c r="P56" i="4"/>
  <c r="J56" i="4"/>
  <c r="G56" i="4"/>
  <c r="T55" i="4"/>
  <c r="Q55" i="4"/>
  <c r="S55" i="4" s="1"/>
  <c r="U55" i="4" s="1"/>
  <c r="P55" i="4"/>
  <c r="J55" i="4"/>
  <c r="G55" i="4"/>
  <c r="T54" i="4"/>
  <c r="S54" i="4"/>
  <c r="Q54" i="4"/>
  <c r="P54" i="4"/>
  <c r="J54" i="4"/>
  <c r="G54" i="4"/>
  <c r="T53" i="4"/>
  <c r="Q53" i="4"/>
  <c r="S53" i="4" s="1"/>
  <c r="U53" i="4" s="1"/>
  <c r="P53" i="4"/>
  <c r="J53" i="4"/>
  <c r="G53" i="4"/>
  <c r="T52" i="4"/>
  <c r="Q52" i="4"/>
  <c r="S52" i="4" s="1"/>
  <c r="U52" i="4" s="1"/>
  <c r="P52" i="4"/>
  <c r="J52" i="4"/>
  <c r="G52" i="4"/>
  <c r="T51" i="4"/>
  <c r="Q51" i="4"/>
  <c r="S51" i="4" s="1"/>
  <c r="P51" i="4"/>
  <c r="J51" i="4"/>
  <c r="G51" i="4"/>
  <c r="T50" i="4"/>
  <c r="Q50" i="4"/>
  <c r="S50" i="4" s="1"/>
  <c r="U50" i="4" s="1"/>
  <c r="P50" i="4"/>
  <c r="J50" i="4"/>
  <c r="G50" i="4"/>
  <c r="T49" i="4"/>
  <c r="Q49" i="4"/>
  <c r="S49" i="4" s="1"/>
  <c r="U49" i="4" s="1"/>
  <c r="P49" i="4"/>
  <c r="J49" i="4"/>
  <c r="G49" i="4"/>
  <c r="T48" i="4"/>
  <c r="Q48" i="4"/>
  <c r="S48" i="4" s="1"/>
  <c r="U48" i="4" s="1"/>
  <c r="P48" i="4"/>
  <c r="J48" i="4"/>
  <c r="G48" i="4"/>
  <c r="T47" i="4"/>
  <c r="Q47" i="4"/>
  <c r="S47" i="4" s="1"/>
  <c r="P47" i="4"/>
  <c r="J47" i="4"/>
  <c r="G47" i="4"/>
  <c r="T46" i="4"/>
  <c r="Q46" i="4"/>
  <c r="S46" i="4" s="1"/>
  <c r="P46" i="4"/>
  <c r="J46" i="4"/>
  <c r="G46" i="4"/>
  <c r="T45" i="4"/>
  <c r="Q45" i="4"/>
  <c r="S45" i="4" s="1"/>
  <c r="P45" i="4"/>
  <c r="J45" i="4"/>
  <c r="G45" i="4"/>
  <c r="T44" i="4"/>
  <c r="Q44" i="4"/>
  <c r="S44" i="4" s="1"/>
  <c r="U44" i="4" s="1"/>
  <c r="P44" i="4"/>
  <c r="J44" i="4"/>
  <c r="G44" i="4"/>
  <c r="T43" i="4"/>
  <c r="U43" i="4" s="1"/>
  <c r="Q43" i="4"/>
  <c r="S43" i="4" s="1"/>
  <c r="P43" i="4"/>
  <c r="J43" i="4"/>
  <c r="G43" i="4"/>
  <c r="T42" i="4"/>
  <c r="Q42" i="4"/>
  <c r="S42" i="4" s="1"/>
  <c r="P42" i="4"/>
  <c r="J42" i="4"/>
  <c r="G42" i="4"/>
  <c r="T41" i="4"/>
  <c r="Q41" i="4"/>
  <c r="S41" i="4" s="1"/>
  <c r="U41" i="4" s="1"/>
  <c r="P41" i="4"/>
  <c r="J41" i="4"/>
  <c r="G41" i="4"/>
  <c r="T40" i="4"/>
  <c r="Q40" i="4"/>
  <c r="S40" i="4" s="1"/>
  <c r="P40" i="4"/>
  <c r="J40" i="4"/>
  <c r="G40" i="4"/>
  <c r="T39" i="4"/>
  <c r="Q39" i="4"/>
  <c r="S39" i="4" s="1"/>
  <c r="U39" i="4" s="1"/>
  <c r="P39" i="4"/>
  <c r="J39" i="4"/>
  <c r="G39" i="4"/>
  <c r="T38" i="4"/>
  <c r="Q38" i="4"/>
  <c r="S38" i="4" s="1"/>
  <c r="P38" i="4"/>
  <c r="J38" i="4"/>
  <c r="G38" i="4"/>
  <c r="T37" i="4"/>
  <c r="Q37" i="4"/>
  <c r="S37" i="4" s="1"/>
  <c r="P37" i="4"/>
  <c r="J37" i="4"/>
  <c r="G37" i="4"/>
  <c r="T36" i="4"/>
  <c r="Q36" i="4"/>
  <c r="S36" i="4" s="1"/>
  <c r="U36" i="4" s="1"/>
  <c r="P36" i="4"/>
  <c r="J36" i="4"/>
  <c r="G36" i="4"/>
  <c r="T35" i="4"/>
  <c r="Q35" i="4"/>
  <c r="S35" i="4" s="1"/>
  <c r="P35" i="4"/>
  <c r="J35" i="4"/>
  <c r="G35" i="4"/>
  <c r="T34" i="4"/>
  <c r="Q34" i="4"/>
  <c r="S34" i="4" s="1"/>
  <c r="P34" i="4"/>
  <c r="J34" i="4"/>
  <c r="G34" i="4"/>
  <c r="T33" i="4"/>
  <c r="Q33" i="4"/>
  <c r="S33" i="4" s="1"/>
  <c r="P33" i="4"/>
  <c r="J33" i="4"/>
  <c r="G33" i="4"/>
  <c r="T32" i="4"/>
  <c r="Q32" i="4"/>
  <c r="S32" i="4" s="1"/>
  <c r="P32" i="4"/>
  <c r="J32" i="4"/>
  <c r="G32" i="4"/>
  <c r="T31" i="4"/>
  <c r="Q31" i="4"/>
  <c r="S31" i="4" s="1"/>
  <c r="U31" i="4" s="1"/>
  <c r="P31" i="4"/>
  <c r="J31" i="4"/>
  <c r="G31" i="4"/>
  <c r="T30" i="4"/>
  <c r="Q30" i="4"/>
  <c r="S30" i="4" s="1"/>
  <c r="P30" i="4"/>
  <c r="J30" i="4"/>
  <c r="G30" i="4"/>
  <c r="T29" i="4"/>
  <c r="Q29" i="4"/>
  <c r="S29" i="4" s="1"/>
  <c r="P29" i="4"/>
  <c r="J29" i="4"/>
  <c r="G29" i="4"/>
  <c r="T28" i="4"/>
  <c r="Q28" i="4"/>
  <c r="S28" i="4" s="1"/>
  <c r="P28" i="4"/>
  <c r="J28" i="4"/>
  <c r="G28" i="4"/>
  <c r="T27" i="4"/>
  <c r="Q27" i="4"/>
  <c r="S27" i="4" s="1"/>
  <c r="U27" i="4" s="1"/>
  <c r="P27" i="4"/>
  <c r="J27" i="4"/>
  <c r="G27" i="4"/>
  <c r="T26" i="4"/>
  <c r="S26" i="4"/>
  <c r="Q26" i="4"/>
  <c r="P26" i="4"/>
  <c r="J26" i="4"/>
  <c r="G26" i="4"/>
  <c r="T25" i="4"/>
  <c r="Q25" i="4"/>
  <c r="S25" i="4" s="1"/>
  <c r="P25" i="4"/>
  <c r="J25" i="4"/>
  <c r="G25" i="4"/>
  <c r="T24" i="4"/>
  <c r="Q24" i="4"/>
  <c r="S24" i="4" s="1"/>
  <c r="U24" i="4" s="1"/>
  <c r="P24" i="4"/>
  <c r="J24" i="4"/>
  <c r="G24" i="4"/>
  <c r="T23" i="4"/>
  <c r="Q23" i="4"/>
  <c r="S23" i="4" s="1"/>
  <c r="P23" i="4"/>
  <c r="J23" i="4"/>
  <c r="G23" i="4"/>
  <c r="T22" i="4"/>
  <c r="Q22" i="4"/>
  <c r="S22" i="4" s="1"/>
  <c r="P22" i="4"/>
  <c r="J22" i="4"/>
  <c r="G22" i="4"/>
  <c r="T21" i="4"/>
  <c r="Q21" i="4"/>
  <c r="S21" i="4" s="1"/>
  <c r="U21" i="4" s="1"/>
  <c r="P21" i="4"/>
  <c r="J21" i="4"/>
  <c r="G21" i="4"/>
  <c r="T20" i="4"/>
  <c r="Q20" i="4"/>
  <c r="S20" i="4" s="1"/>
  <c r="P20" i="4"/>
  <c r="J20" i="4"/>
  <c r="G20" i="4"/>
  <c r="T19" i="4"/>
  <c r="Q19" i="4"/>
  <c r="S19" i="4" s="1"/>
  <c r="P19" i="4"/>
  <c r="J19" i="4"/>
  <c r="G19" i="4"/>
  <c r="T18" i="4"/>
  <c r="Q18" i="4"/>
  <c r="S18" i="4" s="1"/>
  <c r="U18" i="4" s="1"/>
  <c r="P18" i="4"/>
  <c r="J18" i="4"/>
  <c r="G18" i="4"/>
  <c r="T17" i="4"/>
  <c r="Q17" i="4"/>
  <c r="S17" i="4" s="1"/>
  <c r="P17" i="4"/>
  <c r="J17" i="4"/>
  <c r="G17" i="4"/>
  <c r="T16" i="4"/>
  <c r="Q16" i="4"/>
  <c r="S16" i="4" s="1"/>
  <c r="U16" i="4" s="1"/>
  <c r="P16" i="4"/>
  <c r="J16" i="4"/>
  <c r="G16" i="4"/>
  <c r="T15" i="4"/>
  <c r="Q15" i="4"/>
  <c r="S15" i="4" s="1"/>
  <c r="P15" i="4"/>
  <c r="J15" i="4"/>
  <c r="G15" i="4"/>
  <c r="T14" i="4"/>
  <c r="Q14" i="4"/>
  <c r="S14" i="4" s="1"/>
  <c r="U14" i="4" s="1"/>
  <c r="P14" i="4"/>
  <c r="J14" i="4"/>
  <c r="G14" i="4"/>
  <c r="T13" i="4"/>
  <c r="Q13" i="4"/>
  <c r="S13" i="4" s="1"/>
  <c r="P13" i="4"/>
  <c r="J13" i="4"/>
  <c r="G13" i="4"/>
  <c r="T12" i="4"/>
  <c r="Q12" i="4"/>
  <c r="S12" i="4" s="1"/>
  <c r="P12" i="4"/>
  <c r="J12" i="4"/>
  <c r="G12" i="4"/>
  <c r="T11" i="4"/>
  <c r="Q11" i="4"/>
  <c r="S11" i="4" s="1"/>
  <c r="P11" i="4"/>
  <c r="J11" i="4"/>
  <c r="G11" i="4"/>
  <c r="T10" i="4"/>
  <c r="S10" i="4"/>
  <c r="Q10" i="4"/>
  <c r="P10" i="4"/>
  <c r="J10" i="4"/>
  <c r="G10" i="4"/>
  <c r="T9" i="4"/>
  <c r="Q9" i="4"/>
  <c r="S9" i="4" s="1"/>
  <c r="P9" i="4"/>
  <c r="J9" i="4"/>
  <c r="G9" i="4"/>
  <c r="T8" i="4"/>
  <c r="Q8" i="4"/>
  <c r="S8" i="4" s="1"/>
  <c r="U8" i="4" s="1"/>
  <c r="P8" i="4"/>
  <c r="J8" i="4"/>
  <c r="G8" i="4"/>
  <c r="T7" i="4"/>
  <c r="S7" i="4"/>
  <c r="U7" i="4" s="1"/>
  <c r="Q7" i="4"/>
  <c r="P7" i="4"/>
  <c r="J7" i="4"/>
  <c r="G7" i="4"/>
  <c r="T6" i="4"/>
  <c r="Q6" i="4"/>
  <c r="S6" i="4" s="1"/>
  <c r="P6" i="4"/>
  <c r="J6" i="4"/>
  <c r="G6" i="4"/>
  <c r="T5" i="4"/>
  <c r="Q5" i="4"/>
  <c r="S5" i="4" s="1"/>
  <c r="U5" i="4" s="1"/>
  <c r="P5" i="4"/>
  <c r="J5" i="4"/>
  <c r="G5" i="4"/>
  <c r="T4" i="4"/>
  <c r="Q4" i="4"/>
  <c r="S4" i="4" s="1"/>
  <c r="U4" i="4" s="1"/>
  <c r="P4" i="4"/>
  <c r="J4" i="4"/>
  <c r="G4" i="4"/>
  <c r="T3" i="4"/>
  <c r="Q3" i="4"/>
  <c r="S3" i="4" s="1"/>
  <c r="P3" i="4"/>
  <c r="J3" i="4"/>
  <c r="G3" i="4"/>
  <c r="H203" i="1" l="1"/>
  <c r="I201" i="6"/>
  <c r="I184" i="6"/>
  <c r="I198" i="6"/>
  <c r="I197" i="6"/>
  <c r="I188" i="6"/>
  <c r="I195" i="6"/>
  <c r="I182" i="6"/>
  <c r="I196" i="6"/>
  <c r="I183" i="6"/>
  <c r="I189" i="6" s="1"/>
  <c r="H196" i="6"/>
  <c r="I200" i="6"/>
  <c r="H198" i="6"/>
  <c r="H195" i="6"/>
  <c r="H197" i="6"/>
  <c r="H199" i="6"/>
  <c r="H201" i="6"/>
  <c r="H182" i="6"/>
  <c r="H184" i="6"/>
  <c r="H186" i="6"/>
  <c r="H188" i="6"/>
  <c r="H183" i="6"/>
  <c r="H185" i="6"/>
  <c r="H187" i="6"/>
  <c r="H181" i="5"/>
  <c r="I179" i="5"/>
  <c r="I183" i="5" s="1"/>
  <c r="I197" i="5"/>
  <c r="H190" i="5"/>
  <c r="H192" i="5"/>
  <c r="H194" i="5"/>
  <c r="H196" i="5"/>
  <c r="H191" i="5"/>
  <c r="H193" i="5"/>
  <c r="H195" i="5"/>
  <c r="H176" i="5"/>
  <c r="H178" i="5"/>
  <c r="H180" i="5"/>
  <c r="H182" i="5"/>
  <c r="H177" i="5"/>
  <c r="H189" i="1"/>
  <c r="H175" i="4"/>
  <c r="I178" i="4"/>
  <c r="U66" i="4"/>
  <c r="U11" i="4"/>
  <c r="U30" i="4"/>
  <c r="U33" i="4"/>
  <c r="U61" i="4"/>
  <c r="U70" i="4"/>
  <c r="U84" i="4"/>
  <c r="U98" i="4"/>
  <c r="U9" i="4"/>
  <c r="U12" i="4"/>
  <c r="U29" i="4"/>
  <c r="U46" i="4"/>
  <c r="U83" i="4"/>
  <c r="I179" i="4"/>
  <c r="U20" i="4"/>
  <c r="U23" i="4"/>
  <c r="U26" i="4"/>
  <c r="U37" i="4"/>
  <c r="U40" i="4"/>
  <c r="U80" i="4"/>
  <c r="U91" i="4"/>
  <c r="U111" i="4"/>
  <c r="U17" i="4"/>
  <c r="U34" i="4"/>
  <c r="U75" i="4"/>
  <c r="I161" i="4"/>
  <c r="I167" i="4" s="1"/>
  <c r="U58" i="4"/>
  <c r="U64" i="4"/>
  <c r="U77" i="4"/>
  <c r="U96" i="4"/>
  <c r="U109" i="4"/>
  <c r="U115" i="4"/>
  <c r="I162" i="4"/>
  <c r="I163" i="4"/>
  <c r="U13" i="4"/>
  <c r="U32" i="4"/>
  <c r="U45" i="4"/>
  <c r="U60" i="4"/>
  <c r="U92" i="4"/>
  <c r="I164" i="4"/>
  <c r="U6" i="4"/>
  <c r="U10" i="4"/>
  <c r="U19" i="4"/>
  <c r="U25" i="4"/>
  <c r="U35" i="4"/>
  <c r="U38" i="4"/>
  <c r="U42" i="4"/>
  <c r="U51" i="4"/>
  <c r="U57" i="4"/>
  <c r="U63" i="4"/>
  <c r="U73" i="4"/>
  <c r="U76" i="4"/>
  <c r="U95" i="4"/>
  <c r="U105" i="4"/>
  <c r="U108" i="4"/>
  <c r="H177" i="4"/>
  <c r="U15" i="4"/>
  <c r="U22" i="4"/>
  <c r="U28" i="4"/>
  <c r="U47" i="4"/>
  <c r="U54" i="4"/>
  <c r="U69" i="4"/>
  <c r="U85" i="4"/>
  <c r="U88" i="4"/>
  <c r="U101" i="4"/>
  <c r="U3" i="4"/>
  <c r="H195" i="3"/>
  <c r="H168" i="2"/>
  <c r="H154" i="2"/>
  <c r="I165" i="4"/>
  <c r="H164" i="4"/>
  <c r="H173" i="4"/>
  <c r="H174" i="4"/>
  <c r="H176" i="4"/>
  <c r="H178" i="4"/>
  <c r="H179" i="4"/>
  <c r="H162" i="4"/>
  <c r="U107" i="4"/>
  <c r="H160" i="4"/>
  <c r="H161" i="4"/>
  <c r="H163" i="4"/>
  <c r="H165" i="4"/>
  <c r="H166" i="4"/>
  <c r="U29" i="6"/>
  <c r="U37" i="6"/>
  <c r="U45" i="6"/>
  <c r="U53" i="6"/>
  <c r="U19" i="6"/>
  <c r="U30" i="6"/>
  <c r="U38" i="6"/>
  <c r="U46" i="6"/>
  <c r="U64" i="6"/>
  <c r="U80" i="6"/>
  <c r="U10" i="6"/>
  <c r="U18" i="6"/>
  <c r="U26" i="6"/>
  <c r="U16" i="6"/>
  <c r="U24" i="6"/>
  <c r="U31" i="6"/>
  <c r="U39" i="6"/>
  <c r="U47" i="6"/>
  <c r="U55" i="6"/>
  <c r="U76" i="6"/>
  <c r="U33" i="6"/>
  <c r="U41" i="6"/>
  <c r="U49" i="6"/>
  <c r="U57" i="6"/>
  <c r="U73" i="6"/>
  <c r="U81" i="6"/>
  <c r="U89" i="6"/>
  <c r="U9" i="6"/>
  <c r="U52" i="6"/>
  <c r="U63" i="6"/>
  <c r="U87" i="6"/>
  <c r="U3" i="6"/>
  <c r="P9" i="13" s="1"/>
  <c r="U11" i="6"/>
  <c r="U54" i="6"/>
  <c r="U5" i="6"/>
  <c r="U13" i="6"/>
  <c r="U21" i="6"/>
  <c r="U51" i="6"/>
  <c r="U75" i="6"/>
  <c r="U83" i="6"/>
  <c r="U7" i="6"/>
  <c r="U15" i="6"/>
  <c r="U23" i="6"/>
  <c r="U69" i="6"/>
  <c r="U77" i="6"/>
  <c r="U85" i="6"/>
  <c r="U8" i="6"/>
  <c r="U22" i="6"/>
  <c r="U25" i="6"/>
  <c r="U28" i="6"/>
  <c r="U36" i="6"/>
  <c r="U44" i="6"/>
  <c r="U61" i="6"/>
  <c r="U72" i="6"/>
  <c r="U84" i="6"/>
  <c r="U27" i="6"/>
  <c r="U35" i="6"/>
  <c r="U43" i="6"/>
  <c r="U60" i="6"/>
  <c r="U68" i="6"/>
  <c r="U71" i="6"/>
  <c r="U74" i="6"/>
  <c r="U86" i="6"/>
  <c r="U4" i="6"/>
  <c r="U12" i="6"/>
  <c r="U32" i="6"/>
  <c r="U40" i="6"/>
  <c r="U48" i="6"/>
  <c r="U65" i="6"/>
  <c r="U79" i="6"/>
  <c r="U88" i="6"/>
  <c r="N9" i="13" s="1"/>
  <c r="U6" i="6"/>
  <c r="U14" i="6"/>
  <c r="U17" i="6"/>
  <c r="U20" i="6"/>
  <c r="U34" i="6"/>
  <c r="U42" i="6"/>
  <c r="U56" i="6"/>
  <c r="U59" i="6"/>
  <c r="U67" i="6"/>
  <c r="U62" i="6"/>
  <c r="U50" i="6"/>
  <c r="U82" i="6"/>
  <c r="U58" i="6"/>
  <c r="U70" i="6"/>
  <c r="U66" i="6"/>
  <c r="U78" i="6"/>
  <c r="M9" i="13" l="1"/>
  <c r="Q9" i="13"/>
  <c r="I202" i="6"/>
  <c r="S9" i="13"/>
  <c r="H202" i="6"/>
  <c r="H203" i="6" s="1"/>
  <c r="H189" i="6"/>
  <c r="H190" i="6" s="1"/>
  <c r="H191" i="6" s="1"/>
  <c r="B9" i="13" s="1"/>
  <c r="H197" i="5"/>
  <c r="H198" i="5" s="1"/>
  <c r="H199" i="5" s="1"/>
  <c r="C8" i="13" s="1"/>
  <c r="H183" i="5"/>
  <c r="H184" i="5" s="1"/>
  <c r="H185" i="5" s="1"/>
  <c r="B8" i="13" s="1"/>
  <c r="I180" i="4"/>
  <c r="H180" i="4"/>
  <c r="H181" i="4" s="1"/>
  <c r="H167" i="4"/>
  <c r="H168" i="4" s="1"/>
  <c r="H169" i="4" s="1"/>
  <c r="E200" i="3"/>
  <c r="E199" i="3"/>
  <c r="E197" i="3"/>
  <c r="E196" i="3"/>
  <c r="E194" i="3"/>
  <c r="E186" i="3"/>
  <c r="E185" i="3"/>
  <c r="E184" i="3"/>
  <c r="E183" i="3"/>
  <c r="E182" i="3"/>
  <c r="E180" i="3"/>
  <c r="E173" i="2"/>
  <c r="E172" i="2"/>
  <c r="E171" i="2"/>
  <c r="E170" i="2"/>
  <c r="E169" i="2"/>
  <c r="E167" i="2"/>
  <c r="E159" i="2"/>
  <c r="E158" i="2"/>
  <c r="E157" i="2"/>
  <c r="E156" i="2"/>
  <c r="E155" i="2"/>
  <c r="E153" i="2"/>
  <c r="G200" i="3"/>
  <c r="G199" i="3"/>
  <c r="G198" i="3"/>
  <c r="E198" i="3"/>
  <c r="G197" i="3"/>
  <c r="G196" i="3"/>
  <c r="G194" i="3"/>
  <c r="G186" i="3"/>
  <c r="G185" i="3"/>
  <c r="G184" i="3"/>
  <c r="G183" i="3"/>
  <c r="G180" i="3"/>
  <c r="G173" i="2"/>
  <c r="G172" i="2"/>
  <c r="G171" i="2"/>
  <c r="G170" i="2"/>
  <c r="G169" i="2"/>
  <c r="G167" i="2"/>
  <c r="G159" i="2"/>
  <c r="G158" i="2"/>
  <c r="G157" i="2"/>
  <c r="G156" i="2"/>
  <c r="G155" i="2"/>
  <c r="G153" i="2"/>
  <c r="E208" i="1"/>
  <c r="I208" i="1" s="1"/>
  <c r="E207" i="1"/>
  <c r="E206" i="1"/>
  <c r="E205" i="1"/>
  <c r="E204" i="1"/>
  <c r="H204" i="1" s="1"/>
  <c r="E202" i="1"/>
  <c r="G208" i="1"/>
  <c r="G207" i="1"/>
  <c r="G206" i="1"/>
  <c r="G205" i="1"/>
  <c r="G204" i="1"/>
  <c r="G202" i="1"/>
  <c r="E194" i="1"/>
  <c r="E193" i="1"/>
  <c r="H193" i="1" s="1"/>
  <c r="E192" i="1"/>
  <c r="H192" i="1" s="1"/>
  <c r="E191" i="1"/>
  <c r="H191" i="1" s="1"/>
  <c r="E190" i="1"/>
  <c r="H190" i="1" s="1"/>
  <c r="E188" i="1"/>
  <c r="H188" i="1" s="1"/>
  <c r="G194" i="1"/>
  <c r="G193" i="1"/>
  <c r="G192" i="1"/>
  <c r="G191" i="1"/>
  <c r="G190" i="1"/>
  <c r="G188" i="1"/>
  <c r="J5" i="5"/>
  <c r="J7" i="5"/>
  <c r="J8" i="5"/>
  <c r="J9" i="5"/>
  <c r="J10" i="5"/>
  <c r="J11" i="5"/>
  <c r="J12" i="5"/>
  <c r="J16" i="5"/>
  <c r="J17" i="5"/>
  <c r="J18" i="5"/>
  <c r="J19" i="5"/>
  <c r="J20" i="5"/>
  <c r="J22" i="5"/>
  <c r="J24" i="5"/>
  <c r="J26" i="5"/>
  <c r="J27" i="5"/>
  <c r="J30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6" i="5"/>
  <c r="J57" i="5"/>
  <c r="J58" i="5"/>
  <c r="J59" i="5"/>
  <c r="J60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3" i="5"/>
  <c r="T103" i="5"/>
  <c r="S103" i="5"/>
  <c r="P103" i="5"/>
  <c r="T102" i="5"/>
  <c r="S102" i="5"/>
  <c r="P102" i="5"/>
  <c r="T101" i="5"/>
  <c r="S101" i="5"/>
  <c r="U101" i="5" s="1"/>
  <c r="P101" i="5"/>
  <c r="T100" i="5"/>
  <c r="S100" i="5"/>
  <c r="P100" i="5"/>
  <c r="T99" i="5"/>
  <c r="S99" i="5"/>
  <c r="U99" i="5" s="1"/>
  <c r="P99" i="5"/>
  <c r="T98" i="5"/>
  <c r="S98" i="5"/>
  <c r="P98" i="5"/>
  <c r="T97" i="5"/>
  <c r="S97" i="5"/>
  <c r="P97" i="5"/>
  <c r="T96" i="5"/>
  <c r="S96" i="5"/>
  <c r="P96" i="5"/>
  <c r="T95" i="5"/>
  <c r="S95" i="5"/>
  <c r="U95" i="5" s="1"/>
  <c r="P95" i="5"/>
  <c r="T94" i="5"/>
  <c r="S94" i="5"/>
  <c r="P94" i="5"/>
  <c r="T93" i="5"/>
  <c r="S93" i="5"/>
  <c r="U93" i="5" s="1"/>
  <c r="P93" i="5"/>
  <c r="T92" i="5"/>
  <c r="S92" i="5"/>
  <c r="P92" i="5"/>
  <c r="T91" i="5"/>
  <c r="S91" i="5"/>
  <c r="P91" i="5"/>
  <c r="T90" i="5"/>
  <c r="S90" i="5"/>
  <c r="P90" i="5"/>
  <c r="T89" i="5"/>
  <c r="S89" i="5"/>
  <c r="P89" i="5"/>
  <c r="T88" i="5"/>
  <c r="S88" i="5"/>
  <c r="P88" i="5"/>
  <c r="T87" i="5"/>
  <c r="S87" i="5"/>
  <c r="P87" i="5"/>
  <c r="T86" i="5"/>
  <c r="S86" i="5"/>
  <c r="P86" i="5"/>
  <c r="T85" i="5"/>
  <c r="S85" i="5"/>
  <c r="U85" i="5" s="1"/>
  <c r="P85" i="5"/>
  <c r="T84" i="5"/>
  <c r="S84" i="5"/>
  <c r="P84" i="5"/>
  <c r="T83" i="5"/>
  <c r="S83" i="5"/>
  <c r="U83" i="5" s="1"/>
  <c r="P83" i="5"/>
  <c r="T82" i="5"/>
  <c r="S82" i="5"/>
  <c r="P82" i="5"/>
  <c r="T81" i="5"/>
  <c r="S81" i="5"/>
  <c r="U81" i="5" s="1"/>
  <c r="P81" i="5"/>
  <c r="T80" i="5"/>
  <c r="S80" i="5"/>
  <c r="P80" i="5"/>
  <c r="T79" i="5"/>
  <c r="S79" i="5"/>
  <c r="P79" i="5"/>
  <c r="T78" i="5"/>
  <c r="S78" i="5"/>
  <c r="P78" i="5"/>
  <c r="T77" i="5"/>
  <c r="S77" i="5"/>
  <c r="P77" i="5"/>
  <c r="G77" i="5"/>
  <c r="T76" i="5"/>
  <c r="S76" i="5"/>
  <c r="U76" i="5" s="1"/>
  <c r="P76" i="5"/>
  <c r="G76" i="5"/>
  <c r="T75" i="5"/>
  <c r="S75" i="5"/>
  <c r="U75" i="5" s="1"/>
  <c r="P75" i="5"/>
  <c r="G75" i="5"/>
  <c r="T74" i="5"/>
  <c r="S74" i="5"/>
  <c r="U74" i="5" s="1"/>
  <c r="P74" i="5"/>
  <c r="G74" i="5"/>
  <c r="T73" i="5"/>
  <c r="S73" i="5"/>
  <c r="U73" i="5" s="1"/>
  <c r="P73" i="5"/>
  <c r="G73" i="5"/>
  <c r="T72" i="5"/>
  <c r="S72" i="5"/>
  <c r="U72" i="5" s="1"/>
  <c r="P72" i="5"/>
  <c r="G72" i="5"/>
  <c r="T71" i="5"/>
  <c r="S71" i="5"/>
  <c r="U71" i="5" s="1"/>
  <c r="P71" i="5"/>
  <c r="G71" i="5"/>
  <c r="T70" i="5"/>
  <c r="S70" i="5"/>
  <c r="U70" i="5" s="1"/>
  <c r="P70" i="5"/>
  <c r="G70" i="5"/>
  <c r="T69" i="5"/>
  <c r="S69" i="5"/>
  <c r="U69" i="5" s="1"/>
  <c r="P69" i="5"/>
  <c r="G69" i="5"/>
  <c r="T68" i="5"/>
  <c r="S68" i="5"/>
  <c r="U68" i="5" s="1"/>
  <c r="P68" i="5"/>
  <c r="G68" i="5"/>
  <c r="T67" i="5"/>
  <c r="S67" i="5"/>
  <c r="U67" i="5" s="1"/>
  <c r="P67" i="5"/>
  <c r="G67" i="5"/>
  <c r="T66" i="5"/>
  <c r="S66" i="5"/>
  <c r="U66" i="5" s="1"/>
  <c r="P66" i="5"/>
  <c r="G66" i="5"/>
  <c r="T65" i="5"/>
  <c r="S65" i="5"/>
  <c r="P65" i="5"/>
  <c r="G65" i="5"/>
  <c r="T64" i="5"/>
  <c r="S64" i="5"/>
  <c r="U64" i="5" s="1"/>
  <c r="P64" i="5"/>
  <c r="G64" i="5"/>
  <c r="T63" i="5"/>
  <c r="S63" i="5"/>
  <c r="P63" i="5"/>
  <c r="G63" i="5"/>
  <c r="T62" i="5"/>
  <c r="S62" i="5"/>
  <c r="P62" i="5"/>
  <c r="G62" i="5"/>
  <c r="T61" i="5"/>
  <c r="S61" i="5"/>
  <c r="U61" i="5" s="1"/>
  <c r="P61" i="5"/>
  <c r="J61" i="5"/>
  <c r="G61" i="5"/>
  <c r="T60" i="5"/>
  <c r="S60" i="5"/>
  <c r="P60" i="5"/>
  <c r="G60" i="5"/>
  <c r="T59" i="5"/>
  <c r="S59" i="5"/>
  <c r="P59" i="5"/>
  <c r="G59" i="5"/>
  <c r="T58" i="5"/>
  <c r="S58" i="5"/>
  <c r="P58" i="5"/>
  <c r="G58" i="5"/>
  <c r="T57" i="5"/>
  <c r="S57" i="5"/>
  <c r="P57" i="5"/>
  <c r="G57" i="5"/>
  <c r="T56" i="5"/>
  <c r="S56" i="5"/>
  <c r="P56" i="5"/>
  <c r="G56" i="5"/>
  <c r="T55" i="5"/>
  <c r="S55" i="5"/>
  <c r="P55" i="5"/>
  <c r="J55" i="5"/>
  <c r="G55" i="5"/>
  <c r="T54" i="5"/>
  <c r="S54" i="5"/>
  <c r="P54" i="5"/>
  <c r="G54" i="5"/>
  <c r="T53" i="5"/>
  <c r="S53" i="5"/>
  <c r="P53" i="5"/>
  <c r="G53" i="5"/>
  <c r="T52" i="5"/>
  <c r="S52" i="5"/>
  <c r="P52" i="5"/>
  <c r="G52" i="5"/>
  <c r="T51" i="5"/>
  <c r="S51" i="5"/>
  <c r="P51" i="5"/>
  <c r="G51" i="5"/>
  <c r="T50" i="5"/>
  <c r="S50" i="5"/>
  <c r="P50" i="5"/>
  <c r="G50" i="5"/>
  <c r="T49" i="5"/>
  <c r="S49" i="5"/>
  <c r="P49" i="5"/>
  <c r="G49" i="5"/>
  <c r="T48" i="5"/>
  <c r="S48" i="5"/>
  <c r="P48" i="5"/>
  <c r="G48" i="5"/>
  <c r="T47" i="5"/>
  <c r="S47" i="5"/>
  <c r="P47" i="5"/>
  <c r="G47" i="5"/>
  <c r="T46" i="5"/>
  <c r="S46" i="5"/>
  <c r="U46" i="5" s="1"/>
  <c r="P46" i="5"/>
  <c r="G46" i="5"/>
  <c r="T45" i="5"/>
  <c r="S45" i="5"/>
  <c r="P45" i="5"/>
  <c r="G45" i="5"/>
  <c r="T44" i="5"/>
  <c r="S44" i="5"/>
  <c r="P44" i="5"/>
  <c r="G44" i="5"/>
  <c r="T43" i="5"/>
  <c r="S43" i="5"/>
  <c r="P43" i="5"/>
  <c r="G43" i="5"/>
  <c r="T42" i="5"/>
  <c r="S42" i="5"/>
  <c r="P42" i="5"/>
  <c r="G42" i="5"/>
  <c r="T41" i="5"/>
  <c r="S41" i="5"/>
  <c r="P41" i="5"/>
  <c r="G41" i="5"/>
  <c r="T40" i="5"/>
  <c r="S40" i="5"/>
  <c r="U40" i="5" s="1"/>
  <c r="P40" i="5"/>
  <c r="G40" i="5"/>
  <c r="T39" i="5"/>
  <c r="S39" i="5"/>
  <c r="P39" i="5"/>
  <c r="G39" i="5"/>
  <c r="T38" i="5"/>
  <c r="S38" i="5"/>
  <c r="U38" i="5" s="1"/>
  <c r="P38" i="5"/>
  <c r="G38" i="5"/>
  <c r="T37" i="5"/>
  <c r="S37" i="5"/>
  <c r="U37" i="5" s="1"/>
  <c r="P37" i="5"/>
  <c r="G37" i="5"/>
  <c r="T36" i="5"/>
  <c r="S36" i="5"/>
  <c r="U36" i="5" s="1"/>
  <c r="P36" i="5"/>
  <c r="G36" i="5"/>
  <c r="T35" i="5"/>
  <c r="S35" i="5"/>
  <c r="P35" i="5"/>
  <c r="G35" i="5"/>
  <c r="T34" i="5"/>
  <c r="S34" i="5"/>
  <c r="U34" i="5" s="1"/>
  <c r="P34" i="5"/>
  <c r="G34" i="5"/>
  <c r="T33" i="5"/>
  <c r="S33" i="5"/>
  <c r="P33" i="5"/>
  <c r="G33" i="5"/>
  <c r="T32" i="5"/>
  <c r="S32" i="5"/>
  <c r="P32" i="5"/>
  <c r="J32" i="5"/>
  <c r="G32" i="5"/>
  <c r="T31" i="5"/>
  <c r="S31" i="5"/>
  <c r="P31" i="5"/>
  <c r="J31" i="5"/>
  <c r="G31" i="5"/>
  <c r="T30" i="5"/>
  <c r="S30" i="5"/>
  <c r="P30" i="5"/>
  <c r="G30" i="5"/>
  <c r="T29" i="5"/>
  <c r="S29" i="5"/>
  <c r="P29" i="5"/>
  <c r="J29" i="5"/>
  <c r="G29" i="5"/>
  <c r="T28" i="5"/>
  <c r="S28" i="5"/>
  <c r="U28" i="5" s="1"/>
  <c r="P28" i="5"/>
  <c r="J28" i="5"/>
  <c r="G28" i="5"/>
  <c r="T27" i="5"/>
  <c r="S27" i="5"/>
  <c r="P27" i="5"/>
  <c r="G27" i="5"/>
  <c r="T26" i="5"/>
  <c r="S26" i="5"/>
  <c r="U26" i="5" s="1"/>
  <c r="P26" i="5"/>
  <c r="G26" i="5"/>
  <c r="T25" i="5"/>
  <c r="S25" i="5"/>
  <c r="U25" i="5" s="1"/>
  <c r="P25" i="5"/>
  <c r="J25" i="5"/>
  <c r="G25" i="5"/>
  <c r="T24" i="5"/>
  <c r="S24" i="5"/>
  <c r="P24" i="5"/>
  <c r="G24" i="5"/>
  <c r="T23" i="5"/>
  <c r="S23" i="5"/>
  <c r="P23" i="5"/>
  <c r="J23" i="5"/>
  <c r="G23" i="5"/>
  <c r="T22" i="5"/>
  <c r="S22" i="5"/>
  <c r="U22" i="5" s="1"/>
  <c r="P22" i="5"/>
  <c r="G22" i="5"/>
  <c r="T21" i="5"/>
  <c r="S21" i="5"/>
  <c r="U21" i="5" s="1"/>
  <c r="P21" i="5"/>
  <c r="J21" i="5"/>
  <c r="G21" i="5"/>
  <c r="T20" i="5"/>
  <c r="S20" i="5"/>
  <c r="P20" i="5"/>
  <c r="G20" i="5"/>
  <c r="T19" i="5"/>
  <c r="S19" i="5"/>
  <c r="P19" i="5"/>
  <c r="G19" i="5"/>
  <c r="T18" i="5"/>
  <c r="S18" i="5"/>
  <c r="P18" i="5"/>
  <c r="G18" i="5"/>
  <c r="T17" i="5"/>
  <c r="S17" i="5"/>
  <c r="P17" i="5"/>
  <c r="G17" i="5"/>
  <c r="T16" i="5"/>
  <c r="S16" i="5"/>
  <c r="P16" i="5"/>
  <c r="G16" i="5"/>
  <c r="T15" i="5"/>
  <c r="S15" i="5"/>
  <c r="P15" i="5"/>
  <c r="J15" i="5"/>
  <c r="G15" i="5"/>
  <c r="T14" i="5"/>
  <c r="S14" i="5"/>
  <c r="P14" i="5"/>
  <c r="J14" i="5"/>
  <c r="G14" i="5"/>
  <c r="T13" i="5"/>
  <c r="S13" i="5"/>
  <c r="U13" i="5" s="1"/>
  <c r="P13" i="5"/>
  <c r="J13" i="5"/>
  <c r="G13" i="5"/>
  <c r="T12" i="5"/>
  <c r="S12" i="5"/>
  <c r="P12" i="5"/>
  <c r="G12" i="5"/>
  <c r="T11" i="5"/>
  <c r="S11" i="5"/>
  <c r="P11" i="5"/>
  <c r="G11" i="5"/>
  <c r="T10" i="5"/>
  <c r="S10" i="5"/>
  <c r="P10" i="5"/>
  <c r="G10" i="5"/>
  <c r="T9" i="5"/>
  <c r="S9" i="5"/>
  <c r="P9" i="5"/>
  <c r="G9" i="5"/>
  <c r="T8" i="5"/>
  <c r="S8" i="5"/>
  <c r="U8" i="5" s="1"/>
  <c r="P8" i="5"/>
  <c r="G8" i="5"/>
  <c r="T7" i="5"/>
  <c r="S7" i="5"/>
  <c r="U7" i="5" s="1"/>
  <c r="P7" i="5"/>
  <c r="G7" i="5"/>
  <c r="T6" i="5"/>
  <c r="S6" i="5"/>
  <c r="U6" i="5" s="1"/>
  <c r="P6" i="5"/>
  <c r="J6" i="5"/>
  <c r="G6" i="5"/>
  <c r="T5" i="5"/>
  <c r="S5" i="5"/>
  <c r="P5" i="5"/>
  <c r="G5" i="5"/>
  <c r="T4" i="5"/>
  <c r="S4" i="5"/>
  <c r="P4" i="5"/>
  <c r="J4" i="5"/>
  <c r="G4" i="5"/>
  <c r="T3" i="5"/>
  <c r="S3" i="5"/>
  <c r="U3" i="5" s="1"/>
  <c r="P3" i="5"/>
  <c r="G3" i="5"/>
  <c r="Q82" i="3"/>
  <c r="S82" i="3" s="1"/>
  <c r="Q83" i="3"/>
  <c r="S83" i="3" s="1"/>
  <c r="Q84" i="3"/>
  <c r="Q85" i="3"/>
  <c r="S85" i="3" s="1"/>
  <c r="Q86" i="3"/>
  <c r="S86" i="3" s="1"/>
  <c r="Q87" i="3"/>
  <c r="S87" i="3" s="1"/>
  <c r="Q88" i="3"/>
  <c r="S88" i="3" s="1"/>
  <c r="Q89" i="3"/>
  <c r="S89" i="3" s="1"/>
  <c r="Q90" i="3"/>
  <c r="S90" i="3" s="1"/>
  <c r="Q91" i="3"/>
  <c r="S91" i="3" s="1"/>
  <c r="Q92" i="3"/>
  <c r="S92" i="3" s="1"/>
  <c r="Q93" i="3"/>
  <c r="Q94" i="3"/>
  <c r="S94" i="3" s="1"/>
  <c r="Q95" i="3"/>
  <c r="S95" i="3" s="1"/>
  <c r="Q96" i="3"/>
  <c r="S96" i="3" s="1"/>
  <c r="Q97" i="3"/>
  <c r="S97" i="3" s="1"/>
  <c r="Q98" i="3"/>
  <c r="S98" i="3" s="1"/>
  <c r="Q99" i="3"/>
  <c r="Q100" i="3"/>
  <c r="S100" i="3" s="1"/>
  <c r="Q101" i="3"/>
  <c r="S101" i="3" s="1"/>
  <c r="Q102" i="3"/>
  <c r="S102" i="3" s="1"/>
  <c r="Q103" i="3"/>
  <c r="S103" i="3" s="1"/>
  <c r="U103" i="3" s="1"/>
  <c r="T100" i="3"/>
  <c r="T101" i="3"/>
  <c r="T102" i="3"/>
  <c r="T103" i="3"/>
  <c r="P100" i="3"/>
  <c r="P101" i="3"/>
  <c r="P102" i="3"/>
  <c r="P103" i="3"/>
  <c r="Q4" i="3"/>
  <c r="S4" i="3" s="1"/>
  <c r="Q5" i="3"/>
  <c r="S5" i="3" s="1"/>
  <c r="Q6" i="3"/>
  <c r="S6" i="3" s="1"/>
  <c r="Q7" i="3"/>
  <c r="S7" i="3" s="1"/>
  <c r="Q8" i="3"/>
  <c r="S8" i="3" s="1"/>
  <c r="Q9" i="3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 s="1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 s="1"/>
  <c r="Q34" i="3"/>
  <c r="S34" i="3" s="1"/>
  <c r="Q35" i="3"/>
  <c r="S35" i="3" s="1"/>
  <c r="Q36" i="3"/>
  <c r="S36" i="3" s="1"/>
  <c r="Q37" i="3"/>
  <c r="S37" i="3" s="1"/>
  <c r="Q38" i="3"/>
  <c r="S38" i="3" s="1"/>
  <c r="Q39" i="3"/>
  <c r="S39" i="3" s="1"/>
  <c r="Q40" i="3"/>
  <c r="S40" i="3" s="1"/>
  <c r="Q41" i="3"/>
  <c r="S41" i="3" s="1"/>
  <c r="Q42" i="3"/>
  <c r="S42" i="3" s="1"/>
  <c r="Q43" i="3"/>
  <c r="S43" i="3" s="1"/>
  <c r="Q44" i="3"/>
  <c r="S44" i="3" s="1"/>
  <c r="Q45" i="3"/>
  <c r="S45" i="3" s="1"/>
  <c r="Q46" i="3"/>
  <c r="S46" i="3" s="1"/>
  <c r="Q47" i="3"/>
  <c r="S47" i="3" s="1"/>
  <c r="Q48" i="3"/>
  <c r="S48" i="3" s="1"/>
  <c r="Q49" i="3"/>
  <c r="S49" i="3" s="1"/>
  <c r="Q50" i="3"/>
  <c r="S50" i="3" s="1"/>
  <c r="Q51" i="3"/>
  <c r="S51" i="3" s="1"/>
  <c r="Q52" i="3"/>
  <c r="S52" i="3" s="1"/>
  <c r="Q53" i="3"/>
  <c r="S53" i="3" s="1"/>
  <c r="Q54" i="3"/>
  <c r="S54" i="3" s="1"/>
  <c r="Q55" i="3"/>
  <c r="S55" i="3" s="1"/>
  <c r="Q56" i="3"/>
  <c r="S56" i="3" s="1"/>
  <c r="Q57" i="3"/>
  <c r="S57" i="3" s="1"/>
  <c r="Q58" i="3"/>
  <c r="S58" i="3" s="1"/>
  <c r="Q59" i="3"/>
  <c r="S59" i="3" s="1"/>
  <c r="Q60" i="3"/>
  <c r="S60" i="3" s="1"/>
  <c r="Q61" i="3"/>
  <c r="S61" i="3" s="1"/>
  <c r="Q62" i="3"/>
  <c r="S62" i="3" s="1"/>
  <c r="Q63" i="3"/>
  <c r="S63" i="3" s="1"/>
  <c r="Q64" i="3"/>
  <c r="S64" i="3" s="1"/>
  <c r="Q65" i="3"/>
  <c r="S65" i="3" s="1"/>
  <c r="Q66" i="3"/>
  <c r="S66" i="3" s="1"/>
  <c r="Q67" i="3"/>
  <c r="S67" i="3" s="1"/>
  <c r="Q68" i="3"/>
  <c r="S68" i="3" s="1"/>
  <c r="Q69" i="3"/>
  <c r="S69" i="3" s="1"/>
  <c r="Q70" i="3"/>
  <c r="S70" i="3" s="1"/>
  <c r="Q71" i="3"/>
  <c r="S71" i="3" s="1"/>
  <c r="Q72" i="3"/>
  <c r="S72" i="3" s="1"/>
  <c r="Q73" i="3"/>
  <c r="S73" i="3" s="1"/>
  <c r="Q74" i="3"/>
  <c r="S74" i="3" s="1"/>
  <c r="Q75" i="3"/>
  <c r="S75" i="3" s="1"/>
  <c r="Q76" i="3"/>
  <c r="S76" i="3" s="1"/>
  <c r="Q77" i="3"/>
  <c r="S77" i="3" s="1"/>
  <c r="Q78" i="3"/>
  <c r="S78" i="3" s="1"/>
  <c r="Q79" i="3"/>
  <c r="S79" i="3" s="1"/>
  <c r="Q80" i="3"/>
  <c r="S80" i="3" s="1"/>
  <c r="Q81" i="3"/>
  <c r="S81" i="3" s="1"/>
  <c r="Q3" i="3"/>
  <c r="S3" i="3" s="1"/>
  <c r="P3" i="3"/>
  <c r="T3" i="3"/>
  <c r="P4" i="3"/>
  <c r="T4" i="3"/>
  <c r="P5" i="3"/>
  <c r="T5" i="3"/>
  <c r="P6" i="3"/>
  <c r="T6" i="3"/>
  <c r="P7" i="3"/>
  <c r="T7" i="3"/>
  <c r="P8" i="3"/>
  <c r="T8" i="3"/>
  <c r="P9" i="3"/>
  <c r="S9" i="3"/>
  <c r="T9" i="3"/>
  <c r="P10" i="3"/>
  <c r="T10" i="3"/>
  <c r="P11" i="3"/>
  <c r="T11" i="3"/>
  <c r="P12" i="3"/>
  <c r="T12" i="3"/>
  <c r="P13" i="3"/>
  <c r="T13" i="3"/>
  <c r="P14" i="3"/>
  <c r="T14" i="3"/>
  <c r="P15" i="3"/>
  <c r="T15" i="3"/>
  <c r="P16" i="3"/>
  <c r="T16" i="3"/>
  <c r="P17" i="3"/>
  <c r="T17" i="3"/>
  <c r="P18" i="3"/>
  <c r="T18" i="3"/>
  <c r="P19" i="3"/>
  <c r="T19" i="3"/>
  <c r="P20" i="3"/>
  <c r="T20" i="3"/>
  <c r="P21" i="3"/>
  <c r="T21" i="3"/>
  <c r="P22" i="3"/>
  <c r="T22" i="3"/>
  <c r="P23" i="3"/>
  <c r="T23" i="3"/>
  <c r="P24" i="3"/>
  <c r="T24" i="3"/>
  <c r="P25" i="3"/>
  <c r="T25" i="3"/>
  <c r="P26" i="3"/>
  <c r="T26" i="3"/>
  <c r="P27" i="3"/>
  <c r="T27" i="3"/>
  <c r="P28" i="3"/>
  <c r="T28" i="3"/>
  <c r="P29" i="3"/>
  <c r="T29" i="3"/>
  <c r="P30" i="3"/>
  <c r="T30" i="3"/>
  <c r="P31" i="3"/>
  <c r="T31" i="3"/>
  <c r="P32" i="3"/>
  <c r="T32" i="3"/>
  <c r="P33" i="3"/>
  <c r="T33" i="3"/>
  <c r="P34" i="3"/>
  <c r="T34" i="3"/>
  <c r="P35" i="3"/>
  <c r="T35" i="3"/>
  <c r="P36" i="3"/>
  <c r="T36" i="3"/>
  <c r="P37" i="3"/>
  <c r="T37" i="3"/>
  <c r="P38" i="3"/>
  <c r="T38" i="3"/>
  <c r="P39" i="3"/>
  <c r="T39" i="3"/>
  <c r="P40" i="3"/>
  <c r="T40" i="3"/>
  <c r="P41" i="3"/>
  <c r="T41" i="3"/>
  <c r="P42" i="3"/>
  <c r="T42" i="3"/>
  <c r="P43" i="3"/>
  <c r="T43" i="3"/>
  <c r="P44" i="3"/>
  <c r="T44" i="3"/>
  <c r="P45" i="3"/>
  <c r="T45" i="3"/>
  <c r="P46" i="3"/>
  <c r="T46" i="3"/>
  <c r="P47" i="3"/>
  <c r="T47" i="3"/>
  <c r="P48" i="3"/>
  <c r="T48" i="3"/>
  <c r="P49" i="3"/>
  <c r="T49" i="3"/>
  <c r="P50" i="3"/>
  <c r="T50" i="3"/>
  <c r="P51" i="3"/>
  <c r="T51" i="3"/>
  <c r="P52" i="3"/>
  <c r="T52" i="3"/>
  <c r="P53" i="3"/>
  <c r="T53" i="3"/>
  <c r="P54" i="3"/>
  <c r="T54" i="3"/>
  <c r="P55" i="3"/>
  <c r="T55" i="3"/>
  <c r="P56" i="3"/>
  <c r="T56" i="3"/>
  <c r="P57" i="3"/>
  <c r="T57" i="3"/>
  <c r="P58" i="3"/>
  <c r="T58" i="3"/>
  <c r="P59" i="3"/>
  <c r="T59" i="3"/>
  <c r="P60" i="3"/>
  <c r="T60" i="3"/>
  <c r="P61" i="3"/>
  <c r="T61" i="3"/>
  <c r="P62" i="3"/>
  <c r="T62" i="3"/>
  <c r="P63" i="3"/>
  <c r="T63" i="3"/>
  <c r="P64" i="3"/>
  <c r="T64" i="3"/>
  <c r="P65" i="3"/>
  <c r="T65" i="3"/>
  <c r="P66" i="3"/>
  <c r="T66" i="3"/>
  <c r="P67" i="3"/>
  <c r="T67" i="3"/>
  <c r="P68" i="3"/>
  <c r="T68" i="3"/>
  <c r="P69" i="3"/>
  <c r="T69" i="3"/>
  <c r="P70" i="3"/>
  <c r="T70" i="3"/>
  <c r="P71" i="3"/>
  <c r="T71" i="3"/>
  <c r="P72" i="3"/>
  <c r="T72" i="3"/>
  <c r="P73" i="3"/>
  <c r="T73" i="3"/>
  <c r="P74" i="3"/>
  <c r="T74" i="3"/>
  <c r="P75" i="3"/>
  <c r="T75" i="3"/>
  <c r="P76" i="3"/>
  <c r="T76" i="3"/>
  <c r="P77" i="3"/>
  <c r="T77" i="3"/>
  <c r="P78" i="3"/>
  <c r="T78" i="3"/>
  <c r="P79" i="3"/>
  <c r="T79" i="3"/>
  <c r="P80" i="3"/>
  <c r="T80" i="3"/>
  <c r="P81" i="3"/>
  <c r="T81" i="3"/>
  <c r="P82" i="3"/>
  <c r="T82" i="3"/>
  <c r="P83" i="3"/>
  <c r="T83" i="3"/>
  <c r="P84" i="3"/>
  <c r="S84" i="3"/>
  <c r="T84" i="3"/>
  <c r="P85" i="3"/>
  <c r="T85" i="3"/>
  <c r="P86" i="3"/>
  <c r="T86" i="3"/>
  <c r="P87" i="3"/>
  <c r="T87" i="3"/>
  <c r="P88" i="3"/>
  <c r="T88" i="3"/>
  <c r="P89" i="3"/>
  <c r="T89" i="3"/>
  <c r="P90" i="3"/>
  <c r="T90" i="3"/>
  <c r="P91" i="3"/>
  <c r="T91" i="3"/>
  <c r="P92" i="3"/>
  <c r="T92" i="3"/>
  <c r="P93" i="3"/>
  <c r="S93" i="3"/>
  <c r="T93" i="3"/>
  <c r="P94" i="3"/>
  <c r="T94" i="3"/>
  <c r="P95" i="3"/>
  <c r="T95" i="3"/>
  <c r="P96" i="3"/>
  <c r="T96" i="3"/>
  <c r="P97" i="3"/>
  <c r="T97" i="3"/>
  <c r="P98" i="3"/>
  <c r="T98" i="3"/>
  <c r="P99" i="3"/>
  <c r="S99" i="3"/>
  <c r="T99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S95" i="2"/>
  <c r="Q94" i="2"/>
  <c r="S94" i="2" s="1"/>
  <c r="Q93" i="2"/>
  <c r="S93" i="2" s="1"/>
  <c r="Q92" i="2"/>
  <c r="S92" i="2" s="1"/>
  <c r="Q75" i="2"/>
  <c r="S75" i="2" s="1"/>
  <c r="Q76" i="2"/>
  <c r="S76" i="2" s="1"/>
  <c r="Q77" i="2"/>
  <c r="S77" i="2" s="1"/>
  <c r="Q78" i="2"/>
  <c r="S78" i="2" s="1"/>
  <c r="Q79" i="2"/>
  <c r="S79" i="2" s="1"/>
  <c r="S80" i="2"/>
  <c r="Q81" i="2"/>
  <c r="Q82" i="2"/>
  <c r="S82" i="2" s="1"/>
  <c r="Q83" i="2"/>
  <c r="S83" i="2" s="1"/>
  <c r="Q84" i="2"/>
  <c r="S84" i="2" s="1"/>
  <c r="Q85" i="2"/>
  <c r="S85" i="2" s="1"/>
  <c r="Q86" i="2"/>
  <c r="S86" i="2" s="1"/>
  <c r="Q87" i="2"/>
  <c r="S87" i="2" s="1"/>
  <c r="S88" i="2"/>
  <c r="Q89" i="2"/>
  <c r="S89" i="2" s="1"/>
  <c r="Q90" i="2"/>
  <c r="S90" i="2" s="1"/>
  <c r="Q91" i="2"/>
  <c r="S91" i="2" s="1"/>
  <c r="Q74" i="2"/>
  <c r="S74" i="2" s="1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U50" i="2" s="1"/>
  <c r="T51" i="2"/>
  <c r="T52" i="2"/>
  <c r="T53" i="2"/>
  <c r="T54" i="2"/>
  <c r="T55" i="2"/>
  <c r="T56" i="2"/>
  <c r="T57" i="2"/>
  <c r="T58" i="2"/>
  <c r="U58" i="2" s="1"/>
  <c r="T59" i="2"/>
  <c r="T60" i="2"/>
  <c r="T61" i="2"/>
  <c r="T62" i="2"/>
  <c r="T63" i="2"/>
  <c r="T64" i="2"/>
  <c r="T65" i="2"/>
  <c r="T66" i="2"/>
  <c r="U66" i="2" s="1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U39" i="2" s="1"/>
  <c r="S40" i="2"/>
  <c r="S41" i="2"/>
  <c r="S42" i="2"/>
  <c r="S43" i="2"/>
  <c r="S44" i="2"/>
  <c r="S45" i="2"/>
  <c r="S46" i="2"/>
  <c r="S47" i="2"/>
  <c r="U47" i="2" s="1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U71" i="2" s="1"/>
  <c r="S72" i="2"/>
  <c r="S73" i="2"/>
  <c r="S81" i="2"/>
  <c r="S96" i="2"/>
  <c r="S97" i="2"/>
  <c r="S98" i="2"/>
  <c r="S99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D8" i="13" l="1"/>
  <c r="E8" i="13"/>
  <c r="H182" i="4"/>
  <c r="C7" i="13" s="1"/>
  <c r="D7" i="13" s="1"/>
  <c r="H204" i="6"/>
  <c r="C9" i="13" s="1"/>
  <c r="D9" i="13" s="1"/>
  <c r="I194" i="1"/>
  <c r="I205" i="1"/>
  <c r="I207" i="1"/>
  <c r="I191" i="1"/>
  <c r="I204" i="1"/>
  <c r="H194" i="1"/>
  <c r="H195" i="1" s="1"/>
  <c r="H196" i="1" s="1"/>
  <c r="I202" i="1"/>
  <c r="I206" i="1"/>
  <c r="I182" i="3"/>
  <c r="H182" i="3"/>
  <c r="U102" i="3"/>
  <c r="I196" i="3"/>
  <c r="H196" i="3"/>
  <c r="I197" i="3"/>
  <c r="H197" i="3"/>
  <c r="I169" i="2"/>
  <c r="H169" i="2"/>
  <c r="U42" i="2"/>
  <c r="U33" i="2"/>
  <c r="U25" i="2"/>
  <c r="U93" i="2"/>
  <c r="U80" i="3"/>
  <c r="U101" i="3"/>
  <c r="I183" i="3"/>
  <c r="I199" i="3"/>
  <c r="U100" i="3"/>
  <c r="U99" i="3"/>
  <c r="I186" i="3"/>
  <c r="I180" i="3"/>
  <c r="I194" i="3"/>
  <c r="U77" i="3"/>
  <c r="I198" i="3"/>
  <c r="U95" i="3"/>
  <c r="U82" i="3"/>
  <c r="I184" i="3"/>
  <c r="I200" i="3"/>
  <c r="U89" i="3"/>
  <c r="I185" i="3"/>
  <c r="H198" i="3"/>
  <c r="I157" i="2"/>
  <c r="I173" i="2"/>
  <c r="U28" i="2"/>
  <c r="U77" i="2"/>
  <c r="I158" i="2"/>
  <c r="U79" i="2"/>
  <c r="U34" i="2"/>
  <c r="I153" i="2"/>
  <c r="I155" i="2"/>
  <c r="U98" i="2"/>
  <c r="U83" i="2"/>
  <c r="U65" i="2"/>
  <c r="U96" i="2"/>
  <c r="I156" i="2"/>
  <c r="U70" i="2"/>
  <c r="U46" i="2"/>
  <c r="U38" i="2"/>
  <c r="U26" i="2"/>
  <c r="U29" i="2"/>
  <c r="U21" i="2"/>
  <c r="U78" i="2"/>
  <c r="I170" i="2"/>
  <c r="I172" i="2"/>
  <c r="U82" i="2"/>
  <c r="U92" i="2"/>
  <c r="U99" i="2"/>
  <c r="U32" i="2"/>
  <c r="U24" i="2"/>
  <c r="I159" i="2"/>
  <c r="U27" i="2"/>
  <c r="U31" i="2"/>
  <c r="U23" i="2"/>
  <c r="U88" i="2"/>
  <c r="U94" i="2"/>
  <c r="I167" i="2"/>
  <c r="U30" i="2"/>
  <c r="U22" i="2"/>
  <c r="U95" i="2"/>
  <c r="I171" i="2"/>
  <c r="U91" i="2"/>
  <c r="U81" i="2"/>
  <c r="U73" i="2"/>
  <c r="U49" i="2"/>
  <c r="U41" i="2"/>
  <c r="U62" i="5"/>
  <c r="U87" i="5"/>
  <c r="U79" i="5"/>
  <c r="U65" i="5"/>
  <c r="U63" i="5"/>
  <c r="U53" i="5"/>
  <c r="U51" i="5"/>
  <c r="U49" i="5"/>
  <c r="U48" i="5"/>
  <c r="U47" i="5"/>
  <c r="U45" i="5"/>
  <c r="U44" i="5"/>
  <c r="U43" i="5"/>
  <c r="U42" i="5"/>
  <c r="U41" i="5"/>
  <c r="U39" i="5"/>
  <c r="U35" i="5"/>
  <c r="U10" i="5"/>
  <c r="U12" i="5"/>
  <c r="U19" i="5"/>
  <c r="U33" i="5"/>
  <c r="U84" i="5"/>
  <c r="U92" i="5"/>
  <c r="U100" i="5"/>
  <c r="U5" i="5"/>
  <c r="U23" i="5"/>
  <c r="U30" i="5"/>
  <c r="U57" i="5"/>
  <c r="U59" i="5"/>
  <c r="U82" i="5"/>
  <c r="U80" i="5"/>
  <c r="U88" i="5"/>
  <c r="U96" i="5"/>
  <c r="U4" i="5"/>
  <c r="U24" i="5"/>
  <c r="U29" i="5"/>
  <c r="U56" i="5"/>
  <c r="U58" i="5"/>
  <c r="U60" i="5"/>
  <c r="U78" i="5"/>
  <c r="U86" i="5"/>
  <c r="U15" i="5"/>
  <c r="U17" i="5"/>
  <c r="U31" i="5"/>
  <c r="U50" i="5"/>
  <c r="U52" i="5"/>
  <c r="U54" i="5"/>
  <c r="U77" i="5"/>
  <c r="U90" i="5"/>
  <c r="U98" i="5"/>
  <c r="U103" i="5"/>
  <c r="U14" i="5"/>
  <c r="U91" i="5"/>
  <c r="U16" i="5"/>
  <c r="U94" i="5"/>
  <c r="U9" i="5"/>
  <c r="U11" i="5"/>
  <c r="U18" i="5"/>
  <c r="U20" i="5"/>
  <c r="U27" i="5"/>
  <c r="U32" i="5"/>
  <c r="U55" i="5"/>
  <c r="U89" i="5"/>
  <c r="U97" i="5"/>
  <c r="U102" i="5"/>
  <c r="H184" i="3"/>
  <c r="H171" i="2"/>
  <c r="H194" i="3"/>
  <c r="H199" i="3"/>
  <c r="H200" i="3"/>
  <c r="H180" i="3"/>
  <c r="H183" i="3"/>
  <c r="H185" i="3"/>
  <c r="H186" i="3"/>
  <c r="H167" i="2"/>
  <c r="H170" i="2"/>
  <c r="H172" i="2"/>
  <c r="H173" i="2"/>
  <c r="H153" i="2"/>
  <c r="H156" i="2"/>
  <c r="H158" i="2"/>
  <c r="H159" i="2"/>
  <c r="H155" i="2"/>
  <c r="H157" i="2"/>
  <c r="H206" i="1"/>
  <c r="H202" i="1"/>
  <c r="H205" i="1"/>
  <c r="H207" i="1"/>
  <c r="H208" i="1"/>
  <c r="I193" i="1"/>
  <c r="I188" i="1"/>
  <c r="I192" i="1"/>
  <c r="I190" i="1"/>
  <c r="U97" i="3"/>
  <c r="U88" i="3"/>
  <c r="U84" i="3"/>
  <c r="U96" i="3"/>
  <c r="U91" i="3"/>
  <c r="U86" i="3"/>
  <c r="U79" i="3"/>
  <c r="U75" i="3"/>
  <c r="U74" i="3"/>
  <c r="U69" i="3"/>
  <c r="U45" i="3"/>
  <c r="U72" i="3"/>
  <c r="U71" i="3"/>
  <c r="U64" i="3"/>
  <c r="U63" i="3"/>
  <c r="U61" i="3"/>
  <c r="U56" i="3"/>
  <c r="U55" i="3"/>
  <c r="U53" i="3"/>
  <c r="U48" i="3"/>
  <c r="U47" i="3"/>
  <c r="U40" i="3"/>
  <c r="U39" i="3"/>
  <c r="U37" i="3"/>
  <c r="U32" i="3"/>
  <c r="U31" i="3"/>
  <c r="U29" i="3"/>
  <c r="U24" i="3"/>
  <c r="U23" i="3"/>
  <c r="U21" i="3"/>
  <c r="U16" i="3"/>
  <c r="U15" i="3"/>
  <c r="U13" i="3"/>
  <c r="U8" i="3"/>
  <c r="U7" i="3"/>
  <c r="U5" i="3"/>
  <c r="U66" i="3"/>
  <c r="U58" i="3"/>
  <c r="U50" i="3"/>
  <c r="U42" i="3"/>
  <c r="U34" i="3"/>
  <c r="U26" i="3"/>
  <c r="U18" i="3"/>
  <c r="U10" i="3"/>
  <c r="U68" i="3"/>
  <c r="U60" i="3"/>
  <c r="U52" i="3"/>
  <c r="U44" i="3"/>
  <c r="U36" i="3"/>
  <c r="U28" i="3"/>
  <c r="U20" i="3"/>
  <c r="U12" i="3"/>
  <c r="U4" i="3"/>
  <c r="U73" i="3"/>
  <c r="U65" i="3"/>
  <c r="U57" i="3"/>
  <c r="U49" i="3"/>
  <c r="U41" i="3"/>
  <c r="U33" i="3"/>
  <c r="U25" i="3"/>
  <c r="U17" i="3"/>
  <c r="U9" i="3"/>
  <c r="U70" i="3"/>
  <c r="U62" i="3"/>
  <c r="U54" i="3"/>
  <c r="U46" i="3"/>
  <c r="U38" i="3"/>
  <c r="U30" i="3"/>
  <c r="U22" i="3"/>
  <c r="U14" i="3"/>
  <c r="U6" i="3"/>
  <c r="U67" i="3"/>
  <c r="U59" i="3"/>
  <c r="U51" i="3"/>
  <c r="U43" i="3"/>
  <c r="U35" i="3"/>
  <c r="U27" i="3"/>
  <c r="U19" i="3"/>
  <c r="U11" i="3"/>
  <c r="U3" i="3"/>
  <c r="U94" i="3"/>
  <c r="U81" i="3"/>
  <c r="U98" i="3"/>
  <c r="U83" i="3"/>
  <c r="U76" i="3"/>
  <c r="U93" i="3"/>
  <c r="U78" i="3"/>
  <c r="U90" i="3"/>
  <c r="U85" i="3"/>
  <c r="U92" i="3"/>
  <c r="U87" i="3"/>
  <c r="U97" i="2"/>
  <c r="U89" i="2"/>
  <c r="U86" i="2"/>
  <c r="U87" i="2"/>
  <c r="U90" i="2"/>
  <c r="U80" i="2"/>
  <c r="U85" i="2"/>
  <c r="U84" i="2"/>
  <c r="U74" i="2"/>
  <c r="U76" i="2"/>
  <c r="U75" i="2"/>
  <c r="U72" i="2"/>
  <c r="U64" i="2"/>
  <c r="U63" i="2"/>
  <c r="U62" i="2"/>
  <c r="U57" i="2"/>
  <c r="U56" i="2"/>
  <c r="U55" i="2"/>
  <c r="U69" i="2"/>
  <c r="U68" i="2"/>
  <c r="U67" i="2"/>
  <c r="U61" i="2"/>
  <c r="U60" i="2"/>
  <c r="U59" i="2"/>
  <c r="U54" i="2"/>
  <c r="U48" i="2"/>
  <c r="U40" i="2"/>
  <c r="U53" i="2"/>
  <c r="U52" i="2"/>
  <c r="U51" i="2"/>
  <c r="U45" i="2"/>
  <c r="U44" i="2"/>
  <c r="U43" i="2"/>
  <c r="U37" i="2"/>
  <c r="U36" i="2"/>
  <c r="U35" i="2"/>
  <c r="I209" i="1" l="1"/>
  <c r="I160" i="2"/>
  <c r="I201" i="3"/>
  <c r="I187" i="3"/>
  <c r="I174" i="2"/>
  <c r="H174" i="2"/>
  <c r="H175" i="2" s="1"/>
  <c r="H201" i="3"/>
  <c r="H202" i="3" s="1"/>
  <c r="H187" i="3"/>
  <c r="H188" i="3" s="1"/>
  <c r="H189" i="3" s="1"/>
  <c r="H160" i="2"/>
  <c r="H161" i="2" s="1"/>
  <c r="H209" i="1"/>
  <c r="H210" i="1" s="1"/>
  <c r="I195" i="1"/>
  <c r="H197" i="1" s="1"/>
  <c r="B4" i="13" s="1"/>
  <c r="H211" i="1" l="1"/>
  <c r="C4" i="13" s="1"/>
  <c r="D4" i="13" s="1"/>
  <c r="H162" i="2"/>
  <c r="H203" i="3"/>
  <c r="H176" i="2"/>
  <c r="G57" i="3"/>
  <c r="G36" i="3"/>
  <c r="G37" i="3"/>
  <c r="G38" i="3"/>
  <c r="G39" i="3"/>
  <c r="G40" i="3"/>
  <c r="G41" i="3"/>
  <c r="G29" i="3"/>
  <c r="G30" i="3"/>
  <c r="G31" i="3"/>
  <c r="G32" i="3"/>
  <c r="G33" i="3"/>
  <c r="G34" i="3"/>
  <c r="G35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G17" i="3"/>
  <c r="G18" i="3"/>
  <c r="G19" i="3"/>
  <c r="G20" i="3"/>
  <c r="G21" i="3"/>
  <c r="G22" i="3"/>
  <c r="G23" i="3"/>
  <c r="G24" i="3"/>
  <c r="G25" i="3"/>
  <c r="G26" i="3"/>
  <c r="G27" i="3"/>
  <c r="G28" i="3"/>
  <c r="J17" i="3"/>
  <c r="J18" i="3"/>
  <c r="J19" i="3"/>
  <c r="J20" i="3"/>
  <c r="J21" i="3"/>
  <c r="J22" i="3"/>
  <c r="J16" i="3"/>
  <c r="J15" i="3"/>
  <c r="J14" i="3"/>
  <c r="J13" i="3"/>
  <c r="J12" i="3"/>
  <c r="G16" i="3"/>
  <c r="G15" i="3"/>
  <c r="J11" i="3"/>
  <c r="G14" i="3"/>
  <c r="G13" i="3"/>
  <c r="G12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  <c r="G140" i="2"/>
  <c r="G141" i="2"/>
  <c r="G142" i="2"/>
  <c r="G143" i="2"/>
  <c r="G144" i="2"/>
  <c r="G145" i="2"/>
  <c r="G146" i="2"/>
  <c r="G147" i="2"/>
  <c r="G148" i="2"/>
  <c r="G149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28" i="2"/>
  <c r="J129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30" i="2"/>
  <c r="J131" i="2"/>
  <c r="J132" i="2"/>
  <c r="J133" i="2"/>
  <c r="J134" i="2"/>
  <c r="J135" i="2"/>
  <c r="J136" i="2"/>
  <c r="J137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J22" i="2"/>
  <c r="J23" i="2"/>
  <c r="J24" i="2"/>
  <c r="J25" i="2"/>
  <c r="J26" i="2"/>
  <c r="J27" i="2"/>
  <c r="G26" i="2"/>
  <c r="G25" i="2"/>
  <c r="G24" i="2"/>
  <c r="G23" i="2"/>
  <c r="G22" i="2"/>
  <c r="P12" i="2" l="1"/>
  <c r="P13" i="2"/>
  <c r="P14" i="2"/>
  <c r="P15" i="2"/>
  <c r="P16" i="2"/>
  <c r="P17" i="2"/>
  <c r="P18" i="2"/>
  <c r="P19" i="2"/>
  <c r="T6" i="2"/>
  <c r="T7" i="2"/>
  <c r="T8" i="2"/>
  <c r="T9" i="2"/>
  <c r="T10" i="2"/>
  <c r="U10" i="2" s="1"/>
  <c r="T11" i="2"/>
  <c r="T12" i="2"/>
  <c r="T13" i="2"/>
  <c r="T14" i="2"/>
  <c r="T15" i="2"/>
  <c r="T16" i="2"/>
  <c r="T17" i="2"/>
  <c r="T18" i="2"/>
  <c r="T19" i="2"/>
  <c r="T20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P6" i="2"/>
  <c r="P7" i="2"/>
  <c r="P8" i="2"/>
  <c r="P9" i="2"/>
  <c r="P10" i="2"/>
  <c r="P11" i="2"/>
  <c r="T5" i="2"/>
  <c r="S5" i="2"/>
  <c r="P5" i="2"/>
  <c r="T4" i="2"/>
  <c r="S4" i="2"/>
  <c r="P4" i="2"/>
  <c r="T3" i="2"/>
  <c r="S3" i="2"/>
  <c r="P3" i="2"/>
  <c r="V101" i="1"/>
  <c r="V102" i="1"/>
  <c r="V103" i="1"/>
  <c r="V104" i="1"/>
  <c r="V105" i="1"/>
  <c r="U101" i="1"/>
  <c r="U102" i="1"/>
  <c r="U103" i="1"/>
  <c r="U104" i="1"/>
  <c r="U105" i="1"/>
  <c r="W105" i="1" s="1"/>
  <c r="R101" i="1"/>
  <c r="R102" i="1"/>
  <c r="R103" i="1"/>
  <c r="R104" i="1"/>
  <c r="R105" i="1"/>
  <c r="R88" i="1"/>
  <c r="R71" i="1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13" s="1"/>
  <c r="G5" i="2"/>
  <c r="J4" i="2"/>
  <c r="G4" i="2"/>
  <c r="J3" i="2"/>
  <c r="G3" i="2"/>
  <c r="G116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1" i="1"/>
  <c r="R92" i="1"/>
  <c r="R93" i="1"/>
  <c r="R94" i="1"/>
  <c r="R95" i="1"/>
  <c r="R96" i="1"/>
  <c r="R97" i="1"/>
  <c r="R98" i="1"/>
  <c r="R99" i="1"/>
  <c r="R100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G25" i="1"/>
  <c r="G26" i="1"/>
  <c r="G27" i="1"/>
  <c r="G28" i="1"/>
  <c r="G29" i="1"/>
  <c r="G30" i="1"/>
  <c r="G31" i="1"/>
  <c r="G32" i="1"/>
  <c r="G33" i="1"/>
  <c r="G34" i="1"/>
  <c r="G35" i="1"/>
  <c r="G20" i="1"/>
  <c r="G21" i="1"/>
  <c r="G22" i="1"/>
  <c r="G23" i="1"/>
  <c r="G24" i="1"/>
  <c r="G19" i="1"/>
  <c r="G18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W13" i="1" s="1"/>
  <c r="U14" i="1"/>
  <c r="V14" i="1"/>
  <c r="U15" i="1"/>
  <c r="V15" i="1"/>
  <c r="U16" i="1"/>
  <c r="V16" i="1"/>
  <c r="U17" i="1"/>
  <c r="V17" i="1"/>
  <c r="V3" i="1"/>
  <c r="U3" i="1"/>
  <c r="R3" i="1"/>
  <c r="W102" i="1" l="1"/>
  <c r="P135" i="1"/>
  <c r="I4" i="13"/>
  <c r="G4" i="13"/>
  <c r="E4" i="13"/>
  <c r="K4" i="13"/>
  <c r="H4" i="13"/>
  <c r="W69" i="1"/>
  <c r="W53" i="1"/>
  <c r="W37" i="1"/>
  <c r="J4" i="13"/>
  <c r="W14" i="1"/>
  <c r="W96" i="1"/>
  <c r="W72" i="1"/>
  <c r="W56" i="1"/>
  <c r="W11" i="1"/>
  <c r="W8" i="1"/>
  <c r="W98" i="1"/>
  <c r="W97" i="1"/>
  <c r="W81" i="1"/>
  <c r="W25" i="1"/>
  <c r="W9" i="1"/>
  <c r="W99" i="1"/>
  <c r="W67" i="1"/>
  <c r="W27" i="1"/>
  <c r="W79" i="1"/>
  <c r="W71" i="1"/>
  <c r="W47" i="1"/>
  <c r="W100" i="1"/>
  <c r="W86" i="1"/>
  <c r="W54" i="1"/>
  <c r="W6" i="1"/>
  <c r="W7" i="1"/>
  <c r="W82" i="1"/>
  <c r="W42" i="1"/>
  <c r="W103" i="1"/>
  <c r="W80" i="1"/>
  <c r="W4" i="1"/>
  <c r="W89" i="1"/>
  <c r="W92" i="1"/>
  <c r="W44" i="1"/>
  <c r="W15" i="1"/>
  <c r="W91" i="1"/>
  <c r="W19" i="1"/>
  <c r="W94" i="1"/>
  <c r="W93" i="1"/>
  <c r="W85" i="1"/>
  <c r="U8" i="2"/>
  <c r="U13" i="2"/>
  <c r="U20" i="2"/>
  <c r="U11" i="2"/>
  <c r="U6" i="2"/>
  <c r="U17" i="2"/>
  <c r="U9" i="2"/>
  <c r="U16" i="2"/>
  <c r="U19" i="2"/>
  <c r="U18" i="2"/>
  <c r="U15" i="2"/>
  <c r="U14" i="2"/>
  <c r="U12" i="2"/>
  <c r="U7" i="2"/>
  <c r="U5" i="2"/>
  <c r="U4" i="2"/>
  <c r="U3" i="2"/>
  <c r="W104" i="1"/>
  <c r="W101" i="1"/>
  <c r="W95" i="1"/>
  <c r="W90" i="1"/>
  <c r="W88" i="1"/>
  <c r="W87" i="1"/>
  <c r="R4" i="13" s="1"/>
  <c r="W84" i="1"/>
  <c r="W83" i="1"/>
  <c r="W78" i="1"/>
  <c r="W77" i="1"/>
  <c r="W76" i="1"/>
  <c r="W75" i="1"/>
  <c r="W74" i="1"/>
  <c r="W73" i="1"/>
  <c r="W70" i="1"/>
  <c r="W68" i="1"/>
  <c r="W66" i="1"/>
  <c r="W65" i="1"/>
  <c r="W64" i="1"/>
  <c r="W63" i="1"/>
  <c r="W62" i="1"/>
  <c r="W61" i="1"/>
  <c r="W60" i="1"/>
  <c r="W59" i="1"/>
  <c r="W58" i="1"/>
  <c r="W57" i="1"/>
  <c r="W55" i="1"/>
  <c r="W52" i="1"/>
  <c r="W51" i="1"/>
  <c r="W50" i="1"/>
  <c r="W49" i="1"/>
  <c r="W48" i="1"/>
  <c r="W46" i="1"/>
  <c r="W45" i="1"/>
  <c r="W43" i="1"/>
  <c r="W41" i="1"/>
  <c r="W40" i="1"/>
  <c r="W39" i="1"/>
  <c r="W38" i="1"/>
  <c r="W35" i="1"/>
  <c r="W36" i="1"/>
  <c r="W34" i="1"/>
  <c r="W33" i="1"/>
  <c r="W32" i="1"/>
  <c r="W31" i="1"/>
  <c r="W30" i="1"/>
  <c r="W29" i="1"/>
  <c r="W28" i="1"/>
  <c r="W26" i="1"/>
  <c r="W24" i="1"/>
  <c r="W23" i="1"/>
  <c r="W22" i="1"/>
  <c r="W21" i="1"/>
  <c r="W20" i="1"/>
  <c r="W18" i="1"/>
  <c r="W17" i="1"/>
  <c r="W16" i="1"/>
  <c r="W12" i="1"/>
  <c r="W10" i="1"/>
  <c r="W5" i="1"/>
  <c r="W3" i="1"/>
  <c r="N4" i="13" l="1"/>
  <c r="P4" i="13"/>
  <c r="O4" i="13"/>
  <c r="Q4" i="13"/>
  <c r="S4" i="13"/>
  <c r="M4" i="13"/>
</calcChain>
</file>

<file path=xl/sharedStrings.xml><?xml version="1.0" encoding="utf-8"?>
<sst xmlns="http://schemas.openxmlformats.org/spreadsheetml/2006/main" count="1987" uniqueCount="57">
  <si>
    <t>SL NO</t>
  </si>
  <si>
    <t>Vehicle Type</t>
  </si>
  <si>
    <t>Entry Time (sec)</t>
  </si>
  <si>
    <t>Exit Time (sec)</t>
  </si>
  <si>
    <t>Speed (Km/hr)</t>
  </si>
  <si>
    <t>LP for left wheel (m)</t>
  </si>
  <si>
    <t>VEHICLES TOWARDS THE CAMERA</t>
  </si>
  <si>
    <t>VEHICLES AWAY FROM CAMERA</t>
  </si>
  <si>
    <t>Time(min)</t>
  </si>
  <si>
    <t>Heterogenity Index(HI)</t>
  </si>
  <si>
    <t>Inconsistency in Lateral Placement (ILP)</t>
  </si>
  <si>
    <t>Trap length (m)</t>
  </si>
  <si>
    <t>LP right wheel (m) pre</t>
  </si>
  <si>
    <t>LP right wheel (m) final</t>
  </si>
  <si>
    <t>CW (m)</t>
  </si>
  <si>
    <t>LP for left wheel (m) pre</t>
  </si>
  <si>
    <t>LP for left wheel (m) final</t>
  </si>
  <si>
    <t>LP (m)</t>
  </si>
  <si>
    <t>Auto</t>
  </si>
  <si>
    <t>Car</t>
  </si>
  <si>
    <t>TW</t>
  </si>
  <si>
    <t>TAT</t>
  </si>
  <si>
    <t>Bus</t>
  </si>
  <si>
    <t>Cycle Rickshaw</t>
  </si>
  <si>
    <t>Cycle</t>
  </si>
  <si>
    <t>C</t>
  </si>
  <si>
    <t xml:space="preserve">Cycle </t>
  </si>
  <si>
    <t xml:space="preserve">TW </t>
  </si>
  <si>
    <t>Types</t>
  </si>
  <si>
    <t>Pi</t>
  </si>
  <si>
    <t>PCU</t>
  </si>
  <si>
    <t>(PCU)^2</t>
  </si>
  <si>
    <t>(Pi*PCU)</t>
  </si>
  <si>
    <t>(Pi*PCU^2)</t>
  </si>
  <si>
    <t>Summation</t>
  </si>
  <si>
    <t>HI(Towards the Camera)</t>
  </si>
  <si>
    <t>)</t>
  </si>
  <si>
    <t>Square root</t>
  </si>
  <si>
    <t>Type of Vehicle</t>
  </si>
  <si>
    <t>Tw</t>
  </si>
  <si>
    <t>AUto</t>
  </si>
  <si>
    <t>Cycle Rikshaw</t>
  </si>
  <si>
    <t>Entry Time (Sec)</t>
  </si>
  <si>
    <t>HI(Away from the Camera)</t>
  </si>
  <si>
    <t>Towards</t>
  </si>
  <si>
    <t>Away</t>
  </si>
  <si>
    <t>Overall</t>
  </si>
  <si>
    <t>0-5</t>
  </si>
  <si>
    <t>5-10</t>
  </si>
  <si>
    <t>10-15</t>
  </si>
  <si>
    <t>15-20</t>
  </si>
  <si>
    <t>20-25</t>
  </si>
  <si>
    <t>25-30</t>
  </si>
  <si>
    <t xml:space="preserve">Bus </t>
  </si>
  <si>
    <t>ILP</t>
  </si>
  <si>
    <t>AVERAGE</t>
  </si>
  <si>
    <t>TOWARDS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</si>
</sst>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3" fillId="4" borderId="9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16" fontId="0" fillId="0" borderId="6" xfId="0" applyNumberFormat="1" applyBorder="1"/>
    <xf numFmtId="16" fontId="0" fillId="0" borderId="6" xfId="0" quotePrefix="1" applyNumberFormat="1" applyBorder="1" applyAlignment="1">
      <alignment horizontal="left"/>
    </xf>
    <xf numFmtId="16" fontId="0" fillId="0" borderId="6" xfId="0" quotePrefix="1" applyNumberFormat="1" applyBorder="1"/>
    <xf numFmtId="0" fontId="0" fillId="0" borderId="6" xfId="0" quotePrefix="1" applyBorder="1"/>
    <xf numFmtId="0" fontId="0" fillId="0" borderId="8" xfId="0" quotePrefix="1" applyBorder="1"/>
    <xf numFmtId="0" fontId="0" fillId="0" borderId="9" xfId="0" applyBorder="1"/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7030A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CD9B-44FD-4A72-B049-CD073FBE9FE8}">
  <dimension ref="A1:U9"/>
  <sheetViews>
    <sheetView tabSelected="1" topLeftCell="C1" workbookViewId="0">
      <selection activeCell="U4" sqref="U4:U9"/>
    </sheetView>
  </sheetViews>
  <sheetFormatPr defaultRowHeight="15" x14ac:dyDescent="0.25"/>
  <cols>
    <col min="1" max="1" width="12.85546875" bestFit="1" customWidth="1"/>
    <col min="2" max="2" width="28" bestFit="1" customWidth="1"/>
    <col min="3" max="3" width="47.28515625" bestFit="1" customWidth="1"/>
    <col min="4" max="4" width="28" bestFit="1" customWidth="1"/>
    <col min="5" max="5" width="7.7109375" bestFit="1" customWidth="1"/>
    <col min="6" max="6" width="13.5703125" bestFit="1" customWidth="1"/>
    <col min="7" max="7" width="6.140625" bestFit="1" customWidth="1"/>
    <col min="8" max="8" width="3.85546875" bestFit="1" customWidth="1"/>
    <col min="9" max="9" width="5.28515625" bestFit="1" customWidth="1"/>
    <col min="10" max="10" width="4.140625" bestFit="1" customWidth="1"/>
    <col min="11" max="11" width="4.28515625" bestFit="1" customWidth="1"/>
    <col min="12" max="12" width="7.42578125" bestFit="1" customWidth="1"/>
    <col min="13" max="13" width="3.85546875" bestFit="1" customWidth="1"/>
    <col min="14" max="14" width="13.5703125" bestFit="1" customWidth="1"/>
    <col min="15" max="15" width="5.7109375" bestFit="1" customWidth="1"/>
    <col min="16" max="16" width="3.85546875" bestFit="1" customWidth="1"/>
    <col min="17" max="17" width="5.28515625" bestFit="1" customWidth="1"/>
    <col min="18" max="18" width="4.5703125" bestFit="1" customWidth="1"/>
    <col min="19" max="19" width="4.28515625" bestFit="1" customWidth="1"/>
    <col min="20" max="20" width="7.42578125" bestFit="1" customWidth="1"/>
  </cols>
  <sheetData>
    <row r="1" spans="1:21" ht="18.75" x14ac:dyDescent="0.3">
      <c r="A1" s="34" t="s">
        <v>8</v>
      </c>
      <c r="B1" s="49" t="s">
        <v>9</v>
      </c>
      <c r="C1" s="49"/>
      <c r="D1" s="50"/>
      <c r="E1" s="51" t="s">
        <v>10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35"/>
      <c r="U1" s="47"/>
    </row>
    <row r="2" spans="1:21" ht="18.75" x14ac:dyDescent="0.3">
      <c r="A2" s="36"/>
      <c r="B2" s="3" t="s">
        <v>44</v>
      </c>
      <c r="C2" s="3" t="s">
        <v>45</v>
      </c>
      <c r="D2" s="44" t="s">
        <v>46</v>
      </c>
      <c r="E2" s="52" t="s">
        <v>44</v>
      </c>
      <c r="F2" s="53"/>
      <c r="G2" s="53"/>
      <c r="H2" s="53"/>
      <c r="I2" s="53"/>
      <c r="J2" s="53"/>
      <c r="K2" s="53"/>
      <c r="L2" s="53"/>
      <c r="M2" s="53" t="s">
        <v>45</v>
      </c>
      <c r="N2" s="53"/>
      <c r="O2" s="53"/>
      <c r="P2" s="53"/>
      <c r="Q2" s="53"/>
      <c r="R2" s="53"/>
      <c r="S2" s="53"/>
      <c r="T2" s="3"/>
      <c r="U2" s="37" t="s">
        <v>46</v>
      </c>
    </row>
    <row r="3" spans="1:21" ht="18.75" x14ac:dyDescent="0.3">
      <c r="A3" s="36"/>
      <c r="B3" s="2"/>
      <c r="C3" s="2"/>
      <c r="D3" s="45"/>
      <c r="E3" s="15" t="s">
        <v>20</v>
      </c>
      <c r="F3" s="2" t="s">
        <v>41</v>
      </c>
      <c r="G3" s="2" t="s">
        <v>26</v>
      </c>
      <c r="H3" s="2" t="s">
        <v>19</v>
      </c>
      <c r="I3" s="2" t="s">
        <v>18</v>
      </c>
      <c r="J3" s="2" t="s">
        <v>22</v>
      </c>
      <c r="K3" s="2" t="s">
        <v>21</v>
      </c>
      <c r="L3" s="11" t="s">
        <v>46</v>
      </c>
      <c r="M3" s="2" t="s">
        <v>20</v>
      </c>
      <c r="N3" s="2" t="s">
        <v>41</v>
      </c>
      <c r="O3" s="2" t="s">
        <v>24</v>
      </c>
      <c r="P3" s="2" t="s">
        <v>19</v>
      </c>
      <c r="Q3" s="2" t="s">
        <v>18</v>
      </c>
      <c r="R3" s="2" t="s">
        <v>53</v>
      </c>
      <c r="S3" s="2" t="s">
        <v>21</v>
      </c>
      <c r="T3" s="11" t="s">
        <v>46</v>
      </c>
      <c r="U3" s="16"/>
    </row>
    <row r="4" spans="1:21" x14ac:dyDescent="0.25">
      <c r="A4" s="38" t="s">
        <v>47</v>
      </c>
      <c r="B4" s="2">
        <f>'0-5'!H197</f>
        <v>95.842441718377586</v>
      </c>
      <c r="C4" s="2">
        <f>'0-5'!H211</f>
        <v>113.07859739828659</v>
      </c>
      <c r="D4" s="45">
        <f>(B4+C4)/2</f>
        <v>104.46051955833209</v>
      </c>
      <c r="E4" s="15">
        <f>AVERAGEIF('0-5'!D3:D183, "TW", '0-5'!J3:J183)</f>
        <v>2.7220312500000001</v>
      </c>
      <c r="F4" s="2">
        <f>IFERROR(AVERAGEIF('0-5'!D3:D183, "Cycle Rikshaw", '0-5'!J3:J183),0)</f>
        <v>0</v>
      </c>
      <c r="G4" s="2">
        <f>AVERAGEIF('0-5'!D3:D183, "Cycle", '0-5'!J3:J183)</f>
        <v>0.55000000000000004</v>
      </c>
      <c r="H4" s="2">
        <f>AVERAGEIF('0-5'!D3:D183, "Car", '0-5'!J3:J183)</f>
        <v>3.7910555555555572</v>
      </c>
      <c r="I4" s="2">
        <f>AVERAGEIF('0-5'!D3:D183, "Auto", '0-5'!J3:J183)</f>
        <v>3.2233333333333336</v>
      </c>
      <c r="J4" s="2">
        <f>AVERAGEIF('0-5'!D3:D183, "Bus", '0-5'!J3:J183)</f>
        <v>3.9824999999999999</v>
      </c>
      <c r="K4" s="2">
        <f>AVERAGEIF('0-5'!D3:D183, "TAT", '0-5'!J3:J183)</f>
        <v>2.9375</v>
      </c>
      <c r="L4">
        <v>1.2250000000000001</v>
      </c>
      <c r="M4" s="2">
        <f>IFERROR(AVERAGEIF('0-5'!O3:O105, "TW", '0-5'!W3:W105), 0)</f>
        <v>1.6904347826086954</v>
      </c>
      <c r="N4" s="2">
        <f>IFERROR(AVERAGEIF('0-5'!O3:O105, "Cycle Rikshaw", '0-5'!W3:W105), 0)</f>
        <v>0.93500000000000028</v>
      </c>
      <c r="O4" s="2">
        <f>IFERROR(AVERAGEIF('0-5'!O3:O105, "Cycle", '0-5'!W3:W105), 0)</f>
        <v>0.66500000000000004</v>
      </c>
      <c r="P4" s="2">
        <f>IFERROR(AVERAGEIF('0-5'!O3:O105, "Car", '0-5'!W3:W105), 0)</f>
        <v>2.3384146341463414</v>
      </c>
      <c r="Q4" s="2">
        <f>IFERROR(AVERAGEIF('0-5'!O3:O105, "Auto", '0-5'!W3:W105), 0)</f>
        <v>1.9430000000000001</v>
      </c>
      <c r="R4" s="2">
        <f>IFERROR(AVERAGEIF('0-5'!O3:O105, "Bus", '0-5'!W3:W105), 0)</f>
        <v>2.31</v>
      </c>
      <c r="S4" s="2">
        <f>IFERROR(AVERAGEIF('0-5'!O3:O105, "TAT", '0-5'!W3:W105), 0)</f>
        <v>1.7016666666666664</v>
      </c>
      <c r="T4" s="2">
        <v>0.77500000000000002</v>
      </c>
      <c r="U4" s="16">
        <f>(L4+T4)/2</f>
        <v>1</v>
      </c>
    </row>
    <row r="5" spans="1:21" x14ac:dyDescent="0.25">
      <c r="A5" s="39" t="s">
        <v>48</v>
      </c>
      <c r="B5" s="2">
        <f>'5-10'!H162</f>
        <v>102.6017023266234</v>
      </c>
      <c r="C5" s="2">
        <f>'5-10'!H176</f>
        <v>93.649811217501437</v>
      </c>
      <c r="D5" s="45">
        <f t="shared" ref="D5:D9" si="0">(B5+C5)/2</f>
        <v>98.125756772062417</v>
      </c>
      <c r="E5" s="15">
        <f>IFERROR(AVERAGEIF('5-10'!D3:D149,"TW", '5-10'!J3:J149), 0)</f>
        <v>2.69741935483871</v>
      </c>
      <c r="F5" s="2">
        <f>IFERROR(AVERAGEIF('5-10'!D3:D149,"Rikshaw", '5-10'!J3:J149), 0)</f>
        <v>0</v>
      </c>
      <c r="G5" s="2">
        <f>IFERROR(AVERAGEIF('5-10'!D3:D149,"Cycle", '5-10'!J3:J149), 0)</f>
        <v>0.48499999999999999</v>
      </c>
      <c r="H5" s="2">
        <f>IFERROR(AVERAGEIF('5-10'!D3:D149,"Car", '5-10'!J3:J149), 0)</f>
        <v>3.8913513513513509</v>
      </c>
      <c r="I5" s="2">
        <f>IFERROR(AVERAGEIF('5-10'!D3:D149,"Auto", '5-10'!J3:J149), 0)</f>
        <v>3.1066666666666669</v>
      </c>
      <c r="J5" s="2">
        <f>IFERROR(AVERAGEIF('5-10'!D3:D149,"Bus", '5-10'!J3:J149), 0)</f>
        <v>3.0350000000000001</v>
      </c>
      <c r="K5" s="2">
        <f>IFERROR(AVERAGEIF('5-10'!D3:D149,"TAT", '5-10'!J3:J149), 0)</f>
        <v>3.8883333333333332</v>
      </c>
      <c r="L5">
        <v>1.137</v>
      </c>
      <c r="M5" s="2">
        <f>IFERROR(AVERAGEIF('5-10'!M3:M99, "TW", '5-10'!U3:U99), 0)</f>
        <v>1.5697368421052629</v>
      </c>
      <c r="N5" s="2">
        <f>IFERROR(AVERAGEIF('5-10'!M3:M99, "Cycle Rikshaw", '5-10'!U3:U99), 0)</f>
        <v>0</v>
      </c>
      <c r="O5" s="2">
        <f>IFERROR(AVERAGEIF('5-10'!M3:M99, "Cycle", '5-10'!U3:U99), 0)</f>
        <v>0.38000000000000078</v>
      </c>
      <c r="P5" s="2">
        <f>IFERROR(AVERAGEIF('5-10'!M3:M99, "Car", '5-10'!U3:U99), 0)</f>
        <v>2.3411458333333326</v>
      </c>
      <c r="Q5" s="2">
        <f>IFERROR(AVERAGEIF('5-10'!M3:M99, "Auto", '5-10'!U3:U99), 0)</f>
        <v>1.852857142857143</v>
      </c>
      <c r="R5" s="2">
        <f>IFERROR(AVERAGEIF('5-10'!M3:M99, "Bus", '5-10'!U3:U99), 0)</f>
        <v>1.7699999999999998</v>
      </c>
      <c r="S5" s="2">
        <f>IFERROR(AVERAGEIF('5-10'!M3:M99, "TAT", '5-10'!U3:U99), 0)</f>
        <v>2.12</v>
      </c>
      <c r="T5" s="2">
        <v>0.89200000000000002</v>
      </c>
      <c r="U5" s="16">
        <f t="shared" ref="U5:U9" si="1">(L5+T5)/2</f>
        <v>1.0145</v>
      </c>
    </row>
    <row r="6" spans="1:21" x14ac:dyDescent="0.25">
      <c r="A6" s="40" t="s">
        <v>49</v>
      </c>
      <c r="B6" s="2">
        <f>'10-15'!H189</f>
        <v>84.336115195378454</v>
      </c>
      <c r="C6" s="2">
        <f>'10-15'!H203</f>
        <v>105.45674813991684</v>
      </c>
      <c r="D6" s="45">
        <f t="shared" si="0"/>
        <v>94.896431667647647</v>
      </c>
      <c r="E6" s="15">
        <f>IFERROR(AVERAGEIF('10-15'!D3:D176,"TW", '10-15'!J3:J176), 0)</f>
        <v>2.6473333333333335</v>
      </c>
      <c r="F6" s="2">
        <f>IFERROR(AVERAGEIF('10-15'!D3:D176,"Cycle Rikshaw", '10-15'!J3:J176), 0)</f>
        <v>1</v>
      </c>
      <c r="G6" s="2">
        <f>IFERROR(AVERAGEIF('10-15'!D3:D176,"Cycle", '10-15'!J3:J176), 0)</f>
        <v>0.84750000000000003</v>
      </c>
      <c r="H6" s="2">
        <f>IFERROR(AVERAGEIF('10-15'!D3:D176,"Car", '10-15'!J3:J176), 0)</f>
        <v>3.9723684210526318</v>
      </c>
      <c r="I6" s="2">
        <f>IFERROR(AVERAGEIF('10-15'!D3:D176,"Auto", '10-15'!J3:J176), 0)</f>
        <v>3.2833333333333332</v>
      </c>
      <c r="J6" s="2">
        <f>IFERROR(AVERAGEIF('10-15'!D3:D176,"Bus", '10-15'!J3:J176), 0)</f>
        <v>4.4616666666666669</v>
      </c>
      <c r="K6" s="2">
        <f>IFERROR(AVERAGEIF('10-15'!D3:D176,"TAT", '10-15'!J3:J176), 0)</f>
        <v>2.0649999999999999</v>
      </c>
      <c r="L6">
        <v>1.0720000000000001</v>
      </c>
      <c r="M6" s="2">
        <f>IFERROR(AVERAGEIF('10-15'!M3:M103, "TW", '10-15'!U3:U103), 0)</f>
        <v>1.2602127659574471</v>
      </c>
      <c r="N6" s="2">
        <f>IFERROR(AVERAGEIF('10-15'!M3:M103, "Cycle Rikshaw", '10-15'!U3:U103), 0)</f>
        <v>0.6899999999999995</v>
      </c>
      <c r="O6" s="2">
        <f>IFERROR(AVERAGEIF('10-15'!M3:M103, "Cycle", '10-15'!U3:U103), 0)</f>
        <v>0.5</v>
      </c>
      <c r="P6" s="2">
        <f>IFERROR(AVERAGEIF('10-15'!M3:M103, "Car", '10-15'!U3:U103), 0)</f>
        <v>1.9221621621621623</v>
      </c>
      <c r="Q6" s="2">
        <f>IFERROR(AVERAGEIF('10-15'!M3:M103, "Auto", '10-15'!U3:U103), 0)</f>
        <v>1.4044444444444442</v>
      </c>
      <c r="R6" s="2">
        <f>IFERROR(AVERAGEIF('10-15'!M3:M103, "Bus", '10-15'!U3:U103), 0)</f>
        <v>1.89</v>
      </c>
      <c r="S6" s="2">
        <f>IFERROR(AVERAGEIF('10-15'!M3:M103, "TAT", '10-15'!U3:U103), 0)</f>
        <v>1.5550000000000006</v>
      </c>
      <c r="T6" s="2">
        <v>0.66549999999999998</v>
      </c>
      <c r="U6" s="16">
        <f t="shared" si="1"/>
        <v>0.86875000000000002</v>
      </c>
    </row>
    <row r="7" spans="1:21" x14ac:dyDescent="0.25">
      <c r="A7" s="41" t="s">
        <v>50</v>
      </c>
      <c r="B7" s="2">
        <f>'15-20'!H169</f>
        <v>92.183830346174247</v>
      </c>
      <c r="C7" s="2">
        <f>'15-20'!H182</f>
        <v>113.79077023157042</v>
      </c>
      <c r="D7" s="45">
        <f t="shared" si="0"/>
        <v>102.98730028887233</v>
      </c>
      <c r="E7" s="15">
        <f>IFERROR(AVERAGEIF('15-20'!D3:D155, "TW", '15-20'!J3:J155),0)</f>
        <v>2.4544262295081967</v>
      </c>
      <c r="F7" s="2">
        <f>IFERROR(AVERAGEIF('15-20'!D3:D155, "Cycle Rikshaw", '15-20'!J3:J155),0)</f>
        <v>1.06</v>
      </c>
      <c r="G7" s="2">
        <f>IFERROR(AVERAGEIF('15-20'!D3:D155, "Cycle", '15-20'!J3:J155),0)</f>
        <v>0.35</v>
      </c>
      <c r="H7" s="2">
        <f>IFERROR(AVERAGEIF('15-20'!D3:D155, "Car", '15-20'!J3:J155),0)</f>
        <v>3.6896835443037985</v>
      </c>
      <c r="I7" s="2">
        <f>IFERROR(AVERAGEIF('15-20'!D3:D155, "Auto", '15-20'!J3:J155),0)</f>
        <v>2.8883333333333336</v>
      </c>
      <c r="J7" s="2">
        <f>IFERROR(AVERAGEIF('15-20'!D3:D155, "Bus", '15-20'!J3:J155),0)</f>
        <v>4.2024999999999997</v>
      </c>
      <c r="K7" s="2">
        <f>IFERROR(AVERAGEIF('15-20'!D3:D155, "TAT", '15-20'!J3:J155),0)</f>
        <v>4.0175000000000001</v>
      </c>
      <c r="L7">
        <v>1.1120000000000001</v>
      </c>
      <c r="M7" s="2">
        <f>IFERROR(AVERAGEIF('15-20'!M3:M116, "TW", '15-20'!U3:U116),0)</f>
        <v>1.6447058823529408</v>
      </c>
      <c r="N7" s="2">
        <f>IFERROR(AVERAGEIF('15-20'!M3:M116, "Cycle Rikshaw", '15-20'!U3:U116),0)</f>
        <v>0.56999999999999973</v>
      </c>
      <c r="O7" s="2">
        <f>IFERROR(AVERAGEIF('15-20'!M3:M116, "Cycle", '15-20'!U3:U116),0)</f>
        <v>3.9999999999999147E-2</v>
      </c>
      <c r="P7" s="2">
        <f>IFERROR(AVERAGEIF('15-20'!M3:M116, "Car", '15-20'!U3:U116),0)</f>
        <v>2.2245833333333338</v>
      </c>
      <c r="Q7" s="2">
        <f>IFERROR(AVERAGEIF('15-20'!M3:M116, "Auto", '15-20'!U3:U116),0)</f>
        <v>1.4725000000000001</v>
      </c>
      <c r="R7" s="2">
        <f>IFERROR(AVERAGEIF('15-20'!M3:M116, "Bus", '15-20'!U3:U116),0)</f>
        <v>1.3374999999999999</v>
      </c>
      <c r="S7" s="2">
        <f>IFERROR(AVERAGEIF('15-20'!M3:M116, "TAT", '15-20'!U3:U116),0)</f>
        <v>2.4250000000000003</v>
      </c>
      <c r="T7" s="2">
        <v>0.80200000000000005</v>
      </c>
      <c r="U7" s="16">
        <f t="shared" si="1"/>
        <v>0.95700000000000007</v>
      </c>
    </row>
    <row r="8" spans="1:21" x14ac:dyDescent="0.25">
      <c r="A8" s="41" t="s">
        <v>51</v>
      </c>
      <c r="B8" s="2">
        <f>'20-25'!H185</f>
        <v>92.30112435956886</v>
      </c>
      <c r="C8" s="2">
        <f>'20-25'!H199</f>
        <v>96.568258849421014</v>
      </c>
      <c r="D8" s="45">
        <f t="shared" si="0"/>
        <v>94.43469160449493</v>
      </c>
      <c r="E8" s="15">
        <f>IFERROR(AVERAGEIF('20-25'!D3:D171,"TW", '20-25'!J3:J171),0)</f>
        <v>2.8410869565217398</v>
      </c>
      <c r="F8" s="2">
        <f>IFERROR(AVERAGEIF('20-25'!D3:D171,"Cycle Rikshaw", '20-25'!J3:J171),0)</f>
        <v>1.32</v>
      </c>
      <c r="G8" s="2">
        <f>IFERROR(AVERAGEIF('20-25'!D3:D171,"Cycle", '20-25'!J3:J171),0)</f>
        <v>0.6166666666666667</v>
      </c>
      <c r="H8" s="2">
        <f>IFERROR(AVERAGEIF('20-25'!D3:D171,"Car", '20-25'!J3:J171),0)</f>
        <v>3.9875257731958778</v>
      </c>
      <c r="I8" s="2">
        <f>IFERROR(AVERAGEIF('20-25'!D3:D171,"Auto", '20-25'!J3:J171),0)</f>
        <v>4.4824999999999999</v>
      </c>
      <c r="J8" s="2">
        <f>IFERROR(AVERAGEIF('20-25'!D3:D171,"Bus", '20-25'!J3:J171),0)</f>
        <v>4.0999999999999996</v>
      </c>
      <c r="K8" s="2">
        <f>IFERROR(AVERAGEIF('20-25'!D3:D171,"TAT", '20-25'!J3:J171),0)</f>
        <v>3.0233333333333334</v>
      </c>
      <c r="L8">
        <v>1.389</v>
      </c>
      <c r="M8" s="2">
        <f>IFERROR(AVERAGEIF('20-25'!M3:M127, "TW", '20-25'!U3:U127),0)</f>
        <v>1.2232075471698116</v>
      </c>
      <c r="N8" s="2">
        <f>IFERROR(AVERAGEIF('20-25'!M3:M127, "Cycle Rikshaw", '20-25'!U3:U127),0)</f>
        <v>0.64249999999999963</v>
      </c>
      <c r="O8" s="2">
        <f>IFERROR(AVERAGEIF('20-25'!M3:M127, "Cycle", '20-25'!U3:U127),0)</f>
        <v>0.23833333333333359</v>
      </c>
      <c r="P8" s="2">
        <f>IFERROR(AVERAGEIF('20-25'!M3:M127, "Car", '20-25'!U3:U127),0)</f>
        <v>1.7237254901960783</v>
      </c>
      <c r="Q8" s="2">
        <f>IFERROR(AVERAGEIF('20-25'!M3:M127, "Auto", '20-25'!U3:U127),0)</f>
        <v>1.5012499999999998</v>
      </c>
      <c r="R8" s="2">
        <f>IFERROR(AVERAGEIF('20-25'!M3:M127, "Bus", '20-25'!U3:U127),0)</f>
        <v>1.4750000000000001</v>
      </c>
      <c r="S8" s="2">
        <f>IFERROR(AVERAGEIF('20-25'!M3:M127, "TAT", '20-25'!U3:U127),0)</f>
        <v>1.175</v>
      </c>
      <c r="T8" s="2">
        <v>0.68500000000000005</v>
      </c>
      <c r="U8" s="16">
        <f t="shared" si="1"/>
        <v>1.0369999999999999</v>
      </c>
    </row>
    <row r="9" spans="1:21" ht="15.75" thickBot="1" x14ac:dyDescent="0.3">
      <c r="A9" s="42" t="s">
        <v>52</v>
      </c>
      <c r="B9" s="43">
        <f>'25-30'!H191</f>
        <v>77.312504585873143</v>
      </c>
      <c r="C9" s="43">
        <f>'25-30'!H204</f>
        <v>130.3418495713621</v>
      </c>
      <c r="D9" s="46">
        <f t="shared" si="0"/>
        <v>103.82717707861762</v>
      </c>
      <c r="E9" s="48">
        <f>IFERROR(AVERAGEIF('25-30'!D3:D178,"TW", '25-30'!J3:J178),0)</f>
        <v>2.9990476190476185</v>
      </c>
      <c r="F9" s="43">
        <f>IFERROR(AVERAGEIF('25-30'!D3:D178,"Cycle Rikshaw", '25-30'!J3:J178),0)</f>
        <v>0</v>
      </c>
      <c r="G9" s="43">
        <f>IFERROR(AVERAGEIF('25-30'!D3:D178,"Cycle", '25-30'!J3:J178),0)</f>
        <v>0.58833333333333337</v>
      </c>
      <c r="H9" s="43">
        <f>IFERROR(AVERAGEIF('25-30'!D3:D178,"Car", '25-30'!J3:J178),0)</f>
        <v>4.4987999999999992</v>
      </c>
      <c r="I9" s="43">
        <f>IFERROR(AVERAGEIF('25-30'!D3:D178,"Auto", '25-30'!J3:J178),0)</f>
        <v>4.1375000000000002</v>
      </c>
      <c r="J9" s="43">
        <f>IFERROR(AVERAGEIF('25-30'!D3:D178,"Bus", '25-30'!J3:J178),0)</f>
        <v>3.4649999999999999</v>
      </c>
      <c r="K9" s="43">
        <f>IFERROR(AVERAGEIF('25-30'!D3:D178,"TAT", '25-30'!J3:J178),0)</f>
        <v>4.7300000000000004</v>
      </c>
      <c r="L9">
        <v>1.38</v>
      </c>
      <c r="M9" s="43">
        <f>IFERROR(AVERAGEIF('25-30'!M3:M89,"TW", '25-30'!U3:U89),0)</f>
        <v>1.1359999999999997</v>
      </c>
      <c r="N9" s="43">
        <f>IFERROR(AVERAGEIF('25-30'!M3:M89,"Cycle Rikshaw", '25-30'!U3:U89),0)</f>
        <v>1.1600000000000001</v>
      </c>
      <c r="O9" s="43">
        <f>IFERROR(AVERAGEIF('25-30'!M3:M89,"Cycle", '25-30'!U3:U89),0)</f>
        <v>0</v>
      </c>
      <c r="P9" s="43">
        <f>IFERROR(AVERAGEIF('25-30'!M3:M89,"Car", '25-30'!U3:U89),0)</f>
        <v>1.7574074074074075</v>
      </c>
      <c r="Q9" s="43">
        <f>IFERROR(AVERAGEIF('25-30'!M3:M89,"Auto", '25-30'!U3:U89),0)</f>
        <v>1.3033333333333335</v>
      </c>
      <c r="R9" s="43">
        <f>IFERROR(AVERAGEIF('25-30'!M3:M89,"Bus", '25-30'!U3:U89),0)</f>
        <v>0</v>
      </c>
      <c r="S9" s="43">
        <f>IFERROR(AVERAGEIF('25-30'!M3:M89,"TAT", '25-30'!U3:U89),0)</f>
        <v>2.0610000000000004</v>
      </c>
      <c r="T9" s="43">
        <v>0.81499999999999995</v>
      </c>
      <c r="U9" s="16">
        <f t="shared" si="1"/>
        <v>1.0974999999999999</v>
      </c>
    </row>
  </sheetData>
  <mergeCells count="4">
    <mergeCell ref="B1:D1"/>
    <mergeCell ref="E1:S1"/>
    <mergeCell ref="E2:L2"/>
    <mergeCell ref="M2:S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510E-E5EC-4953-9622-51B2E0BFE814}">
  <dimension ref="A1:X211"/>
  <sheetViews>
    <sheetView topLeftCell="I96" zoomScale="72" zoomScaleNormal="70" workbookViewId="0">
      <selection activeCell="S117" sqref="S117"/>
    </sheetView>
  </sheetViews>
  <sheetFormatPr defaultRowHeight="15" x14ac:dyDescent="0.25"/>
  <cols>
    <col min="1" max="1" width="13.28515625" style="24" customWidth="1"/>
    <col min="2" max="3" width="9.140625" style="24"/>
    <col min="4" max="4" width="14.85546875" style="24" bestFit="1" customWidth="1"/>
    <col min="5" max="5" width="17.28515625" style="24" customWidth="1"/>
    <col min="6" max="6" width="17.140625" style="24" customWidth="1"/>
    <col min="7" max="7" width="16.85546875" style="24" customWidth="1"/>
    <col min="8" max="9" width="21.85546875" style="24" customWidth="1"/>
    <col min="10" max="12" width="14.5703125" style="24" customWidth="1"/>
    <col min="13" max="14" width="9.140625" style="24"/>
    <col min="15" max="15" width="13.140625" style="24" customWidth="1"/>
    <col min="16" max="16" width="15.85546875" style="24" customWidth="1"/>
    <col min="17" max="17" width="15.140625" style="24" customWidth="1"/>
    <col min="18" max="18" width="15" style="24" customWidth="1"/>
    <col min="19" max="19" width="24.28515625" style="24" customWidth="1"/>
    <col min="20" max="20" width="21.85546875" style="24" bestFit="1" customWidth="1"/>
    <col min="21" max="21" width="27.5703125" style="24" customWidth="1"/>
    <col min="22" max="22" width="24.28515625" style="24" customWidth="1"/>
    <col min="23" max="16384" width="9.140625" style="24"/>
  </cols>
  <sheetData>
    <row r="1" spans="1:24" ht="15.75" x14ac:dyDescent="0.3">
      <c r="C1" s="5"/>
      <c r="D1" s="54" t="s">
        <v>6</v>
      </c>
      <c r="E1" s="55"/>
      <c r="F1" s="55"/>
      <c r="G1" s="55"/>
      <c r="H1" s="55"/>
      <c r="I1" s="55"/>
      <c r="J1" s="5"/>
      <c r="K1" s="58"/>
      <c r="L1" s="58"/>
      <c r="N1" s="5"/>
      <c r="O1" s="54" t="s">
        <v>7</v>
      </c>
      <c r="P1" s="55"/>
      <c r="Q1" s="55"/>
      <c r="R1" s="55"/>
      <c r="S1" s="55"/>
      <c r="T1" s="55"/>
      <c r="U1" s="55"/>
      <c r="V1" s="5"/>
      <c r="W1" s="5"/>
    </row>
    <row r="2" spans="1:24" ht="31.5" x14ac:dyDescent="0.25">
      <c r="A2" s="24" t="s">
        <v>11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12</v>
      </c>
      <c r="J2" s="8" t="s">
        <v>17</v>
      </c>
      <c r="K2" s="59"/>
      <c r="L2" s="59"/>
      <c r="N2" s="8" t="s">
        <v>0</v>
      </c>
      <c r="O2" s="8" t="s">
        <v>1</v>
      </c>
      <c r="P2" s="8" t="s">
        <v>2</v>
      </c>
      <c r="Q2" s="8" t="s">
        <v>3</v>
      </c>
      <c r="R2" s="8" t="s">
        <v>4</v>
      </c>
      <c r="S2" s="8" t="s">
        <v>15</v>
      </c>
      <c r="T2" s="8" t="s">
        <v>12</v>
      </c>
      <c r="U2" s="8" t="s">
        <v>16</v>
      </c>
      <c r="V2" s="8" t="s">
        <v>13</v>
      </c>
      <c r="W2" s="8" t="s">
        <v>17</v>
      </c>
    </row>
    <row r="3" spans="1:24" x14ac:dyDescent="0.25">
      <c r="A3" s="24">
        <v>45</v>
      </c>
      <c r="C3" s="5">
        <v>1</v>
      </c>
      <c r="D3" s="5" t="s">
        <v>18</v>
      </c>
      <c r="E3" s="5">
        <v>1.28</v>
      </c>
      <c r="F3" s="5">
        <v>5.68</v>
      </c>
      <c r="G3" s="5">
        <f>$A$3/(F3-E3)*3.6</f>
        <v>36.81818181818182</v>
      </c>
      <c r="H3" s="5">
        <v>2.52</v>
      </c>
      <c r="I3" s="5">
        <v>2.52</v>
      </c>
      <c r="J3" s="5">
        <f>(H3+I3)/2</f>
        <v>2.52</v>
      </c>
      <c r="K3" s="58">
        <f>J3-3.165</f>
        <v>-0.64500000000000002</v>
      </c>
      <c r="L3" s="58">
        <f>K3*K3</f>
        <v>0.41602500000000003</v>
      </c>
      <c r="N3" s="5">
        <v>1</v>
      </c>
      <c r="O3" s="5" t="s">
        <v>20</v>
      </c>
      <c r="P3" s="5">
        <v>4.2</v>
      </c>
      <c r="Q3" s="5">
        <v>7.92</v>
      </c>
      <c r="R3" s="5">
        <f>$A$3/(Q3-P3)*3.6</f>
        <v>43.548387096774199</v>
      </c>
      <c r="S3" s="5">
        <v>5.77</v>
      </c>
      <c r="T3" s="5">
        <v>5.77</v>
      </c>
      <c r="U3" s="5">
        <f>$A$5-S3</f>
        <v>3.2300000000000004</v>
      </c>
      <c r="V3" s="5">
        <f>$A$5-T3</f>
        <v>3.2300000000000004</v>
      </c>
      <c r="W3" s="5">
        <f>(U3+V3)/2</f>
        <v>3.2300000000000004</v>
      </c>
      <c r="X3" s="24">
        <f>(W3-1.918)^2</f>
        <v>1.7213440000000013</v>
      </c>
    </row>
    <row r="4" spans="1:24" x14ac:dyDescent="0.25">
      <c r="A4" s="24" t="s">
        <v>14</v>
      </c>
      <c r="C4" s="5">
        <v>2</v>
      </c>
      <c r="D4" s="5" t="s">
        <v>18</v>
      </c>
      <c r="E4" s="5">
        <v>3</v>
      </c>
      <c r="F4" s="5">
        <v>6.82</v>
      </c>
      <c r="G4" s="5">
        <f t="shared" ref="G4:G67" si="0">$A$3/(F4-E4)*3.6</f>
        <v>42.408376963350783</v>
      </c>
      <c r="H4" s="5">
        <v>3.35</v>
      </c>
      <c r="I4" s="5">
        <v>3.35</v>
      </c>
      <c r="J4" s="5">
        <f t="shared" ref="J4:J67" si="1">(H4+I4)/2</f>
        <v>3.35</v>
      </c>
      <c r="K4" s="58">
        <f t="shared" ref="K4:K67" si="2">J4-3.165</f>
        <v>0.18500000000000005</v>
      </c>
      <c r="L4" s="58">
        <f t="shared" ref="L4:L67" si="3">K4*K4</f>
        <v>3.4225000000000019E-2</v>
      </c>
      <c r="N4" s="5">
        <v>2</v>
      </c>
      <c r="O4" s="5" t="s">
        <v>21</v>
      </c>
      <c r="P4" s="5">
        <v>5.76</v>
      </c>
      <c r="Q4" s="5">
        <v>11.72</v>
      </c>
      <c r="R4" s="5">
        <f t="shared" ref="R4:R67" si="4">$A$3/(Q4-P4)*3.6</f>
        <v>27.181208053691272</v>
      </c>
      <c r="S4" s="5">
        <v>8.18</v>
      </c>
      <c r="T4" s="5">
        <v>6.38</v>
      </c>
      <c r="U4" s="5">
        <f t="shared" ref="U4:U67" si="5">$A$5-S4</f>
        <v>0.82000000000000028</v>
      </c>
      <c r="V4" s="5">
        <f t="shared" ref="V4:V67" si="6">$A$5-T4</f>
        <v>2.62</v>
      </c>
      <c r="W4" s="5">
        <f t="shared" ref="W4:W67" si="7">(U4+V4)/2</f>
        <v>1.7200000000000002</v>
      </c>
      <c r="X4" s="24">
        <f t="shared" ref="X4:X67" si="8">(W4-1.918)^2</f>
        <v>3.9203999999999892E-2</v>
      </c>
    </row>
    <row r="5" spans="1:24" x14ac:dyDescent="0.25">
      <c r="A5" s="24">
        <v>9</v>
      </c>
      <c r="C5" s="5">
        <v>3</v>
      </c>
      <c r="D5" s="5" t="s">
        <v>20</v>
      </c>
      <c r="E5" s="5">
        <v>3.48</v>
      </c>
      <c r="F5" s="5">
        <v>6.86</v>
      </c>
      <c r="G5" s="5">
        <f t="shared" si="0"/>
        <v>47.928994082840234</v>
      </c>
      <c r="H5" s="5">
        <v>0.92</v>
      </c>
      <c r="I5" s="5">
        <v>0.92</v>
      </c>
      <c r="J5" s="7">
        <f t="shared" si="1"/>
        <v>0.92</v>
      </c>
      <c r="K5" s="58">
        <f t="shared" si="2"/>
        <v>-2.2450000000000001</v>
      </c>
      <c r="L5" s="58">
        <f t="shared" si="3"/>
        <v>5.0400250000000009</v>
      </c>
      <c r="N5" s="5">
        <v>3</v>
      </c>
      <c r="O5" s="5" t="s">
        <v>20</v>
      </c>
      <c r="P5" s="5">
        <v>6.26</v>
      </c>
      <c r="Q5" s="5">
        <v>10.84</v>
      </c>
      <c r="R5" s="5">
        <f t="shared" si="4"/>
        <v>35.37117903930131</v>
      </c>
      <c r="S5" s="5">
        <v>5.31</v>
      </c>
      <c r="T5" s="5">
        <v>5.31</v>
      </c>
      <c r="U5" s="5">
        <f t="shared" si="5"/>
        <v>3.6900000000000004</v>
      </c>
      <c r="V5" s="5">
        <f t="shared" si="6"/>
        <v>3.6900000000000004</v>
      </c>
      <c r="W5" s="5">
        <f t="shared" si="7"/>
        <v>3.6900000000000004</v>
      </c>
      <c r="X5" s="24">
        <f t="shared" si="8"/>
        <v>3.1399840000000014</v>
      </c>
    </row>
    <row r="6" spans="1:24" x14ac:dyDescent="0.25">
      <c r="C6" s="5">
        <v>4</v>
      </c>
      <c r="D6" s="5" t="s">
        <v>19</v>
      </c>
      <c r="E6" s="5">
        <v>3.6</v>
      </c>
      <c r="F6" s="5">
        <v>8.26</v>
      </c>
      <c r="G6" s="5">
        <f t="shared" si="0"/>
        <v>34.763948497854081</v>
      </c>
      <c r="H6" s="5">
        <v>2.52</v>
      </c>
      <c r="I6" s="5">
        <v>3.96</v>
      </c>
      <c r="J6" s="5">
        <f t="shared" si="1"/>
        <v>3.24</v>
      </c>
      <c r="K6" s="58">
        <f t="shared" si="2"/>
        <v>7.5000000000000178E-2</v>
      </c>
      <c r="L6" s="58">
        <f t="shared" si="3"/>
        <v>5.6250000000000267E-3</v>
      </c>
      <c r="N6" s="5">
        <v>4</v>
      </c>
      <c r="O6" s="5" t="s">
        <v>20</v>
      </c>
      <c r="P6" s="5">
        <v>7.16</v>
      </c>
      <c r="Q6" s="5">
        <v>12.6</v>
      </c>
      <c r="R6" s="5">
        <f t="shared" si="4"/>
        <v>29.779411764705888</v>
      </c>
      <c r="S6" s="5">
        <v>5.78</v>
      </c>
      <c r="T6" s="5">
        <v>5.78</v>
      </c>
      <c r="U6" s="5">
        <f t="shared" si="5"/>
        <v>3.2199999999999998</v>
      </c>
      <c r="V6" s="5">
        <f t="shared" si="6"/>
        <v>3.2199999999999998</v>
      </c>
      <c r="W6" s="5">
        <f t="shared" si="7"/>
        <v>3.2199999999999998</v>
      </c>
      <c r="X6" s="24">
        <f t="shared" si="8"/>
        <v>1.6952039999999995</v>
      </c>
    </row>
    <row r="7" spans="1:24" x14ac:dyDescent="0.25">
      <c r="C7" s="5">
        <v>5</v>
      </c>
      <c r="D7" s="5" t="s">
        <v>20</v>
      </c>
      <c r="E7" s="5">
        <v>6.68</v>
      </c>
      <c r="F7" s="5">
        <v>11.9</v>
      </c>
      <c r="G7" s="5">
        <f t="shared" si="0"/>
        <v>31.034482758620687</v>
      </c>
      <c r="H7" s="5">
        <v>2.76</v>
      </c>
      <c r="I7" s="5">
        <v>2.76</v>
      </c>
      <c r="J7" s="5">
        <f t="shared" si="1"/>
        <v>2.76</v>
      </c>
      <c r="K7" s="58">
        <f t="shared" si="2"/>
        <v>-0.40500000000000025</v>
      </c>
      <c r="L7" s="58">
        <f t="shared" si="3"/>
        <v>0.1640250000000002</v>
      </c>
      <c r="N7" s="5">
        <v>5</v>
      </c>
      <c r="O7" s="5" t="s">
        <v>19</v>
      </c>
      <c r="P7" s="5">
        <v>8.9600000000000009</v>
      </c>
      <c r="Q7" s="5">
        <v>14.84</v>
      </c>
      <c r="R7" s="5">
        <f t="shared" si="4"/>
        <v>27.551020408163271</v>
      </c>
      <c r="S7" s="5">
        <v>7.17</v>
      </c>
      <c r="T7" s="5">
        <v>5.8</v>
      </c>
      <c r="U7" s="5">
        <f t="shared" si="5"/>
        <v>1.83</v>
      </c>
      <c r="V7" s="5">
        <f t="shared" si="6"/>
        <v>3.2</v>
      </c>
      <c r="W7" s="5">
        <f t="shared" si="7"/>
        <v>2.5150000000000001</v>
      </c>
      <c r="X7" s="24">
        <f t="shared" si="8"/>
        <v>0.35640900000000025</v>
      </c>
    </row>
    <row r="8" spans="1:24" x14ac:dyDescent="0.25">
      <c r="C8" s="5">
        <v>6</v>
      </c>
      <c r="D8" s="5" t="s">
        <v>19</v>
      </c>
      <c r="E8" s="5">
        <v>7.48</v>
      </c>
      <c r="F8" s="5">
        <v>12.22</v>
      </c>
      <c r="G8" s="5">
        <f t="shared" si="0"/>
        <v>34.177215189873415</v>
      </c>
      <c r="H8" s="5">
        <v>3.65</v>
      </c>
      <c r="I8" s="5">
        <v>4.8099999999999996</v>
      </c>
      <c r="J8" s="5">
        <f t="shared" si="1"/>
        <v>4.2299999999999995</v>
      </c>
      <c r="K8" s="58">
        <f t="shared" si="2"/>
        <v>1.0649999999999995</v>
      </c>
      <c r="L8" s="58">
        <f t="shared" si="3"/>
        <v>1.1342249999999989</v>
      </c>
      <c r="N8" s="5">
        <v>6</v>
      </c>
      <c r="O8" s="5" t="s">
        <v>20</v>
      </c>
      <c r="P8" s="5">
        <v>10.8</v>
      </c>
      <c r="Q8" s="5">
        <v>15.08</v>
      </c>
      <c r="R8" s="5">
        <f t="shared" si="4"/>
        <v>37.850467289719631</v>
      </c>
      <c r="S8" s="5">
        <v>7.52</v>
      </c>
      <c r="T8" s="5">
        <v>7.52</v>
      </c>
      <c r="U8" s="5">
        <f t="shared" si="5"/>
        <v>1.4800000000000004</v>
      </c>
      <c r="V8" s="5">
        <f t="shared" si="6"/>
        <v>1.4800000000000004</v>
      </c>
      <c r="W8" s="5">
        <f t="shared" si="7"/>
        <v>1.4800000000000004</v>
      </c>
      <c r="X8" s="24">
        <f t="shared" si="8"/>
        <v>0.19184399999999957</v>
      </c>
    </row>
    <row r="9" spans="1:24" x14ac:dyDescent="0.25">
      <c r="C9" s="5">
        <v>7</v>
      </c>
      <c r="D9" s="5" t="s">
        <v>24</v>
      </c>
      <c r="E9" s="5">
        <v>8.5500000000000007</v>
      </c>
      <c r="F9" s="5">
        <v>19.72</v>
      </c>
      <c r="G9" s="5">
        <f t="shared" si="0"/>
        <v>14.503133393017013</v>
      </c>
      <c r="H9" s="5">
        <v>0.47</v>
      </c>
      <c r="I9" s="5">
        <v>0.47</v>
      </c>
      <c r="J9" s="7">
        <f t="shared" si="1"/>
        <v>0.47</v>
      </c>
      <c r="K9" s="58">
        <f t="shared" si="2"/>
        <v>-2.6950000000000003</v>
      </c>
      <c r="L9" s="58">
        <f t="shared" si="3"/>
        <v>7.2630250000000016</v>
      </c>
      <c r="N9" s="5">
        <v>7</v>
      </c>
      <c r="O9" s="5" t="s">
        <v>20</v>
      </c>
      <c r="P9" s="5">
        <v>15.8</v>
      </c>
      <c r="Q9" s="5">
        <v>22.68</v>
      </c>
      <c r="R9" s="5">
        <f t="shared" si="4"/>
        <v>23.54651162790698</v>
      </c>
      <c r="S9" s="5">
        <v>8.65</v>
      </c>
      <c r="T9" s="5">
        <v>8.65</v>
      </c>
      <c r="U9" s="5">
        <f t="shared" si="5"/>
        <v>0.34999999999999964</v>
      </c>
      <c r="V9" s="5">
        <f t="shared" si="6"/>
        <v>0.34999999999999964</v>
      </c>
      <c r="W9" s="5">
        <f t="shared" si="7"/>
        <v>0.34999999999999964</v>
      </c>
      <c r="X9" s="24">
        <f t="shared" si="8"/>
        <v>2.4586240000000008</v>
      </c>
    </row>
    <row r="10" spans="1:24" x14ac:dyDescent="0.25">
      <c r="C10" s="5">
        <v>8</v>
      </c>
      <c r="D10" s="5" t="s">
        <v>24</v>
      </c>
      <c r="E10" s="5">
        <v>8.64</v>
      </c>
      <c r="F10" s="5">
        <v>19.96</v>
      </c>
      <c r="G10" s="5">
        <f t="shared" si="0"/>
        <v>14.310954063604241</v>
      </c>
      <c r="H10" s="5">
        <v>1.04</v>
      </c>
      <c r="I10" s="5">
        <v>1.04</v>
      </c>
      <c r="J10" s="5">
        <f t="shared" si="1"/>
        <v>1.04</v>
      </c>
      <c r="K10" s="58">
        <f t="shared" si="2"/>
        <v>-2.125</v>
      </c>
      <c r="L10" s="58">
        <f t="shared" si="3"/>
        <v>4.515625</v>
      </c>
      <c r="N10" s="5">
        <v>8</v>
      </c>
      <c r="O10" s="5" t="s">
        <v>21</v>
      </c>
      <c r="P10" s="5">
        <v>18.68</v>
      </c>
      <c r="Q10" s="5">
        <v>25</v>
      </c>
      <c r="R10" s="5">
        <f t="shared" si="4"/>
        <v>25.632911392405063</v>
      </c>
      <c r="S10" s="5">
        <v>8.4600000000000009</v>
      </c>
      <c r="T10" s="5">
        <v>6.62</v>
      </c>
      <c r="U10" s="5">
        <f t="shared" si="5"/>
        <v>0.53999999999999915</v>
      </c>
      <c r="V10" s="5">
        <f t="shared" si="6"/>
        <v>2.38</v>
      </c>
      <c r="W10" s="5">
        <f t="shared" si="7"/>
        <v>1.4599999999999995</v>
      </c>
      <c r="X10" s="24">
        <f t="shared" si="8"/>
        <v>0.20976400000000037</v>
      </c>
    </row>
    <row r="11" spans="1:24" x14ac:dyDescent="0.25">
      <c r="C11" s="5">
        <v>9</v>
      </c>
      <c r="D11" s="5" t="s">
        <v>20</v>
      </c>
      <c r="E11" s="5">
        <v>9.48</v>
      </c>
      <c r="F11" s="5">
        <v>13.12</v>
      </c>
      <c r="G11" s="5">
        <f t="shared" si="0"/>
        <v>44.505494505494518</v>
      </c>
      <c r="H11" s="5">
        <v>2.19</v>
      </c>
      <c r="I11" s="5">
        <v>2.19</v>
      </c>
      <c r="J11" s="5">
        <f t="shared" si="1"/>
        <v>2.19</v>
      </c>
      <c r="K11" s="58">
        <f t="shared" si="2"/>
        <v>-0.97500000000000009</v>
      </c>
      <c r="L11" s="58">
        <f t="shared" si="3"/>
        <v>0.95062500000000016</v>
      </c>
      <c r="N11" s="5">
        <v>9</v>
      </c>
      <c r="O11" s="5" t="s">
        <v>20</v>
      </c>
      <c r="P11" s="5">
        <v>19.72</v>
      </c>
      <c r="Q11" s="5">
        <v>25.36</v>
      </c>
      <c r="R11" s="5">
        <f t="shared" si="4"/>
        <v>28.723404255319146</v>
      </c>
      <c r="S11" s="5">
        <v>8.44</v>
      </c>
      <c r="T11" s="5">
        <v>8.44</v>
      </c>
      <c r="U11" s="5">
        <f t="shared" si="5"/>
        <v>0.5600000000000005</v>
      </c>
      <c r="V11" s="5">
        <f t="shared" si="6"/>
        <v>0.5600000000000005</v>
      </c>
      <c r="W11" s="5">
        <f t="shared" si="7"/>
        <v>0.5600000000000005</v>
      </c>
      <c r="X11" s="24">
        <f t="shared" si="8"/>
        <v>1.8441639999999984</v>
      </c>
    </row>
    <row r="12" spans="1:24" x14ac:dyDescent="0.25">
      <c r="C12" s="5">
        <v>10</v>
      </c>
      <c r="D12" s="5" t="s">
        <v>19</v>
      </c>
      <c r="E12" s="5">
        <v>9.9600000000000009</v>
      </c>
      <c r="F12" s="5">
        <v>14.42</v>
      </c>
      <c r="G12" s="5">
        <f t="shared" si="0"/>
        <v>36.32286995515696</v>
      </c>
      <c r="H12" s="5">
        <v>2.8</v>
      </c>
      <c r="I12" s="5">
        <v>4.2699999999999996</v>
      </c>
      <c r="J12" s="5">
        <f t="shared" si="1"/>
        <v>3.5349999999999997</v>
      </c>
      <c r="K12" s="58">
        <f t="shared" si="2"/>
        <v>0.36999999999999966</v>
      </c>
      <c r="L12" s="58">
        <f t="shared" si="3"/>
        <v>0.13689999999999974</v>
      </c>
      <c r="N12" s="5">
        <v>10</v>
      </c>
      <c r="O12" s="5" t="s">
        <v>19</v>
      </c>
      <c r="P12" s="5">
        <v>20.04</v>
      </c>
      <c r="Q12" s="5">
        <v>26.36</v>
      </c>
      <c r="R12" s="5">
        <f t="shared" si="4"/>
        <v>25.632911392405063</v>
      </c>
      <c r="S12" s="5">
        <v>7.14</v>
      </c>
      <c r="T12" s="5">
        <v>5.87</v>
      </c>
      <c r="U12" s="5">
        <f t="shared" si="5"/>
        <v>1.8600000000000003</v>
      </c>
      <c r="V12" s="5">
        <f t="shared" si="6"/>
        <v>3.13</v>
      </c>
      <c r="W12" s="5">
        <f t="shared" si="7"/>
        <v>2.4950000000000001</v>
      </c>
      <c r="X12" s="24">
        <f t="shared" si="8"/>
        <v>0.3329290000000002</v>
      </c>
    </row>
    <row r="13" spans="1:24" x14ac:dyDescent="0.25">
      <c r="C13" s="5">
        <v>11</v>
      </c>
      <c r="D13" s="5" t="s">
        <v>19</v>
      </c>
      <c r="E13" s="5">
        <v>12.16</v>
      </c>
      <c r="F13" s="5">
        <v>16.2</v>
      </c>
      <c r="G13" s="5">
        <f t="shared" si="0"/>
        <v>40.099009900990104</v>
      </c>
      <c r="H13" s="5">
        <v>2.88</v>
      </c>
      <c r="I13" s="5">
        <v>4.17</v>
      </c>
      <c r="J13" s="5">
        <f t="shared" si="1"/>
        <v>3.5249999999999999</v>
      </c>
      <c r="K13" s="58">
        <f t="shared" si="2"/>
        <v>0.35999999999999988</v>
      </c>
      <c r="L13" s="58">
        <f t="shared" si="3"/>
        <v>0.12959999999999991</v>
      </c>
      <c r="N13" s="5">
        <v>11</v>
      </c>
      <c r="O13" s="5" t="s">
        <v>20</v>
      </c>
      <c r="P13" s="5">
        <v>21.04</v>
      </c>
      <c r="Q13" s="5">
        <v>26.08</v>
      </c>
      <c r="R13" s="5">
        <f t="shared" si="4"/>
        <v>32.142857142857153</v>
      </c>
      <c r="S13" s="5">
        <v>8.08</v>
      </c>
      <c r="T13" s="5">
        <v>8.08</v>
      </c>
      <c r="U13" s="5">
        <f t="shared" si="5"/>
        <v>0.91999999999999993</v>
      </c>
      <c r="V13" s="5">
        <f t="shared" si="6"/>
        <v>0.91999999999999993</v>
      </c>
      <c r="W13" s="5">
        <f t="shared" si="7"/>
        <v>0.91999999999999993</v>
      </c>
      <c r="X13" s="24">
        <f t="shared" si="8"/>
        <v>0.996004</v>
      </c>
    </row>
    <row r="14" spans="1:24" x14ac:dyDescent="0.25">
      <c r="C14" s="5">
        <v>12</v>
      </c>
      <c r="D14" s="5" t="s">
        <v>20</v>
      </c>
      <c r="E14" s="5">
        <v>13.04</v>
      </c>
      <c r="F14" s="5">
        <v>16.82</v>
      </c>
      <c r="G14" s="5">
        <f t="shared" si="0"/>
        <v>42.857142857142847</v>
      </c>
      <c r="H14" s="5">
        <v>2.4</v>
      </c>
      <c r="I14" s="5">
        <v>2.4</v>
      </c>
      <c r="J14" s="5">
        <f t="shared" si="1"/>
        <v>2.4</v>
      </c>
      <c r="K14" s="58">
        <f t="shared" si="2"/>
        <v>-0.76500000000000012</v>
      </c>
      <c r="L14" s="58">
        <f t="shared" si="3"/>
        <v>0.58522500000000022</v>
      </c>
      <c r="N14" s="5">
        <v>12</v>
      </c>
      <c r="O14" s="5" t="s">
        <v>19</v>
      </c>
      <c r="P14" s="5">
        <v>21.72</v>
      </c>
      <c r="Q14" s="5">
        <v>27.08</v>
      </c>
      <c r="R14" s="5">
        <f t="shared" si="4"/>
        <v>30.223880597014933</v>
      </c>
      <c r="S14" s="5">
        <v>7.02</v>
      </c>
      <c r="T14" s="5">
        <v>5.75</v>
      </c>
      <c r="U14" s="5">
        <f t="shared" si="5"/>
        <v>1.9800000000000004</v>
      </c>
      <c r="V14" s="5">
        <f t="shared" si="6"/>
        <v>3.25</v>
      </c>
      <c r="W14" s="5">
        <f t="shared" si="7"/>
        <v>2.6150000000000002</v>
      </c>
      <c r="X14" s="24">
        <f t="shared" si="8"/>
        <v>0.48580900000000038</v>
      </c>
    </row>
    <row r="15" spans="1:24" x14ac:dyDescent="0.25">
      <c r="C15" s="5">
        <v>13</v>
      </c>
      <c r="D15" s="5" t="s">
        <v>19</v>
      </c>
      <c r="E15" s="5">
        <v>14</v>
      </c>
      <c r="F15" s="5">
        <v>18.12</v>
      </c>
      <c r="G15" s="5">
        <f t="shared" si="0"/>
        <v>39.320388349514552</v>
      </c>
      <c r="H15" s="5">
        <v>2.95</v>
      </c>
      <c r="I15" s="5">
        <v>4.43</v>
      </c>
      <c r="J15" s="5">
        <f t="shared" si="1"/>
        <v>3.69</v>
      </c>
      <c r="K15" s="58">
        <f t="shared" si="2"/>
        <v>0.52499999999999991</v>
      </c>
      <c r="L15" s="58">
        <f t="shared" si="3"/>
        <v>0.2756249999999999</v>
      </c>
      <c r="N15" s="5">
        <v>13</v>
      </c>
      <c r="O15" s="5" t="s">
        <v>20</v>
      </c>
      <c r="P15" s="5">
        <v>23.28</v>
      </c>
      <c r="Q15" s="5">
        <v>29</v>
      </c>
      <c r="R15" s="5">
        <f t="shared" si="4"/>
        <v>28.321678321678327</v>
      </c>
      <c r="S15" s="5">
        <v>7.88</v>
      </c>
      <c r="T15" s="5">
        <v>7.88</v>
      </c>
      <c r="U15" s="5">
        <f t="shared" si="5"/>
        <v>1.1200000000000001</v>
      </c>
      <c r="V15" s="5">
        <f t="shared" si="6"/>
        <v>1.1200000000000001</v>
      </c>
      <c r="W15" s="5">
        <f t="shared" si="7"/>
        <v>1.1200000000000001</v>
      </c>
      <c r="X15" s="24">
        <f t="shared" si="8"/>
        <v>0.6368039999999997</v>
      </c>
    </row>
    <row r="16" spans="1:24" x14ac:dyDescent="0.25">
      <c r="C16" s="5">
        <v>14</v>
      </c>
      <c r="D16" s="5" t="s">
        <v>19</v>
      </c>
      <c r="E16" s="5">
        <v>15.84</v>
      </c>
      <c r="F16" s="5">
        <v>19.920000000000002</v>
      </c>
      <c r="G16" s="5">
        <f t="shared" si="0"/>
        <v>39.70588235294116</v>
      </c>
      <c r="H16" s="5">
        <v>2.83</v>
      </c>
      <c r="I16" s="5">
        <v>4.05</v>
      </c>
      <c r="J16" s="5">
        <f t="shared" si="1"/>
        <v>3.44</v>
      </c>
      <c r="K16" s="58">
        <f t="shared" si="2"/>
        <v>0.27499999999999991</v>
      </c>
      <c r="L16" s="58">
        <f t="shared" si="3"/>
        <v>7.5624999999999956E-2</v>
      </c>
      <c r="N16" s="5">
        <v>14</v>
      </c>
      <c r="O16" s="5" t="s">
        <v>19</v>
      </c>
      <c r="P16" s="5">
        <v>24.66</v>
      </c>
      <c r="Q16" s="5">
        <v>29.64</v>
      </c>
      <c r="R16" s="5">
        <f t="shared" si="4"/>
        <v>32.53012048192771</v>
      </c>
      <c r="S16" s="5">
        <v>7.19</v>
      </c>
      <c r="T16" s="5">
        <v>5.96</v>
      </c>
      <c r="U16" s="5">
        <f t="shared" si="5"/>
        <v>1.8099999999999996</v>
      </c>
      <c r="V16" s="5">
        <f t="shared" si="6"/>
        <v>3.04</v>
      </c>
      <c r="W16" s="5">
        <f t="shared" si="7"/>
        <v>2.4249999999999998</v>
      </c>
      <c r="X16" s="24">
        <f t="shared" si="8"/>
        <v>0.25704899999999992</v>
      </c>
    </row>
    <row r="17" spans="3:24" x14ac:dyDescent="0.25">
      <c r="C17" s="5">
        <v>15</v>
      </c>
      <c r="D17" s="5" t="s">
        <v>20</v>
      </c>
      <c r="E17" s="5">
        <v>16.28</v>
      </c>
      <c r="F17" s="5">
        <v>20.68</v>
      </c>
      <c r="G17" s="5">
        <f t="shared" si="0"/>
        <v>36.818181818181827</v>
      </c>
      <c r="H17" s="5">
        <v>2.57</v>
      </c>
      <c r="I17" s="5">
        <v>2.57</v>
      </c>
      <c r="J17" s="5">
        <f t="shared" si="1"/>
        <v>2.57</v>
      </c>
      <c r="K17" s="58">
        <f t="shared" si="2"/>
        <v>-0.5950000000000002</v>
      </c>
      <c r="L17" s="58">
        <f t="shared" si="3"/>
        <v>0.35402500000000026</v>
      </c>
      <c r="N17" s="5">
        <v>15</v>
      </c>
      <c r="O17" s="5" t="s">
        <v>20</v>
      </c>
      <c r="P17" s="5">
        <v>32.6</v>
      </c>
      <c r="Q17" s="5">
        <v>36.880000000000003</v>
      </c>
      <c r="R17" s="5">
        <f t="shared" si="4"/>
        <v>37.850467289719617</v>
      </c>
      <c r="S17" s="5">
        <v>8.42</v>
      </c>
      <c r="T17" s="5">
        <v>8.42</v>
      </c>
      <c r="U17" s="5">
        <f t="shared" si="5"/>
        <v>0.58000000000000007</v>
      </c>
      <c r="V17" s="5">
        <f t="shared" si="6"/>
        <v>0.58000000000000007</v>
      </c>
      <c r="W17" s="5">
        <f t="shared" si="7"/>
        <v>0.58000000000000007</v>
      </c>
      <c r="X17" s="24">
        <f t="shared" si="8"/>
        <v>1.7902439999999997</v>
      </c>
    </row>
    <row r="18" spans="3:24" x14ac:dyDescent="0.25">
      <c r="C18" s="5">
        <v>16</v>
      </c>
      <c r="D18" s="5" t="s">
        <v>19</v>
      </c>
      <c r="E18" s="5">
        <v>17.079999999999998</v>
      </c>
      <c r="F18" s="5">
        <v>20.92</v>
      </c>
      <c r="G18" s="5">
        <f t="shared" si="0"/>
        <v>42.187499999999964</v>
      </c>
      <c r="H18" s="5">
        <v>3.89</v>
      </c>
      <c r="I18" s="5">
        <v>5.33</v>
      </c>
      <c r="J18" s="5">
        <f t="shared" si="1"/>
        <v>4.6100000000000003</v>
      </c>
      <c r="K18" s="58">
        <f t="shared" si="2"/>
        <v>1.4450000000000003</v>
      </c>
      <c r="L18" s="58">
        <f t="shared" si="3"/>
        <v>2.0880250000000009</v>
      </c>
      <c r="N18" s="5">
        <v>16</v>
      </c>
      <c r="O18" s="5" t="s">
        <v>20</v>
      </c>
      <c r="P18" s="5">
        <v>33.6</v>
      </c>
      <c r="Q18" s="5">
        <v>38.28</v>
      </c>
      <c r="R18" s="5">
        <f t="shared" si="4"/>
        <v>34.61538461538462</v>
      </c>
      <c r="S18" s="5">
        <v>7.73</v>
      </c>
      <c r="T18" s="5">
        <v>7.73</v>
      </c>
      <c r="U18" s="5">
        <f t="shared" si="5"/>
        <v>1.2699999999999996</v>
      </c>
      <c r="V18" s="5">
        <f t="shared" si="6"/>
        <v>1.2699999999999996</v>
      </c>
      <c r="W18" s="5">
        <f t="shared" si="7"/>
        <v>1.2699999999999996</v>
      </c>
      <c r="X18" s="24">
        <f t="shared" si="8"/>
        <v>0.41990400000000044</v>
      </c>
    </row>
    <row r="19" spans="3:24" x14ac:dyDescent="0.25">
      <c r="C19" s="5">
        <v>17</v>
      </c>
      <c r="D19" s="5" t="s">
        <v>19</v>
      </c>
      <c r="E19" s="5">
        <v>18.440000000000001</v>
      </c>
      <c r="F19" s="5">
        <v>22.66</v>
      </c>
      <c r="G19" s="5">
        <f t="shared" si="0"/>
        <v>38.388625592417071</v>
      </c>
      <c r="H19" s="5">
        <v>3.23</v>
      </c>
      <c r="I19" s="5">
        <v>4.62</v>
      </c>
      <c r="J19" s="5">
        <f t="shared" si="1"/>
        <v>3.9249999999999998</v>
      </c>
      <c r="K19" s="58">
        <f t="shared" si="2"/>
        <v>0.75999999999999979</v>
      </c>
      <c r="L19" s="58">
        <f t="shared" si="3"/>
        <v>0.57759999999999967</v>
      </c>
      <c r="N19" s="5">
        <v>17</v>
      </c>
      <c r="O19" s="5" t="s">
        <v>20</v>
      </c>
      <c r="P19" s="5">
        <v>34.64</v>
      </c>
      <c r="Q19" s="5">
        <v>38.92</v>
      </c>
      <c r="R19" s="5">
        <f t="shared" si="4"/>
        <v>37.850467289719617</v>
      </c>
      <c r="S19" s="5">
        <v>7.45</v>
      </c>
      <c r="T19" s="5">
        <v>7.45</v>
      </c>
      <c r="U19" s="5">
        <f t="shared" si="5"/>
        <v>1.5499999999999998</v>
      </c>
      <c r="V19" s="5">
        <f t="shared" si="6"/>
        <v>1.5499999999999998</v>
      </c>
      <c r="W19" s="5">
        <f t="shared" si="7"/>
        <v>1.5499999999999998</v>
      </c>
      <c r="X19" s="24">
        <f t="shared" si="8"/>
        <v>0.13542400000000007</v>
      </c>
    </row>
    <row r="20" spans="3:24" x14ac:dyDescent="0.25">
      <c r="C20" s="5">
        <v>18</v>
      </c>
      <c r="D20" s="5" t="s">
        <v>18</v>
      </c>
      <c r="E20" s="5">
        <v>19.96</v>
      </c>
      <c r="F20" s="5">
        <v>23.58</v>
      </c>
      <c r="G20" s="5">
        <f t="shared" si="0"/>
        <v>44.75138121546965</v>
      </c>
      <c r="H20" s="5">
        <v>4.41</v>
      </c>
      <c r="I20" s="5">
        <v>4.41</v>
      </c>
      <c r="J20" s="5">
        <f t="shared" si="1"/>
        <v>4.41</v>
      </c>
      <c r="K20" s="58">
        <f t="shared" si="2"/>
        <v>1.2450000000000001</v>
      </c>
      <c r="L20" s="58">
        <f t="shared" si="3"/>
        <v>1.5500250000000002</v>
      </c>
      <c r="N20" s="5">
        <v>18</v>
      </c>
      <c r="O20" s="5" t="s">
        <v>19</v>
      </c>
      <c r="P20" s="5">
        <v>38.119999999999997</v>
      </c>
      <c r="Q20" s="5">
        <v>42.24</v>
      </c>
      <c r="R20" s="5">
        <f t="shared" si="4"/>
        <v>39.320388349514516</v>
      </c>
      <c r="S20" s="5">
        <v>6.93</v>
      </c>
      <c r="T20" s="5">
        <v>5.75</v>
      </c>
      <c r="U20" s="5">
        <f t="shared" si="5"/>
        <v>2.0700000000000003</v>
      </c>
      <c r="V20" s="5">
        <f t="shared" si="6"/>
        <v>3.25</v>
      </c>
      <c r="W20" s="5">
        <f t="shared" si="7"/>
        <v>2.66</v>
      </c>
      <c r="X20" s="24">
        <f t="shared" si="8"/>
        <v>0.55056400000000028</v>
      </c>
    </row>
    <row r="21" spans="3:24" x14ac:dyDescent="0.25">
      <c r="C21" s="5">
        <v>19</v>
      </c>
      <c r="D21" s="5" t="s">
        <v>19</v>
      </c>
      <c r="E21" s="5">
        <v>22.24</v>
      </c>
      <c r="F21" s="5">
        <v>25.74</v>
      </c>
      <c r="G21" s="5">
        <f t="shared" si="0"/>
        <v>46.285714285714292</v>
      </c>
      <c r="H21" s="5">
        <v>2.88</v>
      </c>
      <c r="I21" s="5">
        <v>4.41</v>
      </c>
      <c r="J21" s="5">
        <f t="shared" si="1"/>
        <v>3.645</v>
      </c>
      <c r="K21" s="58">
        <f t="shared" si="2"/>
        <v>0.48</v>
      </c>
      <c r="L21" s="58">
        <f t="shared" si="3"/>
        <v>0.23039999999999999</v>
      </c>
      <c r="N21" s="5">
        <v>19</v>
      </c>
      <c r="O21" s="5" t="s">
        <v>19</v>
      </c>
      <c r="P21" s="5">
        <v>39.32</v>
      </c>
      <c r="Q21" s="5">
        <v>43.48</v>
      </c>
      <c r="R21" s="5">
        <f t="shared" si="4"/>
        <v>38.942307692307722</v>
      </c>
      <c r="S21" s="5">
        <v>6.84</v>
      </c>
      <c r="T21" s="5">
        <v>5.78</v>
      </c>
      <c r="U21" s="5">
        <f t="shared" si="5"/>
        <v>2.16</v>
      </c>
      <c r="V21" s="5">
        <f t="shared" si="6"/>
        <v>3.2199999999999998</v>
      </c>
      <c r="W21" s="5">
        <f t="shared" si="7"/>
        <v>2.69</v>
      </c>
      <c r="X21" s="24">
        <f t="shared" si="8"/>
        <v>0.59598400000000007</v>
      </c>
    </row>
    <row r="22" spans="3:24" x14ac:dyDescent="0.25">
      <c r="C22" s="5">
        <v>20</v>
      </c>
      <c r="D22" s="5" t="s">
        <v>19</v>
      </c>
      <c r="E22" s="5">
        <v>26.08</v>
      </c>
      <c r="F22" s="5">
        <v>29.31</v>
      </c>
      <c r="G22" s="5">
        <f t="shared" si="0"/>
        <v>50.154798761609896</v>
      </c>
      <c r="H22" s="5">
        <v>2.95</v>
      </c>
      <c r="I22" s="5">
        <v>4.17</v>
      </c>
      <c r="J22" s="5">
        <f t="shared" si="1"/>
        <v>3.56</v>
      </c>
      <c r="K22" s="58">
        <f t="shared" si="2"/>
        <v>0.39500000000000002</v>
      </c>
      <c r="L22" s="58">
        <f t="shared" si="3"/>
        <v>0.15602500000000002</v>
      </c>
      <c r="N22" s="5">
        <v>20</v>
      </c>
      <c r="O22" s="5" t="s">
        <v>20</v>
      </c>
      <c r="P22" s="5">
        <v>40.200000000000003</v>
      </c>
      <c r="Q22" s="5">
        <v>43.88</v>
      </c>
      <c r="R22" s="5">
        <f t="shared" si="4"/>
        <v>44.021739130434788</v>
      </c>
      <c r="S22" s="5">
        <v>7.59</v>
      </c>
      <c r="T22" s="5">
        <v>7.59</v>
      </c>
      <c r="U22" s="5">
        <f t="shared" si="5"/>
        <v>1.4100000000000001</v>
      </c>
      <c r="V22" s="5">
        <f t="shared" si="6"/>
        <v>1.4100000000000001</v>
      </c>
      <c r="W22" s="5">
        <f t="shared" si="7"/>
        <v>1.4100000000000001</v>
      </c>
      <c r="X22" s="24">
        <f t="shared" si="8"/>
        <v>0.25806399999999979</v>
      </c>
    </row>
    <row r="23" spans="3:24" x14ac:dyDescent="0.25">
      <c r="C23" s="5">
        <v>21</v>
      </c>
      <c r="D23" s="5" t="s">
        <v>20</v>
      </c>
      <c r="E23" s="5">
        <v>26.36</v>
      </c>
      <c r="F23" s="5">
        <v>31.38</v>
      </c>
      <c r="G23" s="5">
        <f t="shared" si="0"/>
        <v>32.270916334661358</v>
      </c>
      <c r="H23" s="5">
        <v>1.86</v>
      </c>
      <c r="I23" s="5">
        <v>1.86</v>
      </c>
      <c r="J23" s="5">
        <f t="shared" si="1"/>
        <v>1.86</v>
      </c>
      <c r="K23" s="58">
        <f t="shared" si="2"/>
        <v>-1.3049999999999999</v>
      </c>
      <c r="L23" s="58">
        <f t="shared" si="3"/>
        <v>1.7030249999999998</v>
      </c>
      <c r="N23" s="5">
        <v>21</v>
      </c>
      <c r="O23" s="5" t="s">
        <v>20</v>
      </c>
      <c r="P23" s="5">
        <v>42.24</v>
      </c>
      <c r="Q23" s="5">
        <v>46.36</v>
      </c>
      <c r="R23" s="5">
        <f t="shared" si="4"/>
        <v>39.320388349514587</v>
      </c>
      <c r="S23" s="5">
        <v>7.14</v>
      </c>
      <c r="T23" s="5">
        <v>7.14</v>
      </c>
      <c r="U23" s="5">
        <f t="shared" si="5"/>
        <v>1.8600000000000003</v>
      </c>
      <c r="V23" s="5">
        <f t="shared" si="6"/>
        <v>1.8600000000000003</v>
      </c>
      <c r="W23" s="5">
        <f t="shared" si="7"/>
        <v>1.8600000000000003</v>
      </c>
      <c r="X23" s="24">
        <f t="shared" si="8"/>
        <v>3.3639999999999543E-3</v>
      </c>
    </row>
    <row r="24" spans="3:24" x14ac:dyDescent="0.25">
      <c r="C24" s="5">
        <v>22</v>
      </c>
      <c r="D24" s="5" t="s">
        <v>19</v>
      </c>
      <c r="E24" s="5">
        <v>28.08</v>
      </c>
      <c r="F24" s="5">
        <v>31.06</v>
      </c>
      <c r="G24" s="5">
        <f t="shared" si="0"/>
        <v>54.362416107382543</v>
      </c>
      <c r="H24" s="5">
        <v>3.72</v>
      </c>
      <c r="I24" s="5">
        <v>4.95</v>
      </c>
      <c r="J24" s="5">
        <f t="shared" si="1"/>
        <v>4.335</v>
      </c>
      <c r="K24" s="58">
        <f t="shared" si="2"/>
        <v>1.17</v>
      </c>
      <c r="L24" s="58">
        <f t="shared" si="3"/>
        <v>1.3688999999999998</v>
      </c>
      <c r="N24" s="5">
        <v>22</v>
      </c>
      <c r="O24" s="5" t="s">
        <v>20</v>
      </c>
      <c r="P24" s="5">
        <v>48.22</v>
      </c>
      <c r="Q24" s="5">
        <v>52.76</v>
      </c>
      <c r="R24" s="5">
        <f t="shared" si="4"/>
        <v>35.682819383259918</v>
      </c>
      <c r="S24" s="5">
        <v>7.5</v>
      </c>
      <c r="T24" s="5">
        <v>7.5</v>
      </c>
      <c r="U24" s="5">
        <f t="shared" si="5"/>
        <v>1.5</v>
      </c>
      <c r="V24" s="5">
        <f t="shared" si="6"/>
        <v>1.5</v>
      </c>
      <c r="W24" s="5">
        <f t="shared" si="7"/>
        <v>1.5</v>
      </c>
      <c r="X24" s="24">
        <f t="shared" si="8"/>
        <v>0.17472399999999993</v>
      </c>
    </row>
    <row r="25" spans="3:24" x14ac:dyDescent="0.25">
      <c r="C25" s="5">
        <v>23</v>
      </c>
      <c r="D25" s="5" t="s">
        <v>20</v>
      </c>
      <c r="E25" s="5">
        <v>28.84</v>
      </c>
      <c r="F25" s="5">
        <v>32.46</v>
      </c>
      <c r="G25" s="5">
        <f t="shared" si="0"/>
        <v>44.7513812154696</v>
      </c>
      <c r="H25" s="5">
        <v>2.68</v>
      </c>
      <c r="I25" s="5">
        <v>2.68</v>
      </c>
      <c r="J25" s="5">
        <f t="shared" si="1"/>
        <v>2.68</v>
      </c>
      <c r="K25" s="58">
        <f t="shared" si="2"/>
        <v>-0.48499999999999988</v>
      </c>
      <c r="L25" s="58">
        <f t="shared" si="3"/>
        <v>0.23522499999999988</v>
      </c>
      <c r="N25" s="5">
        <v>23</v>
      </c>
      <c r="O25" s="5" t="s">
        <v>24</v>
      </c>
      <c r="P25" s="5">
        <v>50.92</v>
      </c>
      <c r="Q25" s="5">
        <v>60.32</v>
      </c>
      <c r="R25" s="5">
        <f t="shared" si="4"/>
        <v>17.23404255319149</v>
      </c>
      <c r="S25" s="5">
        <v>8.44</v>
      </c>
      <c r="T25" s="5">
        <v>8.44</v>
      </c>
      <c r="U25" s="5">
        <f t="shared" si="5"/>
        <v>0.5600000000000005</v>
      </c>
      <c r="V25" s="5">
        <f t="shared" si="6"/>
        <v>0.5600000000000005</v>
      </c>
      <c r="W25" s="5">
        <f t="shared" si="7"/>
        <v>0.5600000000000005</v>
      </c>
      <c r="X25" s="24">
        <f t="shared" si="8"/>
        <v>1.8441639999999984</v>
      </c>
    </row>
    <row r="26" spans="3:24" x14ac:dyDescent="0.25">
      <c r="C26" s="5">
        <v>24</v>
      </c>
      <c r="D26" s="5" t="s">
        <v>19</v>
      </c>
      <c r="E26" s="5">
        <v>31.12</v>
      </c>
      <c r="F26" s="5">
        <v>34.200000000000003</v>
      </c>
      <c r="G26" s="5">
        <f t="shared" si="0"/>
        <v>52.597402597402564</v>
      </c>
      <c r="H26" s="5">
        <v>3.23</v>
      </c>
      <c r="I26" s="5">
        <v>4.4800000000000004</v>
      </c>
      <c r="J26" s="5">
        <f t="shared" si="1"/>
        <v>3.8550000000000004</v>
      </c>
      <c r="K26" s="58">
        <f t="shared" si="2"/>
        <v>0.69000000000000039</v>
      </c>
      <c r="L26" s="58">
        <f t="shared" si="3"/>
        <v>0.47610000000000052</v>
      </c>
      <c r="N26" s="5">
        <v>24</v>
      </c>
      <c r="O26" s="5" t="s">
        <v>19</v>
      </c>
      <c r="P26" s="5">
        <v>56.12</v>
      </c>
      <c r="Q26" s="5">
        <v>60.64</v>
      </c>
      <c r="R26" s="5">
        <f t="shared" si="4"/>
        <v>35.840707964601748</v>
      </c>
      <c r="S26" s="5">
        <v>7.33</v>
      </c>
      <c r="T26" s="5">
        <v>6.23</v>
      </c>
      <c r="U26" s="5">
        <f t="shared" si="5"/>
        <v>1.67</v>
      </c>
      <c r="V26" s="5">
        <f t="shared" si="6"/>
        <v>2.7699999999999996</v>
      </c>
      <c r="W26" s="5">
        <f t="shared" si="7"/>
        <v>2.2199999999999998</v>
      </c>
      <c r="X26" s="24">
        <f t="shared" si="8"/>
        <v>9.1203999999999896E-2</v>
      </c>
    </row>
    <row r="27" spans="3:24" x14ac:dyDescent="0.25">
      <c r="C27" s="5">
        <v>25</v>
      </c>
      <c r="D27" s="5" t="s">
        <v>24</v>
      </c>
      <c r="E27" s="5">
        <v>30.64</v>
      </c>
      <c r="F27" s="5">
        <v>39.72</v>
      </c>
      <c r="G27" s="5">
        <f t="shared" si="0"/>
        <v>17.841409691629959</v>
      </c>
      <c r="H27" s="5">
        <v>0.26</v>
      </c>
      <c r="I27" s="5">
        <v>0.26</v>
      </c>
      <c r="J27" s="5">
        <f t="shared" si="1"/>
        <v>0.26</v>
      </c>
      <c r="K27" s="58">
        <f t="shared" si="2"/>
        <v>-2.9050000000000002</v>
      </c>
      <c r="L27" s="58">
        <f t="shared" si="3"/>
        <v>8.4390250000000009</v>
      </c>
      <c r="N27" s="5">
        <v>25</v>
      </c>
      <c r="O27" s="5" t="s">
        <v>20</v>
      </c>
      <c r="P27" s="5">
        <v>71.16</v>
      </c>
      <c r="Q27" s="5">
        <v>74.48</v>
      </c>
      <c r="R27" s="5">
        <f t="shared" si="4"/>
        <v>48.795180722891459</v>
      </c>
      <c r="S27" s="5">
        <v>6.29</v>
      </c>
      <c r="T27" s="5">
        <v>6.29</v>
      </c>
      <c r="U27" s="5">
        <f t="shared" si="5"/>
        <v>2.71</v>
      </c>
      <c r="V27" s="5">
        <f t="shared" si="6"/>
        <v>2.71</v>
      </c>
      <c r="W27" s="5">
        <f t="shared" si="7"/>
        <v>2.71</v>
      </c>
      <c r="X27" s="24">
        <f t="shared" si="8"/>
        <v>0.62726400000000004</v>
      </c>
    </row>
    <row r="28" spans="3:24" x14ac:dyDescent="0.25">
      <c r="C28" s="5">
        <v>26</v>
      </c>
      <c r="D28" s="5" t="s">
        <v>20</v>
      </c>
      <c r="E28" s="5">
        <v>31.44</v>
      </c>
      <c r="F28" s="5">
        <v>35.4</v>
      </c>
      <c r="G28" s="5">
        <f t="shared" si="0"/>
        <v>40.909090909090942</v>
      </c>
      <c r="H28" s="5">
        <v>1.48</v>
      </c>
      <c r="I28" s="5">
        <v>1.48</v>
      </c>
      <c r="J28" s="5">
        <f t="shared" si="1"/>
        <v>1.48</v>
      </c>
      <c r="K28" s="58">
        <f t="shared" si="2"/>
        <v>-1.6850000000000001</v>
      </c>
      <c r="L28" s="58">
        <f t="shared" si="3"/>
        <v>2.8392250000000003</v>
      </c>
      <c r="N28" s="5">
        <v>26</v>
      </c>
      <c r="O28" s="5" t="s">
        <v>21</v>
      </c>
      <c r="P28" s="5">
        <v>72.52</v>
      </c>
      <c r="Q28" s="5">
        <v>76.959999999999994</v>
      </c>
      <c r="R28" s="5">
        <f t="shared" si="4"/>
        <v>36.486486486486505</v>
      </c>
      <c r="S28" s="5">
        <v>7.9</v>
      </c>
      <c r="T28" s="5">
        <v>6.25</v>
      </c>
      <c r="U28" s="5">
        <f t="shared" si="5"/>
        <v>1.0999999999999996</v>
      </c>
      <c r="V28" s="5">
        <f t="shared" si="6"/>
        <v>2.75</v>
      </c>
      <c r="W28" s="5">
        <f t="shared" si="7"/>
        <v>1.9249999999999998</v>
      </c>
      <c r="X28" s="24">
        <f t="shared" si="8"/>
        <v>4.8999999999998535E-5</v>
      </c>
    </row>
    <row r="29" spans="3:24" x14ac:dyDescent="0.25">
      <c r="C29" s="5">
        <v>27</v>
      </c>
      <c r="D29" s="5" t="s">
        <v>20</v>
      </c>
      <c r="E29" s="5">
        <v>31.84</v>
      </c>
      <c r="F29" s="5">
        <v>35.299999999999997</v>
      </c>
      <c r="G29" s="5">
        <f t="shared" si="0"/>
        <v>46.820809248554951</v>
      </c>
      <c r="H29" s="5">
        <v>3.37</v>
      </c>
      <c r="I29" s="5">
        <v>3.37</v>
      </c>
      <c r="J29" s="5">
        <f t="shared" si="1"/>
        <v>3.37</v>
      </c>
      <c r="K29" s="58">
        <f t="shared" si="2"/>
        <v>0.20500000000000007</v>
      </c>
      <c r="L29" s="58">
        <f t="shared" si="3"/>
        <v>4.2025000000000028E-2</v>
      </c>
      <c r="N29" s="5">
        <v>27</v>
      </c>
      <c r="O29" s="5" t="s">
        <v>19</v>
      </c>
      <c r="P29" s="5">
        <v>74.12</v>
      </c>
      <c r="Q29" s="5">
        <v>78.64</v>
      </c>
      <c r="R29" s="5">
        <f t="shared" si="4"/>
        <v>35.840707964601805</v>
      </c>
      <c r="S29" s="5">
        <v>7.14</v>
      </c>
      <c r="T29" s="5">
        <v>5.82</v>
      </c>
      <c r="U29" s="5">
        <f t="shared" si="5"/>
        <v>1.8600000000000003</v>
      </c>
      <c r="V29" s="5">
        <f t="shared" si="6"/>
        <v>3.1799999999999997</v>
      </c>
      <c r="W29" s="5">
        <f t="shared" si="7"/>
        <v>2.52</v>
      </c>
      <c r="X29" s="24">
        <f t="shared" si="8"/>
        <v>0.36240400000000011</v>
      </c>
    </row>
    <row r="30" spans="3:24" x14ac:dyDescent="0.25">
      <c r="C30" s="5">
        <v>28</v>
      </c>
      <c r="D30" s="5" t="s">
        <v>19</v>
      </c>
      <c r="E30" s="5">
        <v>33.44</v>
      </c>
      <c r="F30" s="5">
        <v>36.979999999999997</v>
      </c>
      <c r="G30" s="5">
        <f t="shared" si="0"/>
        <v>45.762711864406796</v>
      </c>
      <c r="H30" s="5">
        <v>2.8</v>
      </c>
      <c r="I30" s="5">
        <v>4.0999999999999996</v>
      </c>
      <c r="J30" s="5">
        <f t="shared" si="1"/>
        <v>3.4499999999999997</v>
      </c>
      <c r="K30" s="58">
        <f t="shared" si="2"/>
        <v>0.2849999999999997</v>
      </c>
      <c r="L30" s="58">
        <f t="shared" si="3"/>
        <v>8.1224999999999825E-2</v>
      </c>
      <c r="N30" s="5">
        <v>28</v>
      </c>
      <c r="O30" s="5" t="s">
        <v>19</v>
      </c>
      <c r="P30" s="5">
        <v>75.040000000000006</v>
      </c>
      <c r="Q30" s="5">
        <v>79.760000000000005</v>
      </c>
      <c r="R30" s="5">
        <f t="shared" si="4"/>
        <v>34.322033898305094</v>
      </c>
      <c r="S30" s="5">
        <v>7.09</v>
      </c>
      <c r="T30" s="5">
        <v>5.92</v>
      </c>
      <c r="U30" s="5">
        <f t="shared" si="5"/>
        <v>1.9100000000000001</v>
      </c>
      <c r="V30" s="5">
        <f t="shared" si="6"/>
        <v>3.08</v>
      </c>
      <c r="W30" s="5">
        <f t="shared" si="7"/>
        <v>2.4950000000000001</v>
      </c>
      <c r="X30" s="24">
        <f t="shared" si="8"/>
        <v>0.3329290000000002</v>
      </c>
    </row>
    <row r="31" spans="3:24" x14ac:dyDescent="0.25">
      <c r="C31" s="5">
        <v>29</v>
      </c>
      <c r="D31" s="5" t="s">
        <v>19</v>
      </c>
      <c r="E31" s="5">
        <v>35.64</v>
      </c>
      <c r="F31" s="5">
        <v>39.340000000000003</v>
      </c>
      <c r="G31" s="5">
        <f t="shared" si="0"/>
        <v>43.783783783783747</v>
      </c>
      <c r="H31" s="5">
        <v>2.66</v>
      </c>
      <c r="I31" s="5">
        <v>4.17</v>
      </c>
      <c r="J31" s="5">
        <f t="shared" si="1"/>
        <v>3.415</v>
      </c>
      <c r="K31" s="58">
        <f t="shared" si="2"/>
        <v>0.25</v>
      </c>
      <c r="L31" s="58">
        <f t="shared" si="3"/>
        <v>6.25E-2</v>
      </c>
      <c r="N31" s="5">
        <v>29</v>
      </c>
      <c r="O31" s="5" t="s">
        <v>19</v>
      </c>
      <c r="P31" s="5">
        <v>76.28</v>
      </c>
      <c r="Q31" s="5">
        <v>81.040000000000006</v>
      </c>
      <c r="R31" s="5">
        <f t="shared" si="4"/>
        <v>34.033613445378116</v>
      </c>
      <c r="S31" s="5">
        <v>7.52</v>
      </c>
      <c r="T31" s="5">
        <v>6.22</v>
      </c>
      <c r="U31" s="5">
        <f t="shared" si="5"/>
        <v>1.4800000000000004</v>
      </c>
      <c r="V31" s="5">
        <f t="shared" si="6"/>
        <v>2.7800000000000002</v>
      </c>
      <c r="W31" s="5">
        <f t="shared" si="7"/>
        <v>2.1300000000000003</v>
      </c>
      <c r="X31" s="24">
        <f t="shared" si="8"/>
        <v>4.4944000000000171E-2</v>
      </c>
    </row>
    <row r="32" spans="3:24" x14ac:dyDescent="0.25">
      <c r="C32" s="5">
        <v>30</v>
      </c>
      <c r="D32" s="5" t="s">
        <v>19</v>
      </c>
      <c r="E32" s="5">
        <v>36.64</v>
      </c>
      <c r="F32" s="5">
        <v>40.4</v>
      </c>
      <c r="G32" s="5">
        <f t="shared" si="0"/>
        <v>43.085106382978744</v>
      </c>
      <c r="H32" s="5">
        <v>3.21</v>
      </c>
      <c r="I32" s="5">
        <v>4.55</v>
      </c>
      <c r="J32" s="5">
        <f t="shared" si="1"/>
        <v>3.88</v>
      </c>
      <c r="K32" s="58">
        <f t="shared" si="2"/>
        <v>0.71499999999999986</v>
      </c>
      <c r="L32" s="58">
        <f t="shared" si="3"/>
        <v>0.51122499999999982</v>
      </c>
      <c r="N32" s="5">
        <v>30</v>
      </c>
      <c r="O32" s="5" t="s">
        <v>19</v>
      </c>
      <c r="P32" s="5">
        <v>78.64</v>
      </c>
      <c r="Q32" s="5">
        <v>82.8</v>
      </c>
      <c r="R32" s="5">
        <f t="shared" si="4"/>
        <v>38.942307692307722</v>
      </c>
      <c r="S32" s="5">
        <v>7.26</v>
      </c>
      <c r="T32" s="5">
        <v>6.17</v>
      </c>
      <c r="U32" s="5">
        <f t="shared" si="5"/>
        <v>1.7400000000000002</v>
      </c>
      <c r="V32" s="5">
        <f t="shared" si="6"/>
        <v>2.83</v>
      </c>
      <c r="W32" s="5">
        <f t="shared" si="7"/>
        <v>2.2850000000000001</v>
      </c>
      <c r="X32" s="24">
        <f t="shared" si="8"/>
        <v>0.13468900000000017</v>
      </c>
    </row>
    <row r="33" spans="3:24" x14ac:dyDescent="0.25">
      <c r="C33" s="5">
        <v>31</v>
      </c>
      <c r="D33" s="5" t="s">
        <v>19</v>
      </c>
      <c r="E33" s="5">
        <v>38.799999999999997</v>
      </c>
      <c r="F33" s="5">
        <v>42.4</v>
      </c>
      <c r="G33" s="5">
        <f t="shared" si="0"/>
        <v>44.999999999999979</v>
      </c>
      <c r="H33" s="5">
        <v>3.14</v>
      </c>
      <c r="I33" s="5">
        <v>4.53</v>
      </c>
      <c r="J33" s="5">
        <f t="shared" si="1"/>
        <v>3.835</v>
      </c>
      <c r="K33" s="58">
        <f t="shared" si="2"/>
        <v>0.66999999999999993</v>
      </c>
      <c r="L33" s="58">
        <f t="shared" si="3"/>
        <v>0.44889999999999991</v>
      </c>
      <c r="N33" s="5">
        <v>31</v>
      </c>
      <c r="O33" s="5" t="s">
        <v>19</v>
      </c>
      <c r="P33" s="5">
        <v>80.040000000000006</v>
      </c>
      <c r="Q33" s="5">
        <v>84.12</v>
      </c>
      <c r="R33" s="5">
        <f t="shared" si="4"/>
        <v>39.705882352941195</v>
      </c>
      <c r="S33" s="5">
        <v>7.59</v>
      </c>
      <c r="T33" s="5">
        <v>6.39</v>
      </c>
      <c r="U33" s="5">
        <f t="shared" si="5"/>
        <v>1.4100000000000001</v>
      </c>
      <c r="V33" s="5">
        <f t="shared" si="6"/>
        <v>2.6100000000000003</v>
      </c>
      <c r="W33" s="5">
        <f t="shared" si="7"/>
        <v>2.0100000000000002</v>
      </c>
      <c r="X33" s="24">
        <f t="shared" si="8"/>
        <v>8.4640000000000565E-3</v>
      </c>
    </row>
    <row r="34" spans="3:24" x14ac:dyDescent="0.25">
      <c r="C34" s="5">
        <v>32</v>
      </c>
      <c r="D34" s="5" t="s">
        <v>20</v>
      </c>
      <c r="E34" s="5">
        <v>38.880000000000003</v>
      </c>
      <c r="F34" s="5">
        <v>42.22</v>
      </c>
      <c r="G34" s="5">
        <f t="shared" si="0"/>
        <v>48.502994011976099</v>
      </c>
      <c r="H34" s="5">
        <v>1.96</v>
      </c>
      <c r="I34" s="5">
        <v>1.96</v>
      </c>
      <c r="J34" s="5">
        <f t="shared" si="1"/>
        <v>1.96</v>
      </c>
      <c r="K34" s="58">
        <f t="shared" si="2"/>
        <v>-1.2050000000000001</v>
      </c>
      <c r="L34" s="58">
        <f t="shared" si="3"/>
        <v>1.4520250000000001</v>
      </c>
      <c r="N34" s="5">
        <v>32</v>
      </c>
      <c r="O34" s="5" t="s">
        <v>19</v>
      </c>
      <c r="P34" s="5">
        <v>82.68</v>
      </c>
      <c r="Q34" s="5">
        <v>86.72</v>
      </c>
      <c r="R34" s="5">
        <f t="shared" si="4"/>
        <v>40.099009900990175</v>
      </c>
      <c r="S34" s="5">
        <v>8.11</v>
      </c>
      <c r="T34" s="5">
        <v>6.79</v>
      </c>
      <c r="U34" s="5">
        <f t="shared" si="5"/>
        <v>0.89000000000000057</v>
      </c>
      <c r="V34" s="5">
        <f t="shared" si="6"/>
        <v>2.21</v>
      </c>
      <c r="W34" s="5">
        <f t="shared" si="7"/>
        <v>1.5500000000000003</v>
      </c>
      <c r="X34" s="24">
        <f t="shared" si="8"/>
        <v>0.13542399999999974</v>
      </c>
    </row>
    <row r="35" spans="3:24" x14ac:dyDescent="0.25">
      <c r="C35" s="5">
        <v>33</v>
      </c>
      <c r="D35" s="5" t="s">
        <v>20</v>
      </c>
      <c r="E35" s="5">
        <v>39.36</v>
      </c>
      <c r="F35" s="5">
        <v>44.4</v>
      </c>
      <c r="G35" s="5">
        <f t="shared" si="0"/>
        <v>32.142857142857153</v>
      </c>
      <c r="H35" s="5">
        <v>2.19</v>
      </c>
      <c r="I35" s="5">
        <v>2.19</v>
      </c>
      <c r="J35" s="5">
        <f t="shared" si="1"/>
        <v>2.19</v>
      </c>
      <c r="K35" s="58">
        <f t="shared" si="2"/>
        <v>-0.97500000000000009</v>
      </c>
      <c r="L35" s="58">
        <f t="shared" si="3"/>
        <v>0.95062500000000016</v>
      </c>
      <c r="N35" s="5">
        <v>33</v>
      </c>
      <c r="O35" s="5" t="s">
        <v>20</v>
      </c>
      <c r="P35" s="5">
        <v>83.8</v>
      </c>
      <c r="Q35" s="5">
        <v>89.56</v>
      </c>
      <c r="R35" s="5">
        <f t="shared" si="4"/>
        <v>28.124999999999975</v>
      </c>
      <c r="S35" s="5">
        <v>8.44</v>
      </c>
      <c r="T35" s="5">
        <v>8.44</v>
      </c>
      <c r="U35" s="5">
        <f t="shared" si="5"/>
        <v>0.5600000000000005</v>
      </c>
      <c r="V35" s="5">
        <f t="shared" si="6"/>
        <v>0.5600000000000005</v>
      </c>
      <c r="W35" s="5">
        <f t="shared" si="7"/>
        <v>0.5600000000000005</v>
      </c>
      <c r="X35" s="24">
        <f t="shared" si="8"/>
        <v>1.8441639999999984</v>
      </c>
    </row>
    <row r="36" spans="3:24" x14ac:dyDescent="0.25">
      <c r="C36" s="5">
        <v>34</v>
      </c>
      <c r="D36" s="5" t="s">
        <v>20</v>
      </c>
      <c r="E36" s="5">
        <v>40.64</v>
      </c>
      <c r="F36" s="5">
        <v>47.92</v>
      </c>
      <c r="G36" s="5">
        <f t="shared" si="0"/>
        <v>22.252747252747252</v>
      </c>
      <c r="H36" s="5">
        <v>0.28000000000000003</v>
      </c>
      <c r="I36" s="5">
        <v>0.28000000000000003</v>
      </c>
      <c r="J36" s="7">
        <f t="shared" si="1"/>
        <v>0.28000000000000003</v>
      </c>
      <c r="K36" s="58">
        <f t="shared" si="2"/>
        <v>-2.8849999999999998</v>
      </c>
      <c r="L36" s="58">
        <f t="shared" si="3"/>
        <v>8.323224999999999</v>
      </c>
      <c r="N36" s="5">
        <v>34</v>
      </c>
      <c r="O36" s="5" t="s">
        <v>19</v>
      </c>
      <c r="P36" s="5">
        <v>84.44</v>
      </c>
      <c r="Q36" s="5">
        <v>88.6</v>
      </c>
      <c r="R36" s="5">
        <f t="shared" si="4"/>
        <v>38.942307692307722</v>
      </c>
      <c r="S36" s="5">
        <v>7.21</v>
      </c>
      <c r="T36" s="5">
        <v>5.92</v>
      </c>
      <c r="U36" s="5">
        <f t="shared" si="5"/>
        <v>1.79</v>
      </c>
      <c r="V36" s="5">
        <f t="shared" si="6"/>
        <v>3.08</v>
      </c>
      <c r="W36" s="5">
        <f t="shared" si="7"/>
        <v>2.4350000000000001</v>
      </c>
      <c r="X36" s="24">
        <f t="shared" si="8"/>
        <v>0.26728900000000011</v>
      </c>
    </row>
    <row r="37" spans="3:24" x14ac:dyDescent="0.25">
      <c r="C37" s="5">
        <v>35</v>
      </c>
      <c r="D37" s="5" t="s">
        <v>19</v>
      </c>
      <c r="E37" s="5">
        <v>41.92</v>
      </c>
      <c r="F37" s="5">
        <v>45.4</v>
      </c>
      <c r="G37" s="5">
        <f t="shared" si="0"/>
        <v>46.551724137931075</v>
      </c>
      <c r="H37" s="5">
        <v>3.25</v>
      </c>
      <c r="I37" s="5">
        <v>4.6900000000000004</v>
      </c>
      <c r="J37" s="5">
        <f t="shared" si="1"/>
        <v>3.97</v>
      </c>
      <c r="K37" s="58">
        <f t="shared" si="2"/>
        <v>0.80500000000000016</v>
      </c>
      <c r="L37" s="58">
        <f t="shared" si="3"/>
        <v>0.6480250000000003</v>
      </c>
      <c r="N37" s="5">
        <v>35</v>
      </c>
      <c r="O37" s="5" t="s">
        <v>20</v>
      </c>
      <c r="P37" s="5">
        <v>85.08</v>
      </c>
      <c r="Q37" s="5">
        <v>89.16</v>
      </c>
      <c r="R37" s="5">
        <f t="shared" si="4"/>
        <v>39.705882352941195</v>
      </c>
      <c r="S37" s="5">
        <v>6.2</v>
      </c>
      <c r="T37" s="5">
        <v>6.2</v>
      </c>
      <c r="U37" s="5">
        <f t="shared" si="5"/>
        <v>2.8</v>
      </c>
      <c r="V37" s="5">
        <f t="shared" si="6"/>
        <v>2.8</v>
      </c>
      <c r="W37" s="5">
        <f t="shared" si="7"/>
        <v>2.8</v>
      </c>
      <c r="X37" s="24">
        <f t="shared" si="8"/>
        <v>0.77792399999999984</v>
      </c>
    </row>
    <row r="38" spans="3:24" x14ac:dyDescent="0.25">
      <c r="C38" s="5">
        <v>36</v>
      </c>
      <c r="D38" s="5" t="s">
        <v>19</v>
      </c>
      <c r="E38" s="5">
        <v>42.88</v>
      </c>
      <c r="F38" s="5">
        <v>46.42</v>
      </c>
      <c r="G38" s="5">
        <f t="shared" si="0"/>
        <v>45.762711864406796</v>
      </c>
      <c r="H38" s="5">
        <v>2.83</v>
      </c>
      <c r="I38" s="5">
        <v>4.29</v>
      </c>
      <c r="J38" s="5">
        <f t="shared" si="1"/>
        <v>3.56</v>
      </c>
      <c r="K38" s="58">
        <f t="shared" si="2"/>
        <v>0.39500000000000002</v>
      </c>
      <c r="L38" s="58">
        <f t="shared" si="3"/>
        <v>0.15602500000000002</v>
      </c>
      <c r="N38" s="5">
        <v>36</v>
      </c>
      <c r="O38" s="5" t="s">
        <v>20</v>
      </c>
      <c r="P38" s="5">
        <v>85.84</v>
      </c>
      <c r="Q38" s="5">
        <v>89.88</v>
      </c>
      <c r="R38" s="5">
        <f t="shared" si="4"/>
        <v>40.099009900990175</v>
      </c>
      <c r="S38" s="5">
        <v>7.75</v>
      </c>
      <c r="T38" s="5">
        <v>7.75</v>
      </c>
      <c r="U38" s="5">
        <f t="shared" si="5"/>
        <v>1.25</v>
      </c>
      <c r="V38" s="5">
        <f t="shared" si="6"/>
        <v>1.25</v>
      </c>
      <c r="W38" s="5">
        <f t="shared" si="7"/>
        <v>1.25</v>
      </c>
      <c r="X38" s="24">
        <f t="shared" si="8"/>
        <v>0.4462239999999999</v>
      </c>
    </row>
    <row r="39" spans="3:24" x14ac:dyDescent="0.25">
      <c r="C39" s="5">
        <v>37</v>
      </c>
      <c r="D39" s="5" t="s">
        <v>19</v>
      </c>
      <c r="E39" s="5">
        <v>44.76</v>
      </c>
      <c r="F39" s="5">
        <v>48.5</v>
      </c>
      <c r="G39" s="5">
        <f t="shared" si="0"/>
        <v>43.31550802139035</v>
      </c>
      <c r="H39" s="5">
        <v>2.83</v>
      </c>
      <c r="I39" s="5">
        <v>4.12</v>
      </c>
      <c r="J39" s="5">
        <f t="shared" si="1"/>
        <v>3.4750000000000001</v>
      </c>
      <c r="K39" s="58">
        <f t="shared" si="2"/>
        <v>0.31000000000000005</v>
      </c>
      <c r="L39" s="58">
        <f t="shared" si="3"/>
        <v>9.6100000000000033E-2</v>
      </c>
      <c r="N39" s="5">
        <v>37</v>
      </c>
      <c r="O39" s="5" t="s">
        <v>19</v>
      </c>
      <c r="P39" s="5">
        <v>96.6</v>
      </c>
      <c r="Q39" s="5">
        <v>100.16</v>
      </c>
      <c r="R39" s="5">
        <f t="shared" si="4"/>
        <v>45.505617977528061</v>
      </c>
      <c r="S39" s="5">
        <v>7.21</v>
      </c>
      <c r="T39" s="5">
        <v>5.94</v>
      </c>
      <c r="U39" s="5">
        <f t="shared" si="5"/>
        <v>1.79</v>
      </c>
      <c r="V39" s="5">
        <f t="shared" si="6"/>
        <v>3.0599999999999996</v>
      </c>
      <c r="W39" s="5">
        <f t="shared" si="7"/>
        <v>2.4249999999999998</v>
      </c>
      <c r="X39" s="24">
        <f t="shared" si="8"/>
        <v>0.25704899999999992</v>
      </c>
    </row>
    <row r="40" spans="3:24" x14ac:dyDescent="0.25">
      <c r="C40" s="5">
        <v>38</v>
      </c>
      <c r="D40" s="5" t="s">
        <v>19</v>
      </c>
      <c r="E40" s="5">
        <v>46.36</v>
      </c>
      <c r="F40" s="5">
        <v>50.28</v>
      </c>
      <c r="G40" s="5">
        <f t="shared" si="0"/>
        <v>41.326530612244881</v>
      </c>
      <c r="H40" s="5">
        <v>2.66</v>
      </c>
      <c r="I40" s="5">
        <v>3.96</v>
      </c>
      <c r="J40" s="5">
        <f t="shared" si="1"/>
        <v>3.31</v>
      </c>
      <c r="K40" s="58">
        <f t="shared" si="2"/>
        <v>0.14500000000000002</v>
      </c>
      <c r="L40" s="58">
        <f t="shared" si="3"/>
        <v>2.1025000000000005E-2</v>
      </c>
      <c r="N40" s="5">
        <v>38</v>
      </c>
      <c r="O40" s="5" t="s">
        <v>19</v>
      </c>
      <c r="P40" s="5">
        <v>98.36</v>
      </c>
      <c r="Q40" s="5">
        <v>101.88</v>
      </c>
      <c r="R40" s="5">
        <f t="shared" si="4"/>
        <v>46.02272727272733</v>
      </c>
      <c r="S40" s="5">
        <v>7.52</v>
      </c>
      <c r="T40" s="5">
        <v>6.42</v>
      </c>
      <c r="U40" s="5">
        <f t="shared" si="5"/>
        <v>1.4800000000000004</v>
      </c>
      <c r="V40" s="5">
        <f t="shared" si="6"/>
        <v>2.58</v>
      </c>
      <c r="W40" s="5">
        <f t="shared" si="7"/>
        <v>2.0300000000000002</v>
      </c>
      <c r="X40" s="24">
        <f t="shared" si="8"/>
        <v>1.2544000000000072E-2</v>
      </c>
    </row>
    <row r="41" spans="3:24" x14ac:dyDescent="0.25">
      <c r="C41" s="5">
        <v>39</v>
      </c>
      <c r="D41" s="5" t="s">
        <v>19</v>
      </c>
      <c r="E41" s="5">
        <v>47.12</v>
      </c>
      <c r="F41" s="5">
        <v>50.82</v>
      </c>
      <c r="G41" s="5">
        <f t="shared" si="0"/>
        <v>43.783783783783747</v>
      </c>
      <c r="H41" s="5">
        <v>3.77</v>
      </c>
      <c r="I41" s="5">
        <v>5.09</v>
      </c>
      <c r="J41" s="5">
        <f t="shared" si="1"/>
        <v>4.43</v>
      </c>
      <c r="K41" s="58">
        <f t="shared" si="2"/>
        <v>1.2649999999999997</v>
      </c>
      <c r="L41" s="58">
        <f t="shared" si="3"/>
        <v>1.6002249999999991</v>
      </c>
      <c r="N41" s="5">
        <v>39</v>
      </c>
      <c r="O41" s="5" t="s">
        <v>19</v>
      </c>
      <c r="P41" s="5">
        <v>99.84</v>
      </c>
      <c r="Q41" s="5">
        <v>103.44</v>
      </c>
      <c r="R41" s="5">
        <f t="shared" si="4"/>
        <v>45.000000000000071</v>
      </c>
      <c r="S41" s="5">
        <v>7.31</v>
      </c>
      <c r="T41" s="5">
        <v>6.01</v>
      </c>
      <c r="U41" s="5">
        <f t="shared" si="5"/>
        <v>1.6900000000000004</v>
      </c>
      <c r="V41" s="5">
        <f t="shared" si="6"/>
        <v>2.99</v>
      </c>
      <c r="W41" s="5">
        <f t="shared" si="7"/>
        <v>2.3400000000000003</v>
      </c>
      <c r="X41" s="24">
        <f t="shared" si="8"/>
        <v>0.17808400000000033</v>
      </c>
    </row>
    <row r="42" spans="3:24" x14ac:dyDescent="0.25">
      <c r="C42" s="5">
        <v>40</v>
      </c>
      <c r="D42" s="5" t="s">
        <v>24</v>
      </c>
      <c r="E42" s="5">
        <v>48.76</v>
      </c>
      <c r="F42" s="5">
        <v>57.1</v>
      </c>
      <c r="G42" s="5">
        <f t="shared" si="0"/>
        <v>19.424460431654669</v>
      </c>
      <c r="H42" s="5">
        <v>0.81</v>
      </c>
      <c r="I42" s="5">
        <v>0.81</v>
      </c>
      <c r="J42" s="5">
        <f t="shared" si="1"/>
        <v>0.81</v>
      </c>
      <c r="K42" s="58">
        <f t="shared" si="2"/>
        <v>-2.355</v>
      </c>
      <c r="L42" s="58">
        <f t="shared" si="3"/>
        <v>5.5460250000000002</v>
      </c>
      <c r="N42" s="5">
        <v>40</v>
      </c>
      <c r="O42" s="5" t="s">
        <v>19</v>
      </c>
      <c r="P42" s="5">
        <v>101.92</v>
      </c>
      <c r="Q42" s="5">
        <v>105.56</v>
      </c>
      <c r="R42" s="5">
        <f t="shared" si="4"/>
        <v>44.505494505494504</v>
      </c>
      <c r="S42" s="5">
        <v>7.02</v>
      </c>
      <c r="T42" s="5">
        <v>5.8</v>
      </c>
      <c r="U42" s="5">
        <f t="shared" si="5"/>
        <v>1.9800000000000004</v>
      </c>
      <c r="V42" s="5">
        <f t="shared" si="6"/>
        <v>3.2</v>
      </c>
      <c r="W42" s="5">
        <f t="shared" si="7"/>
        <v>2.5900000000000003</v>
      </c>
      <c r="X42" s="24">
        <f t="shared" si="8"/>
        <v>0.45158400000000049</v>
      </c>
    </row>
    <row r="43" spans="3:24" x14ac:dyDescent="0.25">
      <c r="C43" s="5">
        <v>41</v>
      </c>
      <c r="D43" s="5" t="s">
        <v>20</v>
      </c>
      <c r="E43" s="5">
        <v>49.84</v>
      </c>
      <c r="F43" s="5">
        <v>53.84</v>
      </c>
      <c r="G43" s="5">
        <f t="shared" si="0"/>
        <v>40.5</v>
      </c>
      <c r="H43" s="5">
        <v>3.25</v>
      </c>
      <c r="I43" s="5">
        <v>3.25</v>
      </c>
      <c r="J43" s="5">
        <f t="shared" si="1"/>
        <v>3.25</v>
      </c>
      <c r="K43" s="58">
        <f t="shared" si="2"/>
        <v>8.4999999999999964E-2</v>
      </c>
      <c r="L43" s="58">
        <f t="shared" si="3"/>
        <v>7.2249999999999936E-3</v>
      </c>
      <c r="N43" s="5">
        <v>41</v>
      </c>
      <c r="O43" s="5" t="s">
        <v>20</v>
      </c>
      <c r="P43" s="5">
        <v>103.24</v>
      </c>
      <c r="Q43" s="5">
        <v>106.76</v>
      </c>
      <c r="R43" s="5">
        <f t="shared" si="4"/>
        <v>46.022727272727145</v>
      </c>
      <c r="S43" s="5">
        <v>7.54</v>
      </c>
      <c r="T43" s="5">
        <v>7.54</v>
      </c>
      <c r="U43" s="5">
        <f t="shared" si="5"/>
        <v>1.46</v>
      </c>
      <c r="V43" s="5">
        <f t="shared" si="6"/>
        <v>1.46</v>
      </c>
      <c r="W43" s="5">
        <f t="shared" si="7"/>
        <v>1.46</v>
      </c>
      <c r="X43" s="24">
        <f t="shared" si="8"/>
        <v>0.20976399999999998</v>
      </c>
    </row>
    <row r="44" spans="3:24" x14ac:dyDescent="0.25">
      <c r="C44" s="5">
        <v>42</v>
      </c>
      <c r="D44" s="5" t="s">
        <v>20</v>
      </c>
      <c r="E44" s="5">
        <v>51.8</v>
      </c>
      <c r="F44" s="5">
        <v>55.56</v>
      </c>
      <c r="G44" s="5">
        <f t="shared" si="0"/>
        <v>43.085106382978665</v>
      </c>
      <c r="H44" s="5">
        <v>3.44</v>
      </c>
      <c r="I44" s="5">
        <v>3.44</v>
      </c>
      <c r="J44" s="5">
        <f t="shared" si="1"/>
        <v>3.44</v>
      </c>
      <c r="K44" s="58">
        <f t="shared" si="2"/>
        <v>0.27499999999999991</v>
      </c>
      <c r="L44" s="58">
        <f t="shared" si="3"/>
        <v>7.5624999999999956E-2</v>
      </c>
      <c r="N44" s="5">
        <v>42</v>
      </c>
      <c r="O44" s="5" t="s">
        <v>19</v>
      </c>
      <c r="P44" s="5">
        <v>104</v>
      </c>
      <c r="Q44" s="5">
        <v>107.52</v>
      </c>
      <c r="R44" s="5">
        <f t="shared" si="4"/>
        <v>46.02272727272733</v>
      </c>
      <c r="S44" s="5">
        <v>7</v>
      </c>
      <c r="T44" s="5">
        <v>5.78</v>
      </c>
      <c r="U44" s="5">
        <f t="shared" si="5"/>
        <v>2</v>
      </c>
      <c r="V44" s="5">
        <f t="shared" si="6"/>
        <v>3.2199999999999998</v>
      </c>
      <c r="W44" s="5">
        <f t="shared" si="7"/>
        <v>2.61</v>
      </c>
      <c r="X44" s="24">
        <f t="shared" si="8"/>
        <v>0.47886399999999996</v>
      </c>
    </row>
    <row r="45" spans="3:24" x14ac:dyDescent="0.25">
      <c r="C45" s="5">
        <v>43</v>
      </c>
      <c r="D45" s="5" t="s">
        <v>24</v>
      </c>
      <c r="E45" s="5">
        <v>53.12</v>
      </c>
      <c r="F45" s="5">
        <v>64.88</v>
      </c>
      <c r="G45" s="5">
        <f t="shared" si="0"/>
        <v>13.775510204081636</v>
      </c>
      <c r="H45" s="5">
        <v>0.8</v>
      </c>
      <c r="I45" s="5">
        <v>0.8</v>
      </c>
      <c r="J45" s="5">
        <f t="shared" si="1"/>
        <v>0.8</v>
      </c>
      <c r="K45" s="58">
        <f t="shared" si="2"/>
        <v>-2.3650000000000002</v>
      </c>
      <c r="L45" s="58">
        <f t="shared" si="3"/>
        <v>5.5932250000000012</v>
      </c>
      <c r="N45" s="5">
        <v>43</v>
      </c>
      <c r="O45" s="5" t="s">
        <v>19</v>
      </c>
      <c r="P45" s="5">
        <v>105.16</v>
      </c>
      <c r="Q45" s="5">
        <v>108.76</v>
      </c>
      <c r="R45" s="5">
        <f t="shared" si="4"/>
        <v>44.999999999999893</v>
      </c>
      <c r="S45" s="5">
        <v>6.74</v>
      </c>
      <c r="T45" s="5">
        <v>5.33</v>
      </c>
      <c r="U45" s="5">
        <f t="shared" si="5"/>
        <v>2.2599999999999998</v>
      </c>
      <c r="V45" s="5">
        <f t="shared" si="6"/>
        <v>3.67</v>
      </c>
      <c r="W45" s="5">
        <f t="shared" si="7"/>
        <v>2.9649999999999999</v>
      </c>
      <c r="X45" s="24">
        <f t="shared" si="8"/>
        <v>1.0962089999999998</v>
      </c>
    </row>
    <row r="46" spans="3:24" x14ac:dyDescent="0.25">
      <c r="C46" s="5">
        <v>44</v>
      </c>
      <c r="D46" s="5" t="s">
        <v>19</v>
      </c>
      <c r="E46" s="5">
        <v>55.16</v>
      </c>
      <c r="F46" s="5">
        <v>58.58</v>
      </c>
      <c r="G46" s="5">
        <f t="shared" si="0"/>
        <v>47.368421052631561</v>
      </c>
      <c r="H46" s="5">
        <v>3.77</v>
      </c>
      <c r="I46" s="5">
        <v>4.8600000000000003</v>
      </c>
      <c r="J46" s="5">
        <f t="shared" si="1"/>
        <v>4.3150000000000004</v>
      </c>
      <c r="K46" s="58">
        <f t="shared" si="2"/>
        <v>1.1500000000000004</v>
      </c>
      <c r="L46" s="58">
        <f t="shared" si="3"/>
        <v>1.3225000000000009</v>
      </c>
      <c r="N46" s="5">
        <v>44</v>
      </c>
      <c r="O46" s="5" t="s">
        <v>20</v>
      </c>
      <c r="P46" s="5">
        <v>106.16</v>
      </c>
      <c r="Q46" s="5">
        <v>109.96</v>
      </c>
      <c r="R46" s="5">
        <f t="shared" si="4"/>
        <v>42.63157894736846</v>
      </c>
      <c r="S46" s="5">
        <v>6.97</v>
      </c>
      <c r="T46" s="5">
        <v>6.97</v>
      </c>
      <c r="U46" s="5">
        <f t="shared" si="5"/>
        <v>2.0300000000000002</v>
      </c>
      <c r="V46" s="5">
        <f t="shared" si="6"/>
        <v>2.0300000000000002</v>
      </c>
      <c r="W46" s="5">
        <f t="shared" si="7"/>
        <v>2.0300000000000002</v>
      </c>
      <c r="X46" s="24">
        <f t="shared" si="8"/>
        <v>1.2544000000000072E-2</v>
      </c>
    </row>
    <row r="47" spans="3:24" x14ac:dyDescent="0.25">
      <c r="C47" s="5">
        <v>45</v>
      </c>
      <c r="D47" s="5" t="s">
        <v>24</v>
      </c>
      <c r="E47" s="5">
        <v>55.92</v>
      </c>
      <c r="F47" s="5">
        <v>65.72</v>
      </c>
      <c r="G47" s="5">
        <f t="shared" si="0"/>
        <v>16.530612244897963</v>
      </c>
      <c r="H47" s="5">
        <v>0.25</v>
      </c>
      <c r="I47" s="5">
        <v>0.25</v>
      </c>
      <c r="J47" s="5">
        <f t="shared" si="1"/>
        <v>0.25</v>
      </c>
      <c r="K47" s="58">
        <f t="shared" si="2"/>
        <v>-2.915</v>
      </c>
      <c r="L47" s="58">
        <f t="shared" si="3"/>
        <v>8.4972250000000003</v>
      </c>
      <c r="N47" s="5">
        <v>45</v>
      </c>
      <c r="O47" s="5" t="s">
        <v>24</v>
      </c>
      <c r="P47" s="5">
        <v>113.16</v>
      </c>
      <c r="Q47" s="5">
        <v>124.44</v>
      </c>
      <c r="R47" s="5">
        <f t="shared" si="4"/>
        <v>14.361702127659573</v>
      </c>
      <c r="S47" s="5">
        <v>8.19</v>
      </c>
      <c r="T47" s="5">
        <v>8.19</v>
      </c>
      <c r="U47" s="5">
        <f t="shared" si="5"/>
        <v>0.8100000000000005</v>
      </c>
      <c r="V47" s="5">
        <f t="shared" si="6"/>
        <v>0.8100000000000005</v>
      </c>
      <c r="W47" s="5">
        <f t="shared" si="7"/>
        <v>0.8100000000000005</v>
      </c>
      <c r="X47" s="24">
        <f t="shared" si="8"/>
        <v>1.2276639999999988</v>
      </c>
    </row>
    <row r="48" spans="3:24" x14ac:dyDescent="0.25">
      <c r="C48" s="5">
        <v>46</v>
      </c>
      <c r="D48" s="5" t="s">
        <v>20</v>
      </c>
      <c r="E48" s="5">
        <v>56.68</v>
      </c>
      <c r="F48" s="5">
        <v>59.9</v>
      </c>
      <c r="G48" s="5">
        <f t="shared" si="0"/>
        <v>50.3105590062112</v>
      </c>
      <c r="H48" s="5">
        <v>4.78</v>
      </c>
      <c r="I48" s="5">
        <v>4.78</v>
      </c>
      <c r="J48" s="5">
        <f t="shared" si="1"/>
        <v>4.78</v>
      </c>
      <c r="K48" s="58">
        <f t="shared" si="2"/>
        <v>1.6150000000000002</v>
      </c>
      <c r="L48" s="58">
        <f t="shared" si="3"/>
        <v>2.6082250000000009</v>
      </c>
      <c r="N48" s="5">
        <v>46</v>
      </c>
      <c r="O48" s="5" t="s">
        <v>20</v>
      </c>
      <c r="P48" s="5">
        <v>115.18</v>
      </c>
      <c r="Q48" s="5">
        <v>119.44</v>
      </c>
      <c r="R48" s="5">
        <f t="shared" si="4"/>
        <v>38.02816901408459</v>
      </c>
      <c r="S48" s="5">
        <v>6.92</v>
      </c>
      <c r="T48" s="5">
        <v>6.92</v>
      </c>
      <c r="U48" s="5">
        <f t="shared" si="5"/>
        <v>2.08</v>
      </c>
      <c r="V48" s="5">
        <f t="shared" si="6"/>
        <v>2.08</v>
      </c>
      <c r="W48" s="5">
        <f t="shared" si="7"/>
        <v>2.08</v>
      </c>
      <c r="X48" s="24">
        <f t="shared" si="8"/>
        <v>2.6244000000000045E-2</v>
      </c>
    </row>
    <row r="49" spans="3:24" x14ac:dyDescent="0.25">
      <c r="C49" s="5">
        <v>47</v>
      </c>
      <c r="D49" s="5" t="s">
        <v>19</v>
      </c>
      <c r="E49" s="5">
        <v>59.16</v>
      </c>
      <c r="F49" s="5">
        <v>62.52</v>
      </c>
      <c r="G49" s="5">
        <f t="shared" si="0"/>
        <v>48.214285714285623</v>
      </c>
      <c r="H49" s="5">
        <v>3.46</v>
      </c>
      <c r="I49" s="5">
        <v>4.9000000000000004</v>
      </c>
      <c r="J49" s="5">
        <f t="shared" si="1"/>
        <v>4.18</v>
      </c>
      <c r="K49" s="58">
        <f t="shared" si="2"/>
        <v>1.0149999999999997</v>
      </c>
      <c r="L49" s="58">
        <f t="shared" si="3"/>
        <v>1.0302249999999993</v>
      </c>
      <c r="N49" s="5">
        <v>47</v>
      </c>
      <c r="O49" s="5" t="s">
        <v>19</v>
      </c>
      <c r="P49" s="5">
        <v>117.8</v>
      </c>
      <c r="Q49" s="5">
        <v>121.36</v>
      </c>
      <c r="R49" s="5">
        <f t="shared" si="4"/>
        <v>45.505617977528061</v>
      </c>
      <c r="S49" s="5">
        <v>6.84</v>
      </c>
      <c r="T49" s="5">
        <v>5.5</v>
      </c>
      <c r="U49" s="5">
        <f t="shared" si="5"/>
        <v>2.16</v>
      </c>
      <c r="V49" s="5">
        <f t="shared" si="6"/>
        <v>3.5</v>
      </c>
      <c r="W49" s="5">
        <f t="shared" si="7"/>
        <v>2.83</v>
      </c>
      <c r="X49" s="24">
        <f t="shared" si="8"/>
        <v>0.83174400000000026</v>
      </c>
    </row>
    <row r="50" spans="3:24" x14ac:dyDescent="0.25">
      <c r="C50" s="5">
        <v>48</v>
      </c>
      <c r="D50" s="5" t="s">
        <v>20</v>
      </c>
      <c r="E50" s="5">
        <v>59.6</v>
      </c>
      <c r="F50" s="5">
        <v>62.82</v>
      </c>
      <c r="G50" s="5">
        <f t="shared" si="0"/>
        <v>50.3105590062112</v>
      </c>
      <c r="H50" s="5">
        <v>2.31</v>
      </c>
      <c r="I50" s="5">
        <v>2.31</v>
      </c>
      <c r="J50" s="5">
        <f t="shared" si="1"/>
        <v>2.31</v>
      </c>
      <c r="K50" s="58">
        <f t="shared" si="2"/>
        <v>-0.85499999999999998</v>
      </c>
      <c r="L50" s="58">
        <f t="shared" si="3"/>
        <v>0.73102499999999992</v>
      </c>
      <c r="N50" s="5">
        <v>48</v>
      </c>
      <c r="O50" s="5" t="s">
        <v>19</v>
      </c>
      <c r="P50" s="5">
        <v>118.68</v>
      </c>
      <c r="Q50" s="5">
        <v>122.12</v>
      </c>
      <c r="R50" s="5">
        <f t="shared" si="4"/>
        <v>47.093023255813982</v>
      </c>
      <c r="S50" s="5">
        <v>7.41</v>
      </c>
      <c r="T50" s="5">
        <v>6.27</v>
      </c>
      <c r="U50" s="5">
        <f t="shared" si="5"/>
        <v>1.5899999999999999</v>
      </c>
      <c r="V50" s="5">
        <f t="shared" si="6"/>
        <v>2.7300000000000004</v>
      </c>
      <c r="W50" s="5">
        <f t="shared" si="7"/>
        <v>2.16</v>
      </c>
      <c r="X50" s="24">
        <f t="shared" si="8"/>
        <v>5.8564000000000102E-2</v>
      </c>
    </row>
    <row r="51" spans="3:24" x14ac:dyDescent="0.25">
      <c r="C51" s="5">
        <v>49</v>
      </c>
      <c r="D51" s="5" t="s">
        <v>19</v>
      </c>
      <c r="E51" s="5">
        <v>60.64</v>
      </c>
      <c r="F51" s="5">
        <v>63.98</v>
      </c>
      <c r="G51" s="5">
        <f t="shared" si="0"/>
        <v>48.502994011976099</v>
      </c>
      <c r="H51" s="5">
        <v>3.47</v>
      </c>
      <c r="I51" s="5">
        <v>4.8600000000000003</v>
      </c>
      <c r="J51" s="5">
        <f t="shared" si="1"/>
        <v>4.165</v>
      </c>
      <c r="K51" s="58">
        <f t="shared" si="2"/>
        <v>1</v>
      </c>
      <c r="L51" s="58">
        <f t="shared" si="3"/>
        <v>1</v>
      </c>
      <c r="N51" s="5">
        <v>49</v>
      </c>
      <c r="O51" s="5" t="s">
        <v>18</v>
      </c>
      <c r="P51" s="5">
        <v>120.84</v>
      </c>
      <c r="Q51" s="5">
        <v>124.56</v>
      </c>
      <c r="R51" s="5">
        <f t="shared" si="4"/>
        <v>43.548387096774213</v>
      </c>
      <c r="S51" s="5">
        <v>7.09</v>
      </c>
      <c r="T51" s="5">
        <v>5.97</v>
      </c>
      <c r="U51" s="5">
        <f t="shared" si="5"/>
        <v>1.9100000000000001</v>
      </c>
      <c r="V51" s="5">
        <f t="shared" si="6"/>
        <v>3.0300000000000002</v>
      </c>
      <c r="W51" s="5">
        <f t="shared" si="7"/>
        <v>2.4700000000000002</v>
      </c>
      <c r="X51" s="24">
        <f t="shared" si="8"/>
        <v>0.30470400000000031</v>
      </c>
    </row>
    <row r="52" spans="3:24" x14ac:dyDescent="0.25">
      <c r="C52" s="5">
        <v>50</v>
      </c>
      <c r="D52" s="5" t="s">
        <v>20</v>
      </c>
      <c r="E52" s="5">
        <v>61.96</v>
      </c>
      <c r="F52" s="5">
        <v>65.34</v>
      </c>
      <c r="G52" s="5">
        <f t="shared" si="0"/>
        <v>47.928994082840205</v>
      </c>
      <c r="H52" s="5">
        <v>3.04</v>
      </c>
      <c r="I52" s="5">
        <v>3.04</v>
      </c>
      <c r="J52" s="5">
        <f t="shared" si="1"/>
        <v>3.04</v>
      </c>
      <c r="K52" s="58">
        <f t="shared" si="2"/>
        <v>-0.125</v>
      </c>
      <c r="L52" s="58">
        <f t="shared" si="3"/>
        <v>1.5625E-2</v>
      </c>
      <c r="N52" s="5">
        <v>50</v>
      </c>
      <c r="O52" s="5" t="s">
        <v>20</v>
      </c>
      <c r="P52" s="5">
        <v>123.98</v>
      </c>
      <c r="Q52" s="5">
        <v>128</v>
      </c>
      <c r="R52" s="5">
        <f t="shared" si="4"/>
        <v>40.298507462686608</v>
      </c>
      <c r="S52" s="5">
        <v>7.46</v>
      </c>
      <c r="T52" s="5">
        <v>7.46</v>
      </c>
      <c r="U52" s="5">
        <f t="shared" si="5"/>
        <v>1.54</v>
      </c>
      <c r="V52" s="5">
        <f t="shared" si="6"/>
        <v>1.54</v>
      </c>
      <c r="W52" s="5">
        <f t="shared" si="7"/>
        <v>1.54</v>
      </c>
      <c r="X52" s="24">
        <f t="shared" si="8"/>
        <v>0.14288399999999993</v>
      </c>
    </row>
    <row r="53" spans="3:24" x14ac:dyDescent="0.25">
      <c r="C53" s="5">
        <v>51</v>
      </c>
      <c r="D53" s="5" t="s">
        <v>24</v>
      </c>
      <c r="E53" s="5">
        <v>61.72</v>
      </c>
      <c r="F53" s="5">
        <v>73.8</v>
      </c>
      <c r="G53" s="5">
        <f t="shared" si="0"/>
        <v>13.410596026490069</v>
      </c>
      <c r="H53" s="5">
        <v>0.38</v>
      </c>
      <c r="I53" s="5">
        <v>0.38</v>
      </c>
      <c r="J53" s="5">
        <f t="shared" si="1"/>
        <v>0.38</v>
      </c>
      <c r="K53" s="58">
        <f t="shared" si="2"/>
        <v>-2.7850000000000001</v>
      </c>
      <c r="L53" s="58">
        <f t="shared" si="3"/>
        <v>7.7562250000000006</v>
      </c>
      <c r="N53" s="5">
        <v>51</v>
      </c>
      <c r="O53" s="5" t="s">
        <v>20</v>
      </c>
      <c r="P53" s="5">
        <v>128.22</v>
      </c>
      <c r="Q53" s="5">
        <v>132.96</v>
      </c>
      <c r="R53" s="5">
        <f t="shared" si="4"/>
        <v>34.177215189873351</v>
      </c>
      <c r="S53" s="5">
        <v>7.54</v>
      </c>
      <c r="T53" s="5">
        <v>7.54</v>
      </c>
      <c r="U53" s="5">
        <f t="shared" si="5"/>
        <v>1.46</v>
      </c>
      <c r="V53" s="5">
        <f t="shared" si="6"/>
        <v>1.46</v>
      </c>
      <c r="W53" s="5">
        <f t="shared" si="7"/>
        <v>1.46</v>
      </c>
      <c r="X53" s="24">
        <f t="shared" si="8"/>
        <v>0.20976399999999998</v>
      </c>
    </row>
    <row r="54" spans="3:24" x14ac:dyDescent="0.25">
      <c r="C54" s="5">
        <v>52</v>
      </c>
      <c r="D54" s="5" t="s">
        <v>20</v>
      </c>
      <c r="E54" s="5">
        <v>62</v>
      </c>
      <c r="F54" s="5">
        <v>67.3</v>
      </c>
      <c r="G54" s="5">
        <f t="shared" si="0"/>
        <v>30.566037735849072</v>
      </c>
      <c r="H54" s="5">
        <v>2.31</v>
      </c>
      <c r="I54" s="5">
        <v>2.31</v>
      </c>
      <c r="J54" s="5">
        <f t="shared" si="1"/>
        <v>2.31</v>
      </c>
      <c r="K54" s="58">
        <f t="shared" si="2"/>
        <v>-0.85499999999999998</v>
      </c>
      <c r="L54" s="58">
        <f t="shared" si="3"/>
        <v>0.73102499999999992</v>
      </c>
      <c r="N54" s="5">
        <v>52</v>
      </c>
      <c r="O54" s="5" t="s">
        <v>24</v>
      </c>
      <c r="P54" s="5">
        <v>136.32</v>
      </c>
      <c r="Q54" s="5">
        <v>146.84</v>
      </c>
      <c r="R54" s="5">
        <f t="shared" si="4"/>
        <v>15.399239543726221</v>
      </c>
      <c r="S54" s="5">
        <v>8.56</v>
      </c>
      <c r="T54" s="5">
        <v>8.56</v>
      </c>
      <c r="U54" s="5">
        <f t="shared" si="5"/>
        <v>0.4399999999999995</v>
      </c>
      <c r="V54" s="5">
        <f t="shared" si="6"/>
        <v>0.4399999999999995</v>
      </c>
      <c r="W54" s="5">
        <f t="shared" si="7"/>
        <v>0.4399999999999995</v>
      </c>
      <c r="X54" s="24">
        <f t="shared" si="8"/>
        <v>2.1844840000000012</v>
      </c>
    </row>
    <row r="55" spans="3:24" x14ac:dyDescent="0.25">
      <c r="C55" s="5">
        <v>53</v>
      </c>
      <c r="D55" s="5" t="s">
        <v>20</v>
      </c>
      <c r="E55" s="5">
        <v>64.92</v>
      </c>
      <c r="F55" s="5">
        <v>67.8</v>
      </c>
      <c r="G55" s="5">
        <f t="shared" si="0"/>
        <v>56.250000000000092</v>
      </c>
      <c r="H55" s="5">
        <v>4.12</v>
      </c>
      <c r="I55" s="5">
        <v>4.12</v>
      </c>
      <c r="J55" s="5">
        <f t="shared" si="1"/>
        <v>4.12</v>
      </c>
      <c r="K55" s="58">
        <f t="shared" si="2"/>
        <v>0.95500000000000007</v>
      </c>
      <c r="L55" s="58">
        <f t="shared" si="3"/>
        <v>0.91202500000000009</v>
      </c>
      <c r="N55" s="5">
        <v>53</v>
      </c>
      <c r="O55" s="5" t="s">
        <v>20</v>
      </c>
      <c r="P55" s="5">
        <v>138.1</v>
      </c>
      <c r="Q55" s="5">
        <v>143.28</v>
      </c>
      <c r="R55" s="5">
        <f t="shared" si="4"/>
        <v>31.274131274131236</v>
      </c>
      <c r="S55" s="5">
        <v>6.62</v>
      </c>
      <c r="T55" s="5">
        <v>6.62</v>
      </c>
      <c r="U55" s="5">
        <f t="shared" si="5"/>
        <v>2.38</v>
      </c>
      <c r="V55" s="5">
        <f t="shared" si="6"/>
        <v>2.38</v>
      </c>
      <c r="W55" s="5">
        <f t="shared" si="7"/>
        <v>2.38</v>
      </c>
      <c r="X55" s="24">
        <f t="shared" si="8"/>
        <v>0.21344399999999997</v>
      </c>
    </row>
    <row r="56" spans="3:24" x14ac:dyDescent="0.25">
      <c r="C56" s="5">
        <v>54</v>
      </c>
      <c r="D56" s="5" t="s">
        <v>20</v>
      </c>
      <c r="E56" s="5">
        <v>65.8</v>
      </c>
      <c r="F56" s="5">
        <v>68.94</v>
      </c>
      <c r="G56" s="5">
        <f t="shared" si="0"/>
        <v>51.592356687898082</v>
      </c>
      <c r="H56" s="5">
        <v>3.61</v>
      </c>
      <c r="I56" s="5">
        <v>3.61</v>
      </c>
      <c r="J56" s="5">
        <f t="shared" si="1"/>
        <v>3.61</v>
      </c>
      <c r="K56" s="58">
        <f t="shared" si="2"/>
        <v>0.44499999999999984</v>
      </c>
      <c r="L56" s="58">
        <f t="shared" si="3"/>
        <v>0.19802499999999987</v>
      </c>
      <c r="N56" s="5">
        <v>54</v>
      </c>
      <c r="O56" s="5" t="s">
        <v>20</v>
      </c>
      <c r="P56" s="5">
        <v>142.38</v>
      </c>
      <c r="Q56" s="5">
        <v>146.44</v>
      </c>
      <c r="R56" s="5">
        <f t="shared" si="4"/>
        <v>39.901477832512299</v>
      </c>
      <c r="S56" s="5">
        <v>7.39</v>
      </c>
      <c r="T56" s="5">
        <v>7.39</v>
      </c>
      <c r="U56" s="5">
        <f t="shared" si="5"/>
        <v>1.6100000000000003</v>
      </c>
      <c r="V56" s="5">
        <f t="shared" si="6"/>
        <v>1.6100000000000003</v>
      </c>
      <c r="W56" s="5">
        <f t="shared" si="7"/>
        <v>1.6100000000000003</v>
      </c>
      <c r="X56" s="24">
        <f t="shared" si="8"/>
        <v>9.4863999999999754E-2</v>
      </c>
    </row>
    <row r="57" spans="3:24" x14ac:dyDescent="0.25">
      <c r="C57" s="5">
        <v>55</v>
      </c>
      <c r="D57" s="5" t="s">
        <v>20</v>
      </c>
      <c r="E57" s="5">
        <v>65.88</v>
      </c>
      <c r="F57" s="5">
        <v>69.900000000000006</v>
      </c>
      <c r="G57" s="5">
        <f t="shared" si="0"/>
        <v>40.298507462686466</v>
      </c>
      <c r="H57" s="5">
        <v>2.97</v>
      </c>
      <c r="I57" s="5">
        <v>2.97</v>
      </c>
      <c r="J57" s="5">
        <f t="shared" si="1"/>
        <v>2.97</v>
      </c>
      <c r="K57" s="58">
        <f t="shared" si="2"/>
        <v>-0.19499999999999984</v>
      </c>
      <c r="L57" s="58">
        <f t="shared" si="3"/>
        <v>3.8024999999999941E-2</v>
      </c>
      <c r="N57" s="5">
        <v>55</v>
      </c>
      <c r="O57" s="5" t="s">
        <v>20</v>
      </c>
      <c r="P57" s="5">
        <v>152.32</v>
      </c>
      <c r="Q57" s="5">
        <v>155.4</v>
      </c>
      <c r="R57" s="5">
        <f t="shared" si="4"/>
        <v>52.597402597402386</v>
      </c>
      <c r="S57" s="5">
        <v>7.33</v>
      </c>
      <c r="T57" s="5">
        <v>7.33</v>
      </c>
      <c r="U57" s="5">
        <f t="shared" si="5"/>
        <v>1.67</v>
      </c>
      <c r="V57" s="5">
        <f t="shared" si="6"/>
        <v>1.67</v>
      </c>
      <c r="W57" s="5">
        <f t="shared" si="7"/>
        <v>1.67</v>
      </c>
      <c r="X57" s="24">
        <f t="shared" si="8"/>
        <v>6.1503999999999996E-2</v>
      </c>
    </row>
    <row r="58" spans="3:24" x14ac:dyDescent="0.25">
      <c r="C58" s="5">
        <v>56</v>
      </c>
      <c r="D58" s="5" t="s">
        <v>20</v>
      </c>
      <c r="E58" s="5">
        <v>67.400000000000006</v>
      </c>
      <c r="F58" s="5">
        <v>71.44</v>
      </c>
      <c r="G58" s="5">
        <f t="shared" si="0"/>
        <v>40.099009900990175</v>
      </c>
      <c r="H58" s="5">
        <v>2.78</v>
      </c>
      <c r="I58" s="5">
        <v>2.78</v>
      </c>
      <c r="J58" s="5">
        <f t="shared" si="1"/>
        <v>2.78</v>
      </c>
      <c r="K58" s="58">
        <f t="shared" si="2"/>
        <v>-0.38500000000000023</v>
      </c>
      <c r="L58" s="58">
        <f t="shared" si="3"/>
        <v>0.14822500000000019</v>
      </c>
      <c r="N58" s="5">
        <v>56</v>
      </c>
      <c r="O58" s="5" t="s">
        <v>20</v>
      </c>
      <c r="P58" s="5">
        <v>155.72</v>
      </c>
      <c r="Q58" s="5">
        <v>160.24</v>
      </c>
      <c r="R58" s="5">
        <f t="shared" si="4"/>
        <v>35.840707964601691</v>
      </c>
      <c r="S58" s="5">
        <v>7.78</v>
      </c>
      <c r="T58" s="5">
        <v>7.78</v>
      </c>
      <c r="U58" s="5">
        <f t="shared" si="5"/>
        <v>1.2199999999999998</v>
      </c>
      <c r="V58" s="5">
        <f t="shared" si="6"/>
        <v>1.2199999999999998</v>
      </c>
      <c r="W58" s="5">
        <f t="shared" si="7"/>
        <v>1.2199999999999998</v>
      </c>
      <c r="X58" s="24">
        <f t="shared" si="8"/>
        <v>0.48720400000000025</v>
      </c>
    </row>
    <row r="59" spans="3:24" x14ac:dyDescent="0.25">
      <c r="C59" s="5">
        <v>57</v>
      </c>
      <c r="D59" s="5" t="s">
        <v>18</v>
      </c>
      <c r="E59" s="5">
        <v>73.72</v>
      </c>
      <c r="F59" s="5">
        <v>78.58</v>
      </c>
      <c r="G59" s="5">
        <f t="shared" si="0"/>
        <v>33.333333333333336</v>
      </c>
      <c r="H59" s="5">
        <v>3.13</v>
      </c>
      <c r="I59" s="5">
        <v>3.13</v>
      </c>
      <c r="J59" s="5">
        <f t="shared" si="1"/>
        <v>3.13</v>
      </c>
      <c r="K59" s="58">
        <f t="shared" si="2"/>
        <v>-3.5000000000000142E-2</v>
      </c>
      <c r="L59" s="58">
        <f t="shared" si="3"/>
        <v>1.2250000000000099E-3</v>
      </c>
      <c r="N59" s="5">
        <v>57</v>
      </c>
      <c r="O59" s="5" t="s">
        <v>18</v>
      </c>
      <c r="P59" s="5">
        <v>157.32</v>
      </c>
      <c r="Q59" s="5">
        <v>161.4</v>
      </c>
      <c r="R59" s="5">
        <f t="shared" si="4"/>
        <v>39.705882352941053</v>
      </c>
      <c r="S59" s="5">
        <v>6.83</v>
      </c>
      <c r="T59" s="5">
        <v>5.8</v>
      </c>
      <c r="U59" s="5">
        <f t="shared" si="5"/>
        <v>2.17</v>
      </c>
      <c r="V59" s="5">
        <f t="shared" si="6"/>
        <v>3.2</v>
      </c>
      <c r="W59" s="5">
        <f t="shared" si="7"/>
        <v>2.6850000000000001</v>
      </c>
      <c r="X59" s="24">
        <f t="shared" si="8"/>
        <v>0.58828900000000017</v>
      </c>
    </row>
    <row r="60" spans="3:24" x14ac:dyDescent="0.25">
      <c r="C60" s="5">
        <v>58</v>
      </c>
      <c r="D60" s="5" t="s">
        <v>19</v>
      </c>
      <c r="E60" s="5">
        <v>74.680000000000007</v>
      </c>
      <c r="F60" s="5">
        <v>79.180000000000007</v>
      </c>
      <c r="G60" s="5">
        <f t="shared" si="0"/>
        <v>36</v>
      </c>
      <c r="H60" s="5">
        <v>3.32</v>
      </c>
      <c r="I60" s="5">
        <v>4.74</v>
      </c>
      <c r="J60" s="5">
        <f t="shared" si="1"/>
        <v>4.03</v>
      </c>
      <c r="K60" s="58">
        <f t="shared" si="2"/>
        <v>0.86500000000000021</v>
      </c>
      <c r="L60" s="58">
        <f t="shared" si="3"/>
        <v>0.74822500000000036</v>
      </c>
      <c r="N60" s="5">
        <v>58</v>
      </c>
      <c r="O60" s="5" t="s">
        <v>19</v>
      </c>
      <c r="P60" s="5">
        <v>160.52000000000001</v>
      </c>
      <c r="Q60" s="5">
        <v>164.08</v>
      </c>
      <c r="R60" s="5">
        <f t="shared" si="4"/>
        <v>45.505617977528061</v>
      </c>
      <c r="S60" s="5">
        <v>7.27</v>
      </c>
      <c r="T60" s="5">
        <v>5.99</v>
      </c>
      <c r="U60" s="5">
        <f t="shared" si="5"/>
        <v>1.7300000000000004</v>
      </c>
      <c r="V60" s="5">
        <f t="shared" si="6"/>
        <v>3.01</v>
      </c>
      <c r="W60" s="5">
        <f t="shared" si="7"/>
        <v>2.37</v>
      </c>
      <c r="X60" s="24">
        <f t="shared" si="8"/>
        <v>0.20430400000000015</v>
      </c>
    </row>
    <row r="61" spans="3:24" x14ac:dyDescent="0.25">
      <c r="C61" s="5">
        <v>59</v>
      </c>
      <c r="D61" s="5" t="s">
        <v>19</v>
      </c>
      <c r="E61" s="5">
        <v>76.760000000000005</v>
      </c>
      <c r="F61" s="5">
        <v>81.36</v>
      </c>
      <c r="G61" s="5">
        <f t="shared" si="0"/>
        <v>35.217391304347871</v>
      </c>
      <c r="H61" s="5">
        <v>3.09</v>
      </c>
      <c r="I61" s="5">
        <v>4.38</v>
      </c>
      <c r="J61" s="5">
        <f t="shared" si="1"/>
        <v>3.7349999999999999</v>
      </c>
      <c r="K61" s="58">
        <f t="shared" si="2"/>
        <v>0.56999999999999984</v>
      </c>
      <c r="L61" s="58">
        <f t="shared" si="3"/>
        <v>0.3248999999999998</v>
      </c>
      <c r="N61" s="5">
        <v>59</v>
      </c>
      <c r="O61" s="5" t="s">
        <v>20</v>
      </c>
      <c r="P61" s="5">
        <v>162.32</v>
      </c>
      <c r="Q61" s="5">
        <v>167.4</v>
      </c>
      <c r="R61" s="5">
        <f t="shared" si="4"/>
        <v>31.889763779527485</v>
      </c>
      <c r="S61" s="5">
        <v>7.74</v>
      </c>
      <c r="T61" s="5">
        <v>7.74</v>
      </c>
      <c r="U61" s="5">
        <f t="shared" si="5"/>
        <v>1.2599999999999998</v>
      </c>
      <c r="V61" s="5">
        <f t="shared" si="6"/>
        <v>1.2599999999999998</v>
      </c>
      <c r="W61" s="5">
        <f t="shared" si="7"/>
        <v>1.2599999999999998</v>
      </c>
      <c r="X61" s="24">
        <f t="shared" si="8"/>
        <v>0.43296400000000018</v>
      </c>
    </row>
    <row r="62" spans="3:24" x14ac:dyDescent="0.25">
      <c r="C62" s="5">
        <v>60</v>
      </c>
      <c r="D62" s="5" t="s">
        <v>19</v>
      </c>
      <c r="E62" s="5">
        <v>78.16</v>
      </c>
      <c r="F62" s="5">
        <v>82.78</v>
      </c>
      <c r="G62" s="5">
        <f t="shared" si="0"/>
        <v>35.064935064935035</v>
      </c>
      <c r="H62" s="5">
        <v>2.52</v>
      </c>
      <c r="I62" s="5">
        <v>3.89</v>
      </c>
      <c r="J62" s="5">
        <f t="shared" si="1"/>
        <v>3.2050000000000001</v>
      </c>
      <c r="K62" s="58">
        <f t="shared" si="2"/>
        <v>4.0000000000000036E-2</v>
      </c>
      <c r="L62" s="58">
        <f t="shared" si="3"/>
        <v>1.6000000000000029E-3</v>
      </c>
      <c r="N62" s="5">
        <v>60</v>
      </c>
      <c r="O62" s="5" t="s">
        <v>20</v>
      </c>
      <c r="P62" s="5">
        <v>162.72</v>
      </c>
      <c r="Q62" s="5">
        <v>168.28</v>
      </c>
      <c r="R62" s="5">
        <f t="shared" si="4"/>
        <v>29.136690647482002</v>
      </c>
      <c r="S62" s="5">
        <v>7.46</v>
      </c>
      <c r="T62" s="5">
        <v>7.46</v>
      </c>
      <c r="U62" s="5">
        <f t="shared" si="5"/>
        <v>1.54</v>
      </c>
      <c r="V62" s="5">
        <f t="shared" si="6"/>
        <v>1.54</v>
      </c>
      <c r="W62" s="5">
        <f t="shared" si="7"/>
        <v>1.54</v>
      </c>
      <c r="X62" s="24">
        <f t="shared" si="8"/>
        <v>0.14288399999999993</v>
      </c>
    </row>
    <row r="63" spans="3:24" x14ac:dyDescent="0.25">
      <c r="C63" s="5">
        <v>61</v>
      </c>
      <c r="D63" s="5" t="s">
        <v>19</v>
      </c>
      <c r="E63" s="5">
        <v>79.400000000000006</v>
      </c>
      <c r="F63" s="5">
        <v>83.98</v>
      </c>
      <c r="G63" s="5">
        <f t="shared" si="0"/>
        <v>35.371179039301325</v>
      </c>
      <c r="H63" s="5">
        <v>2.94</v>
      </c>
      <c r="I63" s="5">
        <v>4.41</v>
      </c>
      <c r="J63" s="5">
        <f t="shared" si="1"/>
        <v>3.6749999999999998</v>
      </c>
      <c r="K63" s="58">
        <f t="shared" si="2"/>
        <v>0.50999999999999979</v>
      </c>
      <c r="L63" s="58">
        <f t="shared" si="3"/>
        <v>0.26009999999999978</v>
      </c>
      <c r="N63" s="5">
        <v>61</v>
      </c>
      <c r="O63" s="5" t="s">
        <v>19</v>
      </c>
      <c r="P63" s="5">
        <v>163.32</v>
      </c>
      <c r="Q63" s="5">
        <v>167.4</v>
      </c>
      <c r="R63" s="5">
        <f t="shared" si="4"/>
        <v>39.705882352941053</v>
      </c>
      <c r="S63" s="5">
        <v>6.62</v>
      </c>
      <c r="T63" s="5">
        <v>5.44</v>
      </c>
      <c r="U63" s="5">
        <f t="shared" si="5"/>
        <v>2.38</v>
      </c>
      <c r="V63" s="5">
        <f t="shared" si="6"/>
        <v>3.5599999999999996</v>
      </c>
      <c r="W63" s="5">
        <f t="shared" si="7"/>
        <v>2.9699999999999998</v>
      </c>
      <c r="X63" s="24">
        <f t="shared" si="8"/>
        <v>1.1067039999999997</v>
      </c>
    </row>
    <row r="64" spans="3:24" x14ac:dyDescent="0.25">
      <c r="C64" s="5">
        <v>62</v>
      </c>
      <c r="D64" s="5" t="s">
        <v>19</v>
      </c>
      <c r="E64" s="5">
        <v>80.56</v>
      </c>
      <c r="F64" s="5">
        <v>85.18</v>
      </c>
      <c r="G64" s="5">
        <f t="shared" si="0"/>
        <v>35.064935064935035</v>
      </c>
      <c r="H64" s="5">
        <v>2.97</v>
      </c>
      <c r="I64" s="5">
        <v>2.97</v>
      </c>
      <c r="J64" s="5">
        <f t="shared" si="1"/>
        <v>2.97</v>
      </c>
      <c r="K64" s="58">
        <f t="shared" si="2"/>
        <v>-0.19499999999999984</v>
      </c>
      <c r="L64" s="58">
        <f t="shared" si="3"/>
        <v>3.8024999999999941E-2</v>
      </c>
      <c r="N64" s="5">
        <v>62</v>
      </c>
      <c r="O64" s="5" t="s">
        <v>24</v>
      </c>
      <c r="P64" s="5">
        <v>164.04</v>
      </c>
      <c r="Q64" s="5">
        <v>171.68</v>
      </c>
      <c r="R64" s="5">
        <f t="shared" si="4"/>
        <v>21.204188481675352</v>
      </c>
      <c r="S64" s="5">
        <v>8.15</v>
      </c>
      <c r="T64" s="5">
        <v>8.15</v>
      </c>
      <c r="U64" s="5">
        <f t="shared" si="5"/>
        <v>0.84999999999999964</v>
      </c>
      <c r="V64" s="5">
        <f t="shared" si="6"/>
        <v>0.84999999999999964</v>
      </c>
      <c r="W64" s="5">
        <f t="shared" si="7"/>
        <v>0.84999999999999964</v>
      </c>
      <c r="X64" s="24">
        <f t="shared" si="8"/>
        <v>1.1406240000000005</v>
      </c>
    </row>
    <row r="65" spans="3:24" x14ac:dyDescent="0.25">
      <c r="C65" s="5">
        <v>63</v>
      </c>
      <c r="D65" s="5" t="s">
        <v>19</v>
      </c>
      <c r="E65" s="5">
        <v>81.88</v>
      </c>
      <c r="F65" s="5">
        <v>86.26</v>
      </c>
      <c r="G65" s="5">
        <f t="shared" si="0"/>
        <v>36.986301369862936</v>
      </c>
      <c r="H65" s="5">
        <v>1.89</v>
      </c>
      <c r="I65" s="5">
        <v>3.35</v>
      </c>
      <c r="J65" s="5">
        <f t="shared" si="1"/>
        <v>2.62</v>
      </c>
      <c r="K65" s="58">
        <f t="shared" si="2"/>
        <v>-0.54499999999999993</v>
      </c>
      <c r="L65" s="58">
        <f t="shared" si="3"/>
        <v>0.29702499999999993</v>
      </c>
      <c r="N65" s="5">
        <v>63</v>
      </c>
      <c r="O65" s="5" t="s">
        <v>19</v>
      </c>
      <c r="P65" s="5">
        <v>174.89</v>
      </c>
      <c r="Q65" s="5">
        <v>178.36</v>
      </c>
      <c r="R65" s="5">
        <f t="shared" si="4"/>
        <v>46.685878962535654</v>
      </c>
      <c r="S65" s="5">
        <v>7.74</v>
      </c>
      <c r="T65" s="5">
        <v>6.46</v>
      </c>
      <c r="U65" s="5">
        <f t="shared" si="5"/>
        <v>1.2599999999999998</v>
      </c>
      <c r="V65" s="5">
        <f t="shared" si="6"/>
        <v>2.54</v>
      </c>
      <c r="W65" s="5">
        <f t="shared" si="7"/>
        <v>1.9</v>
      </c>
      <c r="X65" s="24">
        <f t="shared" si="8"/>
        <v>3.2400000000000056E-4</v>
      </c>
    </row>
    <row r="66" spans="3:24" x14ac:dyDescent="0.25">
      <c r="C66" s="5">
        <v>64</v>
      </c>
      <c r="D66" s="5" t="s">
        <v>19</v>
      </c>
      <c r="E66" s="5">
        <v>84.08</v>
      </c>
      <c r="F66" s="5">
        <v>87.8</v>
      </c>
      <c r="G66" s="5">
        <f t="shared" si="0"/>
        <v>43.548387096774213</v>
      </c>
      <c r="H66" s="5">
        <v>3.09</v>
      </c>
      <c r="I66" s="5">
        <v>4.3600000000000003</v>
      </c>
      <c r="J66" s="5">
        <f t="shared" si="1"/>
        <v>3.7250000000000001</v>
      </c>
      <c r="K66" s="58">
        <f t="shared" si="2"/>
        <v>0.56000000000000005</v>
      </c>
      <c r="L66" s="58">
        <f t="shared" si="3"/>
        <v>0.31360000000000005</v>
      </c>
      <c r="N66" s="5">
        <v>64</v>
      </c>
      <c r="O66" s="4" t="s">
        <v>41</v>
      </c>
      <c r="P66" s="5">
        <v>178.88</v>
      </c>
      <c r="Q66" s="5">
        <v>191.16</v>
      </c>
      <c r="R66" s="5">
        <f t="shared" si="4"/>
        <v>13.192182410423452</v>
      </c>
      <c r="S66" s="5">
        <v>8.2899999999999991</v>
      </c>
      <c r="T66" s="5">
        <v>7.51</v>
      </c>
      <c r="U66" s="5">
        <f t="shared" si="5"/>
        <v>0.71000000000000085</v>
      </c>
      <c r="V66" s="5">
        <f t="shared" si="6"/>
        <v>1.4900000000000002</v>
      </c>
      <c r="W66" s="5">
        <f t="shared" si="7"/>
        <v>1.1000000000000005</v>
      </c>
      <c r="X66" s="24">
        <f t="shared" si="8"/>
        <v>0.66912399999999905</v>
      </c>
    </row>
    <row r="67" spans="3:24" x14ac:dyDescent="0.25">
      <c r="C67" s="5">
        <v>65</v>
      </c>
      <c r="D67" s="5" t="s">
        <v>24</v>
      </c>
      <c r="E67" s="5">
        <v>91.88</v>
      </c>
      <c r="F67" s="5">
        <v>103.24</v>
      </c>
      <c r="G67" s="5">
        <f t="shared" si="0"/>
        <v>14.260563380281692</v>
      </c>
      <c r="H67" s="5">
        <v>0.19</v>
      </c>
      <c r="I67" s="5">
        <v>0.19</v>
      </c>
      <c r="J67" s="5">
        <f t="shared" si="1"/>
        <v>0.19</v>
      </c>
      <c r="K67" s="58">
        <f t="shared" si="2"/>
        <v>-2.9750000000000001</v>
      </c>
      <c r="L67" s="58">
        <f t="shared" si="3"/>
        <v>8.8506250000000009</v>
      </c>
      <c r="N67" s="5">
        <v>65</v>
      </c>
      <c r="O67" s="5" t="s">
        <v>20</v>
      </c>
      <c r="P67" s="5">
        <v>185.54</v>
      </c>
      <c r="Q67" s="5">
        <v>190.24</v>
      </c>
      <c r="R67" s="5">
        <f t="shared" si="4"/>
        <v>34.468085106382851</v>
      </c>
      <c r="S67" s="5">
        <v>7.01</v>
      </c>
      <c r="T67" s="5">
        <v>7.01</v>
      </c>
      <c r="U67" s="5">
        <f t="shared" si="5"/>
        <v>1.9900000000000002</v>
      </c>
      <c r="V67" s="5">
        <f t="shared" si="6"/>
        <v>1.9900000000000002</v>
      </c>
      <c r="W67" s="5">
        <f t="shared" si="7"/>
        <v>1.9900000000000002</v>
      </c>
      <c r="X67" s="24">
        <f t="shared" si="8"/>
        <v>5.184000000000041E-3</v>
      </c>
    </row>
    <row r="68" spans="3:24" x14ac:dyDescent="0.25">
      <c r="C68" s="5">
        <v>66</v>
      </c>
      <c r="D68" s="5" t="s">
        <v>20</v>
      </c>
      <c r="E68" s="5">
        <v>100.32</v>
      </c>
      <c r="F68" s="5">
        <v>104.16</v>
      </c>
      <c r="G68" s="5">
        <f t="shared" ref="G68:G131" si="9">$A$3/(F68-E68)*3.6</f>
        <v>42.187499999999964</v>
      </c>
      <c r="H68" s="5">
        <v>2.91</v>
      </c>
      <c r="I68" s="5">
        <v>2.91</v>
      </c>
      <c r="J68" s="5">
        <f t="shared" ref="J68:J131" si="10">(H68+I68)/2</f>
        <v>2.91</v>
      </c>
      <c r="K68" s="58">
        <f t="shared" ref="K68:K131" si="11">J68-3.165</f>
        <v>-0.25499999999999989</v>
      </c>
      <c r="L68" s="58">
        <f t="shared" ref="L68:L131" si="12">K68*K68</f>
        <v>6.5024999999999944E-2</v>
      </c>
      <c r="N68" s="5">
        <v>66</v>
      </c>
      <c r="O68" s="4" t="s">
        <v>41</v>
      </c>
      <c r="P68" s="5">
        <v>186.68</v>
      </c>
      <c r="Q68" s="5"/>
      <c r="R68" s="5">
        <f t="shared" ref="R68:R105" si="13">$A$3/(Q68-P68)*3.6</f>
        <v>-0.8677951574887508</v>
      </c>
      <c r="S68" s="5">
        <v>8.6</v>
      </c>
      <c r="T68" s="5">
        <v>7.86</v>
      </c>
      <c r="U68" s="5">
        <f t="shared" ref="U68:V101" si="14">$A$5-S68</f>
        <v>0.40000000000000036</v>
      </c>
      <c r="V68" s="5">
        <f t="shared" si="14"/>
        <v>1.1399999999999997</v>
      </c>
      <c r="W68" s="5">
        <f t="shared" ref="W68:W105" si="15">(U68+V68)/2</f>
        <v>0.77</v>
      </c>
      <c r="X68" s="24">
        <f t="shared" ref="X68:X105" si="16">(W68-1.918)^2</f>
        <v>1.3179039999999997</v>
      </c>
    </row>
    <row r="69" spans="3:24" x14ac:dyDescent="0.25">
      <c r="C69" s="5">
        <v>67</v>
      </c>
      <c r="D69" s="5" t="s">
        <v>19</v>
      </c>
      <c r="E69" s="5">
        <v>101.16</v>
      </c>
      <c r="F69" s="5">
        <v>106.08</v>
      </c>
      <c r="G69" s="5">
        <f t="shared" si="9"/>
        <v>32.926829268292671</v>
      </c>
      <c r="H69" s="5">
        <v>2.31</v>
      </c>
      <c r="I69" s="5">
        <v>3.75</v>
      </c>
      <c r="J69" s="5">
        <f t="shared" si="10"/>
        <v>3.0300000000000002</v>
      </c>
      <c r="K69" s="58">
        <f t="shared" si="11"/>
        <v>-0.13499999999999979</v>
      </c>
      <c r="L69" s="58">
        <f t="shared" si="12"/>
        <v>1.8224999999999943E-2</v>
      </c>
      <c r="N69" s="5">
        <v>67</v>
      </c>
      <c r="O69" s="5" t="s">
        <v>20</v>
      </c>
      <c r="P69" s="5">
        <v>188.72</v>
      </c>
      <c r="Q69" s="5">
        <v>193.36</v>
      </c>
      <c r="R69" s="5">
        <f t="shared" si="13"/>
        <v>34.913793103448164</v>
      </c>
      <c r="S69" s="5">
        <v>6.68</v>
      </c>
      <c r="T69" s="5">
        <v>6.68</v>
      </c>
      <c r="U69" s="5">
        <f t="shared" si="14"/>
        <v>2.3200000000000003</v>
      </c>
      <c r="V69" s="5">
        <f t="shared" si="14"/>
        <v>2.3200000000000003</v>
      </c>
      <c r="W69" s="5">
        <f t="shared" si="15"/>
        <v>2.3200000000000003</v>
      </c>
      <c r="X69" s="24">
        <f t="shared" si="16"/>
        <v>0.16160400000000028</v>
      </c>
    </row>
    <row r="70" spans="3:24" x14ac:dyDescent="0.25">
      <c r="C70" s="5">
        <v>68</v>
      </c>
      <c r="D70" s="5" t="s">
        <v>20</v>
      </c>
      <c r="E70" s="5">
        <v>102.48</v>
      </c>
      <c r="F70" s="5">
        <v>107.14</v>
      </c>
      <c r="G70" s="5">
        <f t="shared" si="9"/>
        <v>34.763948497854102</v>
      </c>
      <c r="H70" s="5">
        <v>2.17</v>
      </c>
      <c r="I70" s="5">
        <v>2.17</v>
      </c>
      <c r="J70" s="5">
        <f t="shared" si="10"/>
        <v>2.17</v>
      </c>
      <c r="K70" s="58">
        <f t="shared" si="11"/>
        <v>-0.99500000000000011</v>
      </c>
      <c r="L70" s="58">
        <f t="shared" si="12"/>
        <v>0.99002500000000027</v>
      </c>
      <c r="N70" s="5">
        <v>68</v>
      </c>
      <c r="O70" s="5" t="s">
        <v>19</v>
      </c>
      <c r="P70" s="5">
        <v>190.7</v>
      </c>
      <c r="Q70" s="5">
        <v>194.72</v>
      </c>
      <c r="R70" s="5">
        <f t="shared" si="13"/>
        <v>40.298507462686466</v>
      </c>
      <c r="S70" s="5">
        <v>6.58</v>
      </c>
      <c r="T70" s="5">
        <v>5.34</v>
      </c>
      <c r="U70" s="5">
        <f t="shared" si="14"/>
        <v>2.42</v>
      </c>
      <c r="V70" s="5">
        <f t="shared" si="14"/>
        <v>3.66</v>
      </c>
      <c r="W70" s="5">
        <f t="shared" si="15"/>
        <v>3.04</v>
      </c>
      <c r="X70" s="24">
        <f t="shared" si="16"/>
        <v>1.2588840000000003</v>
      </c>
    </row>
    <row r="71" spans="3:24" x14ac:dyDescent="0.25">
      <c r="C71" s="5">
        <v>69</v>
      </c>
      <c r="D71" s="5" t="s">
        <v>19</v>
      </c>
      <c r="E71" s="5">
        <v>104.56</v>
      </c>
      <c r="F71" s="5">
        <v>109.48</v>
      </c>
      <c r="G71" s="5">
        <f t="shared" si="9"/>
        <v>32.926829268292671</v>
      </c>
      <c r="H71" s="5">
        <v>2.2200000000000002</v>
      </c>
      <c r="I71" s="5">
        <v>3.53</v>
      </c>
      <c r="J71" s="5">
        <f t="shared" si="10"/>
        <v>2.875</v>
      </c>
      <c r="K71" s="58">
        <f t="shared" si="11"/>
        <v>-0.29000000000000004</v>
      </c>
      <c r="L71" s="58">
        <f t="shared" si="12"/>
        <v>8.4100000000000022E-2</v>
      </c>
      <c r="N71" s="5">
        <v>69</v>
      </c>
      <c r="O71" s="5" t="s">
        <v>20</v>
      </c>
      <c r="P71" s="5">
        <v>191.6</v>
      </c>
      <c r="Q71" s="5">
        <v>198.16</v>
      </c>
      <c r="R71" s="5">
        <f t="shared" si="13"/>
        <v>24.695121951219505</v>
      </c>
      <c r="S71" s="5">
        <v>6.9</v>
      </c>
      <c r="T71" s="5">
        <v>6.9</v>
      </c>
      <c r="U71" s="5">
        <f t="shared" si="14"/>
        <v>2.0999999999999996</v>
      </c>
      <c r="V71" s="5">
        <f t="shared" si="14"/>
        <v>2.0999999999999996</v>
      </c>
      <c r="W71" s="5">
        <f t="shared" si="15"/>
        <v>2.0999999999999996</v>
      </c>
      <c r="X71" s="24">
        <f t="shared" si="16"/>
        <v>3.3123999999999897E-2</v>
      </c>
    </row>
    <row r="72" spans="3:24" x14ac:dyDescent="0.25">
      <c r="C72" s="5">
        <v>70</v>
      </c>
      <c r="D72" s="5" t="s">
        <v>18</v>
      </c>
      <c r="E72" s="5">
        <v>106.32</v>
      </c>
      <c r="F72" s="5">
        <v>112.66</v>
      </c>
      <c r="G72" s="5">
        <f t="shared" si="9"/>
        <v>25.552050473186107</v>
      </c>
      <c r="H72" s="5">
        <v>2.4300000000000002</v>
      </c>
      <c r="I72" s="5">
        <v>2.4300000000000002</v>
      </c>
      <c r="J72" s="5">
        <f t="shared" si="10"/>
        <v>2.4300000000000002</v>
      </c>
      <c r="K72" s="58">
        <f t="shared" si="11"/>
        <v>-0.73499999999999988</v>
      </c>
      <c r="L72" s="58">
        <f t="shared" si="12"/>
        <v>0.54022499999999984</v>
      </c>
      <c r="N72" s="5">
        <v>70</v>
      </c>
      <c r="O72" s="5" t="s">
        <v>20</v>
      </c>
      <c r="P72" s="5">
        <v>193.78</v>
      </c>
      <c r="Q72" s="5">
        <v>197.96</v>
      </c>
      <c r="R72" s="5">
        <f t="shared" si="13"/>
        <v>38.755980861243955</v>
      </c>
      <c r="S72" s="5">
        <v>6.13</v>
      </c>
      <c r="T72" s="5">
        <v>6.13</v>
      </c>
      <c r="U72" s="5">
        <f t="shared" si="14"/>
        <v>2.87</v>
      </c>
      <c r="V72" s="5">
        <f t="shared" si="14"/>
        <v>2.87</v>
      </c>
      <c r="W72" s="5">
        <f t="shared" si="15"/>
        <v>2.87</v>
      </c>
      <c r="X72" s="24">
        <f t="shared" si="16"/>
        <v>0.90630400000000033</v>
      </c>
    </row>
    <row r="73" spans="3:24" x14ac:dyDescent="0.25">
      <c r="C73" s="5">
        <v>71</v>
      </c>
      <c r="D73" s="5" t="s">
        <v>19</v>
      </c>
      <c r="E73" s="5">
        <v>107.76</v>
      </c>
      <c r="F73" s="5">
        <v>112.72</v>
      </c>
      <c r="G73" s="5">
        <f t="shared" si="9"/>
        <v>32.66129032258069</v>
      </c>
      <c r="H73" s="5">
        <v>3.87</v>
      </c>
      <c r="I73" s="5">
        <v>5.3</v>
      </c>
      <c r="J73" s="5">
        <f t="shared" si="10"/>
        <v>4.585</v>
      </c>
      <c r="K73" s="58">
        <f t="shared" si="11"/>
        <v>1.42</v>
      </c>
      <c r="L73" s="58">
        <f t="shared" si="12"/>
        <v>2.0164</v>
      </c>
      <c r="N73" s="5">
        <v>71</v>
      </c>
      <c r="O73" s="5" t="s">
        <v>20</v>
      </c>
      <c r="P73" s="5">
        <v>195.92</v>
      </c>
      <c r="Q73" s="5">
        <v>200.8</v>
      </c>
      <c r="R73" s="5">
        <f t="shared" si="13"/>
        <v>33.196721311475251</v>
      </c>
      <c r="S73" s="5">
        <v>6.26</v>
      </c>
      <c r="T73" s="5">
        <v>6.26</v>
      </c>
      <c r="U73" s="5">
        <f t="shared" si="14"/>
        <v>2.74</v>
      </c>
      <c r="V73" s="5">
        <f t="shared" si="14"/>
        <v>2.74</v>
      </c>
      <c r="W73" s="5">
        <f t="shared" si="15"/>
        <v>2.74</v>
      </c>
      <c r="X73" s="24">
        <f t="shared" si="16"/>
        <v>0.67568400000000051</v>
      </c>
    </row>
    <row r="74" spans="3:24" x14ac:dyDescent="0.25">
      <c r="C74" s="5">
        <v>72</v>
      </c>
      <c r="D74" s="5" t="s">
        <v>19</v>
      </c>
      <c r="E74" s="5">
        <v>106.48</v>
      </c>
      <c r="F74" s="5">
        <v>110.04</v>
      </c>
      <c r="G74" s="5">
        <f t="shared" si="9"/>
        <v>45.505617977528061</v>
      </c>
      <c r="H74" s="5">
        <v>4.62</v>
      </c>
      <c r="I74" s="5">
        <v>6.03</v>
      </c>
      <c r="J74" s="5">
        <f t="shared" si="10"/>
        <v>5.3250000000000002</v>
      </c>
      <c r="K74" s="58">
        <f t="shared" si="11"/>
        <v>2.16</v>
      </c>
      <c r="L74" s="58">
        <f t="shared" si="12"/>
        <v>4.6656000000000004</v>
      </c>
      <c r="N74" s="5">
        <v>72</v>
      </c>
      <c r="O74" s="5" t="s">
        <v>19</v>
      </c>
      <c r="P74" s="5">
        <v>199.32</v>
      </c>
      <c r="Q74" s="5">
        <v>207.36</v>
      </c>
      <c r="R74" s="5">
        <f t="shared" si="13"/>
        <v>20.149253731343233</v>
      </c>
      <c r="S74" s="5">
        <v>8.08</v>
      </c>
      <c r="T74" s="5">
        <v>6.8</v>
      </c>
      <c r="U74" s="5">
        <f t="shared" si="14"/>
        <v>0.91999999999999993</v>
      </c>
      <c r="V74" s="5">
        <f t="shared" si="14"/>
        <v>2.2000000000000002</v>
      </c>
      <c r="W74" s="5">
        <f t="shared" si="15"/>
        <v>1.56</v>
      </c>
      <c r="X74" s="24">
        <f t="shared" si="16"/>
        <v>0.12816399999999992</v>
      </c>
    </row>
    <row r="75" spans="3:24" x14ac:dyDescent="0.25">
      <c r="C75" s="5">
        <v>73</v>
      </c>
      <c r="D75" s="5" t="s">
        <v>20</v>
      </c>
      <c r="E75" s="5">
        <v>108.64</v>
      </c>
      <c r="F75" s="5">
        <v>113.46</v>
      </c>
      <c r="G75" s="5">
        <f t="shared" si="9"/>
        <v>33.609958506224118</v>
      </c>
      <c r="H75" s="5">
        <v>2.1</v>
      </c>
      <c r="I75" s="5">
        <v>2.1</v>
      </c>
      <c r="J75" s="5">
        <f t="shared" si="10"/>
        <v>2.1</v>
      </c>
      <c r="K75" s="58">
        <f t="shared" si="11"/>
        <v>-1.0649999999999999</v>
      </c>
      <c r="L75" s="58">
        <f t="shared" si="12"/>
        <v>1.1342249999999998</v>
      </c>
      <c r="N75" s="5">
        <v>73</v>
      </c>
      <c r="O75" s="5" t="s">
        <v>19</v>
      </c>
      <c r="P75" s="5">
        <v>200.28</v>
      </c>
      <c r="Q75" s="5">
        <v>206.8</v>
      </c>
      <c r="R75" s="5">
        <f t="shared" si="13"/>
        <v>24.846625766871128</v>
      </c>
      <c r="S75" s="5">
        <v>7.03</v>
      </c>
      <c r="T75" s="5">
        <v>5.64</v>
      </c>
      <c r="U75" s="5">
        <f t="shared" si="14"/>
        <v>1.9699999999999998</v>
      </c>
      <c r="V75" s="5">
        <f t="shared" si="14"/>
        <v>3.3600000000000003</v>
      </c>
      <c r="W75" s="5">
        <f t="shared" si="15"/>
        <v>2.665</v>
      </c>
      <c r="X75" s="24">
        <f t="shared" si="16"/>
        <v>0.5580090000000002</v>
      </c>
    </row>
    <row r="76" spans="3:24" x14ac:dyDescent="0.25">
      <c r="C76" s="5">
        <v>74</v>
      </c>
      <c r="D76" s="5" t="s">
        <v>20</v>
      </c>
      <c r="E76" s="5">
        <v>109.36</v>
      </c>
      <c r="F76" s="5">
        <v>115.54</v>
      </c>
      <c r="G76" s="5">
        <f t="shared" si="9"/>
        <v>26.213592233009681</v>
      </c>
      <c r="H76" s="5">
        <v>0.82</v>
      </c>
      <c r="I76" s="5">
        <v>0.82</v>
      </c>
      <c r="J76" s="5">
        <f t="shared" si="10"/>
        <v>0.82</v>
      </c>
      <c r="K76" s="58">
        <f t="shared" si="11"/>
        <v>-2.3450000000000002</v>
      </c>
      <c r="L76" s="58">
        <f t="shared" si="12"/>
        <v>5.4990250000000005</v>
      </c>
      <c r="N76" s="5">
        <v>74</v>
      </c>
      <c r="O76" s="5" t="s">
        <v>20</v>
      </c>
      <c r="P76" s="5">
        <v>201.04</v>
      </c>
      <c r="Q76" s="5">
        <v>208.88</v>
      </c>
      <c r="R76" s="5">
        <f t="shared" si="13"/>
        <v>20.66326530612244</v>
      </c>
      <c r="S76" s="5">
        <v>8.6199999999999992</v>
      </c>
      <c r="T76" s="5">
        <v>8.6199999999999992</v>
      </c>
      <c r="U76" s="5">
        <f t="shared" si="14"/>
        <v>0.38000000000000078</v>
      </c>
      <c r="V76" s="5">
        <f t="shared" si="14"/>
        <v>0.38000000000000078</v>
      </c>
      <c r="W76" s="5">
        <f t="shared" si="15"/>
        <v>0.38000000000000078</v>
      </c>
      <c r="X76" s="24">
        <f t="shared" si="16"/>
        <v>2.3654439999999974</v>
      </c>
    </row>
    <row r="77" spans="3:24" x14ac:dyDescent="0.25">
      <c r="C77" s="5">
        <v>75</v>
      </c>
      <c r="D77" s="5" t="s">
        <v>20</v>
      </c>
      <c r="E77" s="5">
        <v>111.4</v>
      </c>
      <c r="F77" s="5">
        <v>115.06</v>
      </c>
      <c r="G77" s="5">
        <f t="shared" si="9"/>
        <v>44.26229508196726</v>
      </c>
      <c r="H77" s="5">
        <v>3.77</v>
      </c>
      <c r="I77" s="5">
        <v>3.77</v>
      </c>
      <c r="J77" s="5">
        <f t="shared" si="10"/>
        <v>3.77</v>
      </c>
      <c r="K77" s="58">
        <f t="shared" si="11"/>
        <v>0.60499999999999998</v>
      </c>
      <c r="L77" s="58">
        <f t="shared" si="12"/>
        <v>0.36602499999999999</v>
      </c>
      <c r="N77" s="5">
        <v>75</v>
      </c>
      <c r="O77" s="5" t="s">
        <v>19</v>
      </c>
      <c r="P77" s="5">
        <v>202.96</v>
      </c>
      <c r="Q77" s="5">
        <v>208.64</v>
      </c>
      <c r="R77" s="5">
        <f t="shared" si="13"/>
        <v>28.52112676056349</v>
      </c>
      <c r="S77" s="5">
        <v>6.94</v>
      </c>
      <c r="T77" s="5">
        <v>5.52</v>
      </c>
      <c r="U77" s="5">
        <f t="shared" si="14"/>
        <v>2.0599999999999996</v>
      </c>
      <c r="V77" s="5">
        <f t="shared" si="14"/>
        <v>3.4800000000000004</v>
      </c>
      <c r="W77" s="5">
        <f t="shared" si="15"/>
        <v>2.77</v>
      </c>
      <c r="X77" s="24">
        <f t="shared" si="16"/>
        <v>0.7259040000000001</v>
      </c>
    </row>
    <row r="78" spans="3:24" x14ac:dyDescent="0.25">
      <c r="C78" s="5">
        <v>76</v>
      </c>
      <c r="D78" s="5" t="s">
        <v>20</v>
      </c>
      <c r="E78" s="5">
        <v>112.12</v>
      </c>
      <c r="F78" s="5">
        <v>116.74</v>
      </c>
      <c r="G78" s="5">
        <f t="shared" si="9"/>
        <v>35.064935064935142</v>
      </c>
      <c r="H78" s="5">
        <v>2.71</v>
      </c>
      <c r="I78" s="5">
        <v>2.71</v>
      </c>
      <c r="J78" s="5">
        <f t="shared" si="10"/>
        <v>2.71</v>
      </c>
      <c r="K78" s="58">
        <f t="shared" si="11"/>
        <v>-0.45500000000000007</v>
      </c>
      <c r="L78" s="58">
        <f t="shared" si="12"/>
        <v>0.20702500000000007</v>
      </c>
      <c r="N78" s="5">
        <v>76</v>
      </c>
      <c r="O78" s="5" t="s">
        <v>19</v>
      </c>
      <c r="P78" s="5">
        <v>203.88</v>
      </c>
      <c r="Q78" s="5">
        <v>210.24</v>
      </c>
      <c r="R78" s="5">
        <f t="shared" si="13"/>
        <v>25.471698113207495</v>
      </c>
      <c r="S78" s="5">
        <v>8.5399999999999991</v>
      </c>
      <c r="T78" s="5">
        <v>7.48</v>
      </c>
      <c r="U78" s="5">
        <f t="shared" si="14"/>
        <v>0.46000000000000085</v>
      </c>
      <c r="V78" s="5">
        <f t="shared" si="14"/>
        <v>1.5199999999999996</v>
      </c>
      <c r="W78" s="5">
        <f t="shared" si="15"/>
        <v>0.99000000000000021</v>
      </c>
      <c r="X78" s="24">
        <f t="shared" si="16"/>
        <v>0.86118399999999951</v>
      </c>
    </row>
    <row r="79" spans="3:24" x14ac:dyDescent="0.25">
      <c r="C79" s="5">
        <v>77</v>
      </c>
      <c r="D79" s="5" t="s">
        <v>20</v>
      </c>
      <c r="E79" s="5">
        <v>115.48</v>
      </c>
      <c r="F79" s="5">
        <v>119.8</v>
      </c>
      <c r="G79" s="5">
        <f t="shared" si="9"/>
        <v>37.500000000000064</v>
      </c>
      <c r="H79" s="5">
        <v>2.95</v>
      </c>
      <c r="I79" s="5">
        <v>2.95</v>
      </c>
      <c r="J79" s="5">
        <f t="shared" si="10"/>
        <v>2.95</v>
      </c>
      <c r="K79" s="58">
        <f t="shared" si="11"/>
        <v>-0.21499999999999986</v>
      </c>
      <c r="L79" s="58">
        <f t="shared" si="12"/>
        <v>4.622499999999994E-2</v>
      </c>
      <c r="N79" s="5">
        <v>77</v>
      </c>
      <c r="O79" s="5" t="s">
        <v>20</v>
      </c>
      <c r="P79" s="5">
        <v>204.08</v>
      </c>
      <c r="Q79" s="5">
        <v>210.04</v>
      </c>
      <c r="R79" s="5">
        <f t="shared" si="13"/>
        <v>27.181208053691371</v>
      </c>
      <c r="S79" s="5">
        <v>7.37</v>
      </c>
      <c r="T79" s="5">
        <v>7.37</v>
      </c>
      <c r="U79" s="5">
        <f t="shared" si="14"/>
        <v>1.63</v>
      </c>
      <c r="V79" s="5">
        <f t="shared" si="14"/>
        <v>1.63</v>
      </c>
      <c r="W79" s="5">
        <f t="shared" si="15"/>
        <v>1.63</v>
      </c>
      <c r="X79" s="24">
        <f t="shared" si="16"/>
        <v>8.2944000000000018E-2</v>
      </c>
    </row>
    <row r="80" spans="3:24" x14ac:dyDescent="0.25">
      <c r="C80" s="5">
        <v>78</v>
      </c>
      <c r="D80" s="5" t="s">
        <v>19</v>
      </c>
      <c r="E80" s="5">
        <v>117.2</v>
      </c>
      <c r="F80" s="5">
        <v>120.82</v>
      </c>
      <c r="G80" s="5">
        <f t="shared" si="9"/>
        <v>44.751381215469735</v>
      </c>
      <c r="H80" s="5">
        <v>2.95</v>
      </c>
      <c r="I80" s="5">
        <v>4.24</v>
      </c>
      <c r="J80" s="5">
        <f t="shared" si="10"/>
        <v>3.5950000000000002</v>
      </c>
      <c r="K80" s="58">
        <f t="shared" si="11"/>
        <v>0.43000000000000016</v>
      </c>
      <c r="L80" s="58">
        <f t="shared" si="12"/>
        <v>0.18490000000000015</v>
      </c>
      <c r="N80" s="5">
        <v>78</v>
      </c>
      <c r="O80" s="5" t="s">
        <v>19</v>
      </c>
      <c r="P80" s="5">
        <v>204.88</v>
      </c>
      <c r="Q80" s="5">
        <v>212.84</v>
      </c>
      <c r="R80" s="5">
        <f t="shared" si="13"/>
        <v>20.351758793969829</v>
      </c>
      <c r="S80" s="5">
        <v>7.29</v>
      </c>
      <c r="T80" s="5">
        <v>6.13</v>
      </c>
      <c r="U80" s="5">
        <f t="shared" si="14"/>
        <v>1.71</v>
      </c>
      <c r="V80" s="5">
        <f t="shared" si="14"/>
        <v>2.87</v>
      </c>
      <c r="W80" s="5">
        <f t="shared" si="15"/>
        <v>2.29</v>
      </c>
      <c r="X80" s="24">
        <f t="shared" si="16"/>
        <v>0.13838400000000009</v>
      </c>
    </row>
    <row r="81" spans="3:24" x14ac:dyDescent="0.25">
      <c r="C81" s="5">
        <v>79</v>
      </c>
      <c r="D81" s="5" t="s">
        <v>19</v>
      </c>
      <c r="E81" s="5">
        <v>119.2</v>
      </c>
      <c r="F81" s="5">
        <v>122.88</v>
      </c>
      <c r="G81" s="5">
        <f t="shared" si="9"/>
        <v>44.021739130434874</v>
      </c>
      <c r="H81" s="5">
        <v>2.59</v>
      </c>
      <c r="I81" s="5">
        <v>3.96</v>
      </c>
      <c r="J81" s="5">
        <f t="shared" si="10"/>
        <v>3.2749999999999999</v>
      </c>
      <c r="K81" s="58">
        <f t="shared" si="11"/>
        <v>0.10999999999999988</v>
      </c>
      <c r="L81" s="58">
        <f t="shared" si="12"/>
        <v>1.2099999999999972E-2</v>
      </c>
      <c r="N81" s="5">
        <v>79</v>
      </c>
      <c r="O81" s="5" t="s">
        <v>20</v>
      </c>
      <c r="P81" s="5">
        <v>206.12</v>
      </c>
      <c r="Q81" s="5">
        <v>215</v>
      </c>
      <c r="R81" s="5">
        <f t="shared" si="13"/>
        <v>18.243243243243253</v>
      </c>
      <c r="S81" s="5">
        <v>8.5500000000000007</v>
      </c>
      <c r="T81" s="5">
        <v>8.5500000000000007</v>
      </c>
      <c r="U81" s="5">
        <f t="shared" si="14"/>
        <v>0.44999999999999929</v>
      </c>
      <c r="V81" s="5">
        <f t="shared" si="14"/>
        <v>0.44999999999999929</v>
      </c>
      <c r="W81" s="5">
        <f t="shared" si="15"/>
        <v>0.44999999999999929</v>
      </c>
      <c r="X81" s="24">
        <f t="shared" si="16"/>
        <v>2.1550240000000018</v>
      </c>
    </row>
    <row r="82" spans="3:24" x14ac:dyDescent="0.25">
      <c r="C82" s="5">
        <v>80</v>
      </c>
      <c r="D82" s="5" t="s">
        <v>19</v>
      </c>
      <c r="E82" s="5">
        <v>120.52</v>
      </c>
      <c r="F82" s="5">
        <v>124.2</v>
      </c>
      <c r="G82" s="5">
        <f t="shared" si="9"/>
        <v>44.021739130434703</v>
      </c>
      <c r="H82" s="5">
        <v>3.07</v>
      </c>
      <c r="I82" s="5">
        <v>4.3600000000000003</v>
      </c>
      <c r="J82" s="5">
        <f t="shared" si="10"/>
        <v>3.7149999999999999</v>
      </c>
      <c r="K82" s="58">
        <f t="shared" si="11"/>
        <v>0.54999999999999982</v>
      </c>
      <c r="L82" s="58">
        <f t="shared" si="12"/>
        <v>0.30249999999999982</v>
      </c>
      <c r="N82" s="5">
        <v>80</v>
      </c>
      <c r="O82" s="5" t="s">
        <v>20</v>
      </c>
      <c r="P82" s="5">
        <v>206.12</v>
      </c>
      <c r="Q82" s="5">
        <v>211.44</v>
      </c>
      <c r="R82" s="5">
        <f t="shared" si="13"/>
        <v>30.451127819548908</v>
      </c>
      <c r="S82" s="5">
        <v>5.81</v>
      </c>
      <c r="T82" s="5">
        <v>5.81</v>
      </c>
      <c r="U82" s="5">
        <f t="shared" si="14"/>
        <v>3.1900000000000004</v>
      </c>
      <c r="V82" s="5">
        <f t="shared" si="14"/>
        <v>3.1900000000000004</v>
      </c>
      <c r="W82" s="5">
        <f t="shared" si="15"/>
        <v>3.1900000000000004</v>
      </c>
      <c r="X82" s="24">
        <f t="shared" si="16"/>
        <v>1.6179840000000012</v>
      </c>
    </row>
    <row r="83" spans="3:24" x14ac:dyDescent="0.25">
      <c r="C83" s="5">
        <v>81</v>
      </c>
      <c r="D83" s="5" t="s">
        <v>19</v>
      </c>
      <c r="E83" s="5">
        <v>121.92</v>
      </c>
      <c r="F83" s="5">
        <v>125.74</v>
      </c>
      <c r="G83" s="5">
        <f t="shared" si="9"/>
        <v>42.408376963350861</v>
      </c>
      <c r="H83" s="5">
        <v>3.3</v>
      </c>
      <c r="I83" s="5">
        <v>4.6900000000000004</v>
      </c>
      <c r="J83" s="5">
        <f t="shared" si="10"/>
        <v>3.9950000000000001</v>
      </c>
      <c r="K83" s="58">
        <f t="shared" si="11"/>
        <v>0.83000000000000007</v>
      </c>
      <c r="L83" s="58">
        <f t="shared" si="12"/>
        <v>0.68890000000000007</v>
      </c>
      <c r="N83" s="5">
        <v>81</v>
      </c>
      <c r="O83" s="5" t="s">
        <v>19</v>
      </c>
      <c r="P83" s="5">
        <v>207.2</v>
      </c>
      <c r="Q83" s="5">
        <v>212.2</v>
      </c>
      <c r="R83" s="5">
        <f t="shared" si="13"/>
        <v>32.4</v>
      </c>
      <c r="S83" s="5">
        <v>7.19</v>
      </c>
      <c r="T83" s="5">
        <v>6.21</v>
      </c>
      <c r="U83" s="5">
        <f t="shared" si="14"/>
        <v>1.8099999999999996</v>
      </c>
      <c r="V83" s="5">
        <f t="shared" si="14"/>
        <v>2.79</v>
      </c>
      <c r="W83" s="5">
        <f t="shared" si="15"/>
        <v>2.2999999999999998</v>
      </c>
      <c r="X83" s="24">
        <f t="shared" si="16"/>
        <v>0.14592399999999991</v>
      </c>
    </row>
    <row r="84" spans="3:24" x14ac:dyDescent="0.25">
      <c r="C84" s="5">
        <v>82</v>
      </c>
      <c r="D84" s="5" t="s">
        <v>20</v>
      </c>
      <c r="E84" s="5">
        <v>122.12</v>
      </c>
      <c r="F84" s="5">
        <v>125.06</v>
      </c>
      <c r="G84" s="5">
        <f t="shared" si="9"/>
        <v>55.102040816326578</v>
      </c>
      <c r="H84" s="5">
        <v>1.67</v>
      </c>
      <c r="I84" s="5">
        <v>1.67</v>
      </c>
      <c r="J84" s="5">
        <f t="shared" si="10"/>
        <v>1.67</v>
      </c>
      <c r="K84" s="58">
        <f t="shared" si="11"/>
        <v>-1.4950000000000001</v>
      </c>
      <c r="L84" s="58">
        <f t="shared" si="12"/>
        <v>2.2350250000000003</v>
      </c>
      <c r="N84" s="5">
        <v>82</v>
      </c>
      <c r="O84" s="5" t="s">
        <v>19</v>
      </c>
      <c r="P84" s="5">
        <v>208.92</v>
      </c>
      <c r="Q84" s="5">
        <v>214.48</v>
      </c>
      <c r="R84" s="5">
        <f t="shared" si="13"/>
        <v>29.136690647482002</v>
      </c>
      <c r="S84" s="5">
        <v>6.81</v>
      </c>
      <c r="T84" s="5">
        <v>5.62</v>
      </c>
      <c r="U84" s="5">
        <f t="shared" si="14"/>
        <v>2.1900000000000004</v>
      </c>
      <c r="V84" s="5">
        <f t="shared" si="14"/>
        <v>3.38</v>
      </c>
      <c r="W84" s="5">
        <f t="shared" si="15"/>
        <v>2.7850000000000001</v>
      </c>
      <c r="X84" s="24">
        <f t="shared" si="16"/>
        <v>0.75168900000000038</v>
      </c>
    </row>
    <row r="85" spans="3:24" x14ac:dyDescent="0.25">
      <c r="C85" s="5">
        <v>83</v>
      </c>
      <c r="D85" s="5" t="s">
        <v>19</v>
      </c>
      <c r="E85" s="5">
        <v>123.08</v>
      </c>
      <c r="F85" s="5">
        <v>127.02</v>
      </c>
      <c r="G85" s="5">
        <f t="shared" si="9"/>
        <v>41.116751269035561</v>
      </c>
      <c r="H85" s="5">
        <v>2.52</v>
      </c>
      <c r="I85" s="5">
        <v>3.98</v>
      </c>
      <c r="J85" s="5">
        <f t="shared" si="10"/>
        <v>3.25</v>
      </c>
      <c r="K85" s="58">
        <f t="shared" si="11"/>
        <v>8.4999999999999964E-2</v>
      </c>
      <c r="L85" s="58">
        <f t="shared" si="12"/>
        <v>7.2249999999999936E-3</v>
      </c>
      <c r="N85" s="5">
        <v>83</v>
      </c>
      <c r="O85" s="5" t="s">
        <v>19</v>
      </c>
      <c r="P85" s="5">
        <v>210.88</v>
      </c>
      <c r="Q85" s="5">
        <v>216.32</v>
      </c>
      <c r="R85" s="5">
        <f t="shared" si="13"/>
        <v>29.779411764705895</v>
      </c>
      <c r="S85" s="5">
        <v>7.23</v>
      </c>
      <c r="T85" s="5">
        <v>5.91</v>
      </c>
      <c r="U85" s="5">
        <f t="shared" si="14"/>
        <v>1.7699999999999996</v>
      </c>
      <c r="V85" s="5">
        <f t="shared" si="14"/>
        <v>3.09</v>
      </c>
      <c r="W85" s="5">
        <f t="shared" si="15"/>
        <v>2.4299999999999997</v>
      </c>
      <c r="X85" s="24">
        <f t="shared" si="16"/>
        <v>0.26214399999999977</v>
      </c>
    </row>
    <row r="86" spans="3:24" x14ac:dyDescent="0.25">
      <c r="C86" s="5">
        <v>84</v>
      </c>
      <c r="D86" s="5" t="s">
        <v>19</v>
      </c>
      <c r="E86" s="5">
        <v>124.56</v>
      </c>
      <c r="F86" s="5">
        <v>128.44</v>
      </c>
      <c r="G86" s="5">
        <f t="shared" si="9"/>
        <v>41.752577319587679</v>
      </c>
      <c r="H86" s="5">
        <v>3.32</v>
      </c>
      <c r="I86" s="5">
        <v>4.67</v>
      </c>
      <c r="J86" s="5">
        <f t="shared" si="10"/>
        <v>3.9950000000000001</v>
      </c>
      <c r="K86" s="58">
        <f t="shared" si="11"/>
        <v>0.83000000000000007</v>
      </c>
      <c r="L86" s="58">
        <f t="shared" si="12"/>
        <v>0.68890000000000007</v>
      </c>
      <c r="N86" s="5">
        <v>84</v>
      </c>
      <c r="O86" s="5" t="s">
        <v>20</v>
      </c>
      <c r="P86" s="5">
        <v>215.92</v>
      </c>
      <c r="Q86" s="5">
        <v>223.2</v>
      </c>
      <c r="R86" s="5">
        <f t="shared" si="13"/>
        <v>22.252747252747252</v>
      </c>
      <c r="S86" s="5">
        <v>8.3699999999999992</v>
      </c>
      <c r="T86" s="5">
        <v>8.3699999999999992</v>
      </c>
      <c r="U86" s="5">
        <f t="shared" si="14"/>
        <v>0.63000000000000078</v>
      </c>
      <c r="V86" s="5">
        <f t="shared" si="14"/>
        <v>0.63000000000000078</v>
      </c>
      <c r="W86" s="5">
        <f t="shared" si="15"/>
        <v>0.63000000000000078</v>
      </c>
      <c r="X86" s="24">
        <f t="shared" si="16"/>
        <v>1.6589439999999978</v>
      </c>
    </row>
    <row r="87" spans="3:24" x14ac:dyDescent="0.25">
      <c r="C87" s="5">
        <v>85</v>
      </c>
      <c r="D87" s="5" t="s">
        <v>19</v>
      </c>
      <c r="E87" s="5">
        <v>125.44</v>
      </c>
      <c r="F87" s="5">
        <v>129.34</v>
      </c>
      <c r="G87" s="5">
        <f t="shared" si="9"/>
        <v>41.538461538461483</v>
      </c>
      <c r="H87" s="5">
        <v>2.94</v>
      </c>
      <c r="I87" s="5">
        <v>4.41</v>
      </c>
      <c r="J87" s="5">
        <f t="shared" si="10"/>
        <v>3.6749999999999998</v>
      </c>
      <c r="K87" s="58">
        <f t="shared" si="11"/>
        <v>0.50999999999999979</v>
      </c>
      <c r="L87" s="58">
        <f t="shared" si="12"/>
        <v>0.26009999999999978</v>
      </c>
      <c r="N87" s="5">
        <v>85</v>
      </c>
      <c r="O87" s="5" t="s">
        <v>22</v>
      </c>
      <c r="P87" s="5">
        <v>223.72</v>
      </c>
      <c r="Q87" s="5">
        <v>228.72</v>
      </c>
      <c r="R87" s="5">
        <f t="shared" si="13"/>
        <v>32.4</v>
      </c>
      <c r="S87" s="5">
        <v>7.9</v>
      </c>
      <c r="T87" s="5">
        <v>5.83</v>
      </c>
      <c r="U87" s="5">
        <f t="shared" si="14"/>
        <v>1.0999999999999996</v>
      </c>
      <c r="V87" s="5">
        <f t="shared" si="14"/>
        <v>3.17</v>
      </c>
      <c r="W87" s="5">
        <f t="shared" si="15"/>
        <v>2.1349999999999998</v>
      </c>
      <c r="X87" s="24">
        <f t="shared" si="16"/>
        <v>4.7088999999999936E-2</v>
      </c>
    </row>
    <row r="88" spans="3:24" x14ac:dyDescent="0.25">
      <c r="C88" s="5">
        <v>86</v>
      </c>
      <c r="D88" s="5" t="s">
        <v>19</v>
      </c>
      <c r="E88" s="5">
        <v>127.88</v>
      </c>
      <c r="F88" s="5">
        <v>131.72</v>
      </c>
      <c r="G88" s="5">
        <f t="shared" si="9"/>
        <v>42.187499999999964</v>
      </c>
      <c r="H88" s="5">
        <v>3.35</v>
      </c>
      <c r="I88" s="5">
        <v>4.62</v>
      </c>
      <c r="J88" s="5">
        <f t="shared" si="10"/>
        <v>3.9850000000000003</v>
      </c>
      <c r="K88" s="58">
        <f t="shared" si="11"/>
        <v>0.82000000000000028</v>
      </c>
      <c r="L88" s="58">
        <f t="shared" si="12"/>
        <v>0.67240000000000044</v>
      </c>
      <c r="N88" s="5">
        <v>86</v>
      </c>
      <c r="O88" s="5" t="s">
        <v>20</v>
      </c>
      <c r="P88" s="5">
        <v>224.54</v>
      </c>
      <c r="Q88" s="5">
        <v>229.96</v>
      </c>
      <c r="R88" s="5">
        <f t="shared" si="13"/>
        <v>29.889298892988844</v>
      </c>
      <c r="S88" s="5">
        <v>5.89</v>
      </c>
      <c r="T88" s="5">
        <v>5.89</v>
      </c>
      <c r="U88" s="5">
        <f t="shared" si="14"/>
        <v>3.1100000000000003</v>
      </c>
      <c r="V88" s="5">
        <f t="shared" si="14"/>
        <v>3.1100000000000003</v>
      </c>
      <c r="W88" s="5">
        <f t="shared" si="15"/>
        <v>3.1100000000000003</v>
      </c>
      <c r="X88" s="24">
        <f t="shared" si="16"/>
        <v>1.420864000000001</v>
      </c>
    </row>
    <row r="89" spans="3:24" x14ac:dyDescent="0.25">
      <c r="C89" s="5">
        <v>87</v>
      </c>
      <c r="D89" s="5" t="s">
        <v>20</v>
      </c>
      <c r="E89" s="5">
        <v>131.04</v>
      </c>
      <c r="F89" s="5">
        <v>135.26</v>
      </c>
      <c r="G89" s="5">
        <f t="shared" si="9"/>
        <v>38.388625592417071</v>
      </c>
      <c r="H89" s="5">
        <v>2.87</v>
      </c>
      <c r="I89" s="5">
        <v>2.87</v>
      </c>
      <c r="J89" s="5">
        <f t="shared" si="10"/>
        <v>2.87</v>
      </c>
      <c r="K89" s="58">
        <f t="shared" si="11"/>
        <v>-0.29499999999999993</v>
      </c>
      <c r="L89" s="58">
        <f t="shared" si="12"/>
        <v>8.7024999999999963E-2</v>
      </c>
      <c r="N89" s="5">
        <v>87</v>
      </c>
      <c r="O89" s="5" t="s">
        <v>20</v>
      </c>
      <c r="P89" s="5">
        <v>232.16</v>
      </c>
      <c r="Q89" s="5">
        <v>237.68</v>
      </c>
      <c r="R89" s="5">
        <f t="shared" si="13"/>
        <v>29.347826086956466</v>
      </c>
      <c r="S89" s="5">
        <v>8.2100000000000009</v>
      </c>
      <c r="T89" s="5">
        <v>8.2100000000000009</v>
      </c>
      <c r="U89" s="5">
        <f t="shared" si="14"/>
        <v>0.78999999999999915</v>
      </c>
      <c r="V89" s="5">
        <f t="shared" si="14"/>
        <v>0.78999999999999915</v>
      </c>
      <c r="W89" s="5">
        <f t="shared" si="15"/>
        <v>0.78999999999999915</v>
      </c>
      <c r="X89" s="24">
        <f t="shared" si="16"/>
        <v>1.2723840000000017</v>
      </c>
    </row>
    <row r="90" spans="3:24" x14ac:dyDescent="0.25">
      <c r="C90" s="5">
        <v>88</v>
      </c>
      <c r="D90" s="5" t="s">
        <v>19</v>
      </c>
      <c r="E90" s="5">
        <v>136.6</v>
      </c>
      <c r="F90" s="5">
        <v>140.13999999999999</v>
      </c>
      <c r="G90" s="5">
        <f t="shared" si="9"/>
        <v>45.762711864406882</v>
      </c>
      <c r="H90" s="5">
        <v>3.3</v>
      </c>
      <c r="I90" s="5">
        <v>4.72</v>
      </c>
      <c r="J90" s="5">
        <f t="shared" si="10"/>
        <v>4.01</v>
      </c>
      <c r="K90" s="58">
        <f t="shared" si="11"/>
        <v>0.84499999999999975</v>
      </c>
      <c r="L90" s="58">
        <f t="shared" si="12"/>
        <v>0.71402499999999958</v>
      </c>
      <c r="N90" s="5">
        <v>88</v>
      </c>
      <c r="O90" s="5" t="s">
        <v>19</v>
      </c>
      <c r="P90" s="5">
        <v>237.6</v>
      </c>
      <c r="Q90" s="5">
        <v>241.6</v>
      </c>
      <c r="R90" s="5">
        <f t="shared" si="13"/>
        <v>40.5</v>
      </c>
      <c r="S90" s="5">
        <v>7.78</v>
      </c>
      <c r="T90" s="5">
        <v>6.48</v>
      </c>
      <c r="U90" s="5">
        <f t="shared" si="14"/>
        <v>1.2199999999999998</v>
      </c>
      <c r="V90" s="5">
        <f t="shared" si="14"/>
        <v>2.5199999999999996</v>
      </c>
      <c r="W90" s="5">
        <f t="shared" si="15"/>
        <v>1.8699999999999997</v>
      </c>
      <c r="X90" s="24">
        <f t="shared" si="16"/>
        <v>2.3040000000000252E-3</v>
      </c>
    </row>
    <row r="91" spans="3:24" x14ac:dyDescent="0.25">
      <c r="C91" s="5">
        <v>89</v>
      </c>
      <c r="D91" s="5" t="s">
        <v>19</v>
      </c>
      <c r="E91" s="5">
        <v>139.32</v>
      </c>
      <c r="F91" s="5">
        <v>142.16</v>
      </c>
      <c r="G91" s="5">
        <f t="shared" si="9"/>
        <v>57.042253521126696</v>
      </c>
      <c r="H91" s="5">
        <v>2.57</v>
      </c>
      <c r="I91" s="5">
        <v>4.05</v>
      </c>
      <c r="J91" s="5">
        <f t="shared" si="10"/>
        <v>3.3099999999999996</v>
      </c>
      <c r="K91" s="58">
        <f t="shared" si="11"/>
        <v>0.14499999999999957</v>
      </c>
      <c r="L91" s="58">
        <f t="shared" si="12"/>
        <v>2.1024999999999877E-2</v>
      </c>
      <c r="N91" s="5">
        <v>89</v>
      </c>
      <c r="O91" s="5" t="s">
        <v>20</v>
      </c>
      <c r="P91" s="5">
        <v>238.72</v>
      </c>
      <c r="Q91" s="5">
        <v>243.12</v>
      </c>
      <c r="R91" s="5">
        <f t="shared" si="13"/>
        <v>36.81818181818177</v>
      </c>
      <c r="S91" s="5">
        <v>7.74</v>
      </c>
      <c r="T91" s="5">
        <v>7.74</v>
      </c>
      <c r="U91" s="5">
        <f t="shared" si="14"/>
        <v>1.2599999999999998</v>
      </c>
      <c r="V91" s="5">
        <f t="shared" si="14"/>
        <v>1.2599999999999998</v>
      </c>
      <c r="W91" s="5">
        <f t="shared" si="15"/>
        <v>1.2599999999999998</v>
      </c>
      <c r="X91" s="24">
        <f t="shared" si="16"/>
        <v>0.43296400000000018</v>
      </c>
    </row>
    <row r="92" spans="3:24" x14ac:dyDescent="0.25">
      <c r="C92" s="5">
        <v>90</v>
      </c>
      <c r="D92" s="5" t="s">
        <v>20</v>
      </c>
      <c r="E92" s="5">
        <v>139.84</v>
      </c>
      <c r="F92" s="5">
        <v>143.58000000000001</v>
      </c>
      <c r="G92" s="5">
        <f t="shared" si="9"/>
        <v>43.315508021390272</v>
      </c>
      <c r="H92" s="5">
        <v>2.33</v>
      </c>
      <c r="I92" s="5">
        <v>2.33</v>
      </c>
      <c r="J92" s="5">
        <f t="shared" si="10"/>
        <v>2.33</v>
      </c>
      <c r="K92" s="58">
        <f t="shared" si="11"/>
        <v>-0.83499999999999996</v>
      </c>
      <c r="L92" s="58">
        <f t="shared" si="12"/>
        <v>0.69722499999999998</v>
      </c>
      <c r="N92" s="5">
        <v>90</v>
      </c>
      <c r="O92" s="5" t="s">
        <v>18</v>
      </c>
      <c r="P92" s="5">
        <v>240</v>
      </c>
      <c r="Q92" s="5">
        <v>244.68</v>
      </c>
      <c r="R92" s="5">
        <f t="shared" si="13"/>
        <v>34.615384615384563</v>
      </c>
      <c r="S92" s="5">
        <v>7.8</v>
      </c>
      <c r="T92" s="5">
        <v>6.8</v>
      </c>
      <c r="U92" s="5">
        <f t="shared" si="14"/>
        <v>1.2000000000000002</v>
      </c>
      <c r="V92" s="5">
        <f t="shared" si="14"/>
        <v>2.2000000000000002</v>
      </c>
      <c r="W92" s="5">
        <f t="shared" si="15"/>
        <v>1.7000000000000002</v>
      </c>
      <c r="X92" s="24">
        <f t="shared" si="16"/>
        <v>4.7523999999999893E-2</v>
      </c>
    </row>
    <row r="93" spans="3:24" x14ac:dyDescent="0.25">
      <c r="C93" s="5">
        <v>91</v>
      </c>
      <c r="D93" s="5" t="s">
        <v>20</v>
      </c>
      <c r="E93" s="5">
        <v>140.28</v>
      </c>
      <c r="F93" s="5">
        <v>143.5</v>
      </c>
      <c r="G93" s="5">
        <f t="shared" si="9"/>
        <v>50.3105590062112</v>
      </c>
      <c r="H93" s="5">
        <v>3.89</v>
      </c>
      <c r="I93" s="5">
        <v>3.89</v>
      </c>
      <c r="J93" s="5">
        <f t="shared" si="10"/>
        <v>3.89</v>
      </c>
      <c r="K93" s="58">
        <f t="shared" si="11"/>
        <v>0.72500000000000009</v>
      </c>
      <c r="L93" s="58">
        <f t="shared" si="12"/>
        <v>0.52562500000000012</v>
      </c>
      <c r="N93" s="5">
        <v>91</v>
      </c>
      <c r="O93" s="5" t="s">
        <v>20</v>
      </c>
      <c r="P93" s="5">
        <v>244.86</v>
      </c>
      <c r="Q93" s="5">
        <v>250.16</v>
      </c>
      <c r="R93" s="5">
        <f t="shared" si="13"/>
        <v>30.566037735849154</v>
      </c>
      <c r="S93" s="5">
        <v>7.68</v>
      </c>
      <c r="T93" s="5">
        <v>7.68</v>
      </c>
      <c r="U93" s="5">
        <f t="shared" si="14"/>
        <v>1.3200000000000003</v>
      </c>
      <c r="V93" s="5">
        <f t="shared" si="14"/>
        <v>1.3200000000000003</v>
      </c>
      <c r="W93" s="5">
        <f t="shared" si="15"/>
        <v>1.3200000000000003</v>
      </c>
      <c r="X93" s="24">
        <f t="shared" si="16"/>
        <v>0.35760399999999959</v>
      </c>
    </row>
    <row r="94" spans="3:24" x14ac:dyDescent="0.25">
      <c r="C94" s="5">
        <v>92</v>
      </c>
      <c r="D94" s="5" t="s">
        <v>20</v>
      </c>
      <c r="E94" s="5">
        <v>141.16</v>
      </c>
      <c r="F94" s="5">
        <v>143.88</v>
      </c>
      <c r="G94" s="5">
        <f t="shared" si="9"/>
        <v>59.558823529411789</v>
      </c>
      <c r="H94" s="5">
        <v>5.4</v>
      </c>
      <c r="I94" s="5">
        <v>5.4</v>
      </c>
      <c r="J94" s="5">
        <f t="shared" si="10"/>
        <v>5.4</v>
      </c>
      <c r="K94" s="58">
        <f t="shared" si="11"/>
        <v>2.2350000000000003</v>
      </c>
      <c r="L94" s="58">
        <f t="shared" si="12"/>
        <v>4.9952250000000014</v>
      </c>
      <c r="N94" s="5">
        <v>92</v>
      </c>
      <c r="O94" s="5" t="s">
        <v>20</v>
      </c>
      <c r="P94" s="5">
        <v>251.18</v>
      </c>
      <c r="Q94" s="5">
        <v>254.88</v>
      </c>
      <c r="R94" s="5">
        <f t="shared" si="13"/>
        <v>43.783783783783917</v>
      </c>
      <c r="S94" s="5">
        <v>7.23</v>
      </c>
      <c r="T94" s="5">
        <v>7.23</v>
      </c>
      <c r="U94" s="5">
        <f t="shared" si="14"/>
        <v>1.7699999999999996</v>
      </c>
      <c r="V94" s="5">
        <f t="shared" si="14"/>
        <v>1.7699999999999996</v>
      </c>
      <c r="W94" s="5">
        <f t="shared" si="15"/>
        <v>1.7699999999999996</v>
      </c>
      <c r="X94" s="24">
        <f t="shared" si="16"/>
        <v>2.1904000000000104E-2</v>
      </c>
    </row>
    <row r="95" spans="3:24" x14ac:dyDescent="0.25">
      <c r="C95" s="5">
        <v>93</v>
      </c>
      <c r="D95" s="5" t="s">
        <v>20</v>
      </c>
      <c r="E95" s="5">
        <v>141.24</v>
      </c>
      <c r="F95" s="5">
        <v>144.54</v>
      </c>
      <c r="G95" s="5">
        <f t="shared" si="9"/>
        <v>49.090909090909342</v>
      </c>
      <c r="H95" s="5">
        <v>2.66</v>
      </c>
      <c r="I95" s="5">
        <v>2.66</v>
      </c>
      <c r="J95" s="5">
        <f t="shared" si="10"/>
        <v>2.66</v>
      </c>
      <c r="K95" s="58">
        <f t="shared" si="11"/>
        <v>-0.50499999999999989</v>
      </c>
      <c r="L95" s="58">
        <f t="shared" si="12"/>
        <v>0.25502499999999989</v>
      </c>
      <c r="N95" s="5">
        <v>93</v>
      </c>
      <c r="O95" s="5" t="s">
        <v>19</v>
      </c>
      <c r="P95" s="5">
        <v>252.48</v>
      </c>
      <c r="Q95" s="5">
        <v>256.08</v>
      </c>
      <c r="R95" s="5">
        <f t="shared" si="13"/>
        <v>45.000000000000071</v>
      </c>
      <c r="S95" s="5">
        <v>7.37</v>
      </c>
      <c r="T95" s="5">
        <v>6.07</v>
      </c>
      <c r="U95" s="5">
        <f t="shared" si="14"/>
        <v>1.63</v>
      </c>
      <c r="V95" s="5">
        <f t="shared" si="14"/>
        <v>2.9299999999999997</v>
      </c>
      <c r="W95" s="5">
        <f t="shared" si="15"/>
        <v>2.2799999999999998</v>
      </c>
      <c r="X95" s="24">
        <f t="shared" si="16"/>
        <v>0.13104399999999991</v>
      </c>
    </row>
    <row r="96" spans="3:24" x14ac:dyDescent="0.25">
      <c r="C96" s="5">
        <v>94</v>
      </c>
      <c r="D96" s="5" t="s">
        <v>20</v>
      </c>
      <c r="E96" s="5">
        <v>149.88</v>
      </c>
      <c r="F96" s="5">
        <v>153.32</v>
      </c>
      <c r="G96" s="5">
        <f t="shared" si="9"/>
        <v>47.093023255813982</v>
      </c>
      <c r="H96" s="5">
        <v>2.71</v>
      </c>
      <c r="I96" s="5">
        <v>2.71</v>
      </c>
      <c r="J96" s="5">
        <f t="shared" si="10"/>
        <v>2.71</v>
      </c>
      <c r="K96" s="58">
        <f t="shared" si="11"/>
        <v>-0.45500000000000007</v>
      </c>
      <c r="L96" s="58">
        <f t="shared" si="12"/>
        <v>0.20702500000000007</v>
      </c>
      <c r="N96" s="5">
        <v>94</v>
      </c>
      <c r="O96" s="5" t="s">
        <v>19</v>
      </c>
      <c r="P96" s="5">
        <v>253.92</v>
      </c>
      <c r="Q96" s="5">
        <v>257.92</v>
      </c>
      <c r="R96" s="5">
        <f t="shared" si="13"/>
        <v>40.499999999999716</v>
      </c>
      <c r="S96" s="5">
        <v>8.2100000000000009</v>
      </c>
      <c r="T96" s="5">
        <v>7</v>
      </c>
      <c r="U96" s="5">
        <f t="shared" si="14"/>
        <v>0.78999999999999915</v>
      </c>
      <c r="V96" s="5">
        <f t="shared" si="14"/>
        <v>2</v>
      </c>
      <c r="W96" s="5">
        <f t="shared" si="15"/>
        <v>1.3949999999999996</v>
      </c>
      <c r="X96" s="24">
        <f t="shared" si="16"/>
        <v>0.27352900000000036</v>
      </c>
    </row>
    <row r="97" spans="3:24" x14ac:dyDescent="0.25">
      <c r="C97" s="5">
        <v>95</v>
      </c>
      <c r="D97" s="5" t="s">
        <v>19</v>
      </c>
      <c r="E97" s="5">
        <v>152.47999999999999</v>
      </c>
      <c r="F97" s="5">
        <v>155.96</v>
      </c>
      <c r="G97" s="5">
        <f t="shared" si="9"/>
        <v>46.55172413793079</v>
      </c>
      <c r="H97" s="5">
        <v>2.85</v>
      </c>
      <c r="I97" s="5">
        <v>4.17</v>
      </c>
      <c r="J97" s="5">
        <f t="shared" si="10"/>
        <v>3.51</v>
      </c>
      <c r="K97" s="58">
        <f t="shared" si="11"/>
        <v>0.34499999999999975</v>
      </c>
      <c r="L97" s="58">
        <f t="shared" si="12"/>
        <v>0.11902499999999983</v>
      </c>
      <c r="N97" s="5">
        <v>95</v>
      </c>
      <c r="O97" s="5" t="s">
        <v>19</v>
      </c>
      <c r="P97" s="5">
        <v>279.64</v>
      </c>
      <c r="Q97" s="5">
        <v>284.68</v>
      </c>
      <c r="R97" s="5">
        <f t="shared" si="13"/>
        <v>32.142857142857011</v>
      </c>
      <c r="S97" s="5">
        <v>7.52</v>
      </c>
      <c r="T97" s="5">
        <v>6.38</v>
      </c>
      <c r="U97" s="5">
        <f t="shared" si="14"/>
        <v>1.4800000000000004</v>
      </c>
      <c r="V97" s="5">
        <f t="shared" si="14"/>
        <v>2.62</v>
      </c>
      <c r="W97" s="5">
        <f t="shared" si="15"/>
        <v>2.0500000000000003</v>
      </c>
      <c r="X97" s="24">
        <f t="shared" si="16"/>
        <v>1.7424000000000089E-2</v>
      </c>
    </row>
    <row r="98" spans="3:24" x14ac:dyDescent="0.25">
      <c r="C98" s="5">
        <v>96</v>
      </c>
      <c r="D98" s="5" t="s">
        <v>20</v>
      </c>
      <c r="E98" s="5">
        <v>154.04</v>
      </c>
      <c r="F98" s="5">
        <v>157.56</v>
      </c>
      <c r="G98" s="5">
        <f t="shared" si="9"/>
        <v>46.022727272727145</v>
      </c>
      <c r="H98" s="5">
        <v>2.8</v>
      </c>
      <c r="I98" s="5">
        <v>2.8</v>
      </c>
      <c r="J98" s="5">
        <f t="shared" si="10"/>
        <v>2.8</v>
      </c>
      <c r="K98" s="58">
        <f t="shared" si="11"/>
        <v>-0.36500000000000021</v>
      </c>
      <c r="L98" s="58">
        <f t="shared" si="12"/>
        <v>0.13322500000000015</v>
      </c>
      <c r="N98" s="5">
        <v>96</v>
      </c>
      <c r="O98" s="5" t="s">
        <v>20</v>
      </c>
      <c r="P98" s="5">
        <v>279.99</v>
      </c>
      <c r="Q98" s="5">
        <v>288.44</v>
      </c>
      <c r="R98" s="5">
        <f t="shared" si="13"/>
        <v>19.17159763313612</v>
      </c>
      <c r="S98" s="5">
        <v>8.0299999999999994</v>
      </c>
      <c r="T98" s="5">
        <v>8.0299999999999994</v>
      </c>
      <c r="U98" s="5">
        <f t="shared" si="14"/>
        <v>0.97000000000000064</v>
      </c>
      <c r="V98" s="5">
        <f t="shared" si="14"/>
        <v>0.97000000000000064</v>
      </c>
      <c r="W98" s="5">
        <f t="shared" si="15"/>
        <v>0.97000000000000064</v>
      </c>
      <c r="X98" s="24">
        <f t="shared" si="16"/>
        <v>0.89870399999999862</v>
      </c>
    </row>
    <row r="99" spans="3:24" x14ac:dyDescent="0.25">
      <c r="C99" s="5">
        <v>97</v>
      </c>
      <c r="D99" s="5" t="s">
        <v>19</v>
      </c>
      <c r="E99" s="5">
        <v>161.19999999999999</v>
      </c>
      <c r="F99" s="5">
        <v>164.1</v>
      </c>
      <c r="G99" s="5">
        <f t="shared" si="9"/>
        <v>55.862068965517132</v>
      </c>
      <c r="H99" s="5">
        <v>2.81</v>
      </c>
      <c r="I99" s="5">
        <v>4.2</v>
      </c>
      <c r="J99" s="5">
        <f t="shared" si="10"/>
        <v>3.5049999999999999</v>
      </c>
      <c r="K99" s="58">
        <f t="shared" si="11"/>
        <v>0.33999999999999986</v>
      </c>
      <c r="L99" s="58">
        <f t="shared" si="12"/>
        <v>0.1155999999999999</v>
      </c>
      <c r="N99" s="5">
        <v>97</v>
      </c>
      <c r="O99" s="5" t="s">
        <v>20</v>
      </c>
      <c r="P99" s="5">
        <v>280.92</v>
      </c>
      <c r="Q99" s="5">
        <v>286.27999999999997</v>
      </c>
      <c r="R99" s="5">
        <f t="shared" si="13"/>
        <v>30.223880597015167</v>
      </c>
      <c r="S99" s="5">
        <v>7.07</v>
      </c>
      <c r="T99" s="5">
        <v>7.07</v>
      </c>
      <c r="U99" s="5">
        <f t="shared" si="14"/>
        <v>1.9299999999999997</v>
      </c>
      <c r="V99" s="5">
        <f t="shared" si="14"/>
        <v>1.9299999999999997</v>
      </c>
      <c r="W99" s="5">
        <f t="shared" si="15"/>
        <v>1.9299999999999997</v>
      </c>
      <c r="X99" s="24">
        <f t="shared" si="16"/>
        <v>1.4399999999999494E-4</v>
      </c>
    </row>
    <row r="100" spans="3:24" x14ac:dyDescent="0.25">
      <c r="C100" s="5">
        <v>98</v>
      </c>
      <c r="D100" s="5" t="s">
        <v>21</v>
      </c>
      <c r="E100" s="5">
        <v>167.96</v>
      </c>
      <c r="F100" s="5">
        <v>174.04</v>
      </c>
      <c r="G100" s="5">
        <f t="shared" si="9"/>
        <v>26.644736842105335</v>
      </c>
      <c r="H100" s="5">
        <v>2.2400000000000002</v>
      </c>
      <c r="I100" s="5">
        <v>3.91</v>
      </c>
      <c r="J100" s="5">
        <f t="shared" si="10"/>
        <v>3.0750000000000002</v>
      </c>
      <c r="K100" s="58">
        <f t="shared" si="11"/>
        <v>-8.9999999999999858E-2</v>
      </c>
      <c r="L100" s="58">
        <f t="shared" si="12"/>
        <v>8.0999999999999753E-3</v>
      </c>
      <c r="N100" s="5">
        <v>98</v>
      </c>
      <c r="O100" s="5" t="s">
        <v>18</v>
      </c>
      <c r="P100" s="5">
        <v>285</v>
      </c>
      <c r="Q100" s="5">
        <v>290</v>
      </c>
      <c r="R100" s="5">
        <f t="shared" si="13"/>
        <v>32.4</v>
      </c>
      <c r="S100" s="5">
        <v>7.21</v>
      </c>
      <c r="T100" s="5">
        <v>6.21</v>
      </c>
      <c r="U100" s="5">
        <f t="shared" si="14"/>
        <v>1.79</v>
      </c>
      <c r="V100" s="5">
        <f t="shared" si="14"/>
        <v>2.79</v>
      </c>
      <c r="W100" s="5">
        <f t="shared" si="15"/>
        <v>2.29</v>
      </c>
      <c r="X100" s="24">
        <f t="shared" si="16"/>
        <v>0.13838400000000009</v>
      </c>
    </row>
    <row r="101" spans="3:24" x14ac:dyDescent="0.25">
      <c r="C101" s="5">
        <v>99</v>
      </c>
      <c r="D101" s="5" t="s">
        <v>19</v>
      </c>
      <c r="E101" s="5">
        <v>170.89</v>
      </c>
      <c r="F101" s="5">
        <v>175.56</v>
      </c>
      <c r="G101" s="5">
        <f t="shared" si="9"/>
        <v>34.68950749464657</v>
      </c>
      <c r="H101" s="5">
        <v>3.25</v>
      </c>
      <c r="I101" s="5">
        <v>4.45</v>
      </c>
      <c r="J101" s="5">
        <f t="shared" si="10"/>
        <v>3.85</v>
      </c>
      <c r="K101" s="58">
        <f t="shared" si="11"/>
        <v>0.68500000000000005</v>
      </c>
      <c r="L101" s="58">
        <f t="shared" si="12"/>
        <v>0.46922500000000006</v>
      </c>
      <c r="N101" s="5">
        <v>99</v>
      </c>
      <c r="O101" s="5" t="s">
        <v>19</v>
      </c>
      <c r="P101" s="5">
        <v>286</v>
      </c>
      <c r="Q101" s="5">
        <v>290.76</v>
      </c>
      <c r="R101" s="5">
        <f t="shared" si="13"/>
        <v>34.033613445378215</v>
      </c>
      <c r="S101" s="5">
        <v>7.04</v>
      </c>
      <c r="T101" s="5">
        <v>5.78</v>
      </c>
      <c r="U101" s="5">
        <f t="shared" si="14"/>
        <v>1.96</v>
      </c>
      <c r="V101" s="5">
        <f t="shared" si="14"/>
        <v>3.2199999999999998</v>
      </c>
      <c r="W101" s="5">
        <f t="shared" si="15"/>
        <v>2.59</v>
      </c>
      <c r="X101" s="24">
        <f t="shared" si="16"/>
        <v>0.45158399999999993</v>
      </c>
    </row>
    <row r="102" spans="3:24" x14ac:dyDescent="0.25">
      <c r="C102" s="5">
        <v>100</v>
      </c>
      <c r="D102" s="5" t="s">
        <v>21</v>
      </c>
      <c r="E102" s="5">
        <v>171.68</v>
      </c>
      <c r="F102" s="5">
        <v>177.68</v>
      </c>
      <c r="G102" s="5">
        <f t="shared" si="9"/>
        <v>27</v>
      </c>
      <c r="H102" s="5">
        <v>1.93</v>
      </c>
      <c r="I102" s="5">
        <v>3.67</v>
      </c>
      <c r="J102" s="5">
        <f t="shared" si="10"/>
        <v>2.8</v>
      </c>
      <c r="K102" s="58">
        <f t="shared" si="11"/>
        <v>-0.36500000000000021</v>
      </c>
      <c r="L102" s="58">
        <f t="shared" si="12"/>
        <v>0.13322500000000015</v>
      </c>
      <c r="N102" s="5">
        <v>100</v>
      </c>
      <c r="O102" s="5" t="s">
        <v>22</v>
      </c>
      <c r="P102" s="5">
        <v>287.76</v>
      </c>
      <c r="Q102" s="5">
        <v>292.68</v>
      </c>
      <c r="R102" s="5">
        <f t="shared" si="13"/>
        <v>32.926829268292579</v>
      </c>
      <c r="S102" s="5">
        <v>7.18</v>
      </c>
      <c r="T102" s="5">
        <v>5.85</v>
      </c>
      <c r="U102" s="5">
        <f t="shared" ref="U102:V105" si="17">$A$5-S102</f>
        <v>1.8200000000000003</v>
      </c>
      <c r="V102" s="5">
        <f t="shared" si="17"/>
        <v>3.1500000000000004</v>
      </c>
      <c r="W102" s="5">
        <f t="shared" si="15"/>
        <v>2.4850000000000003</v>
      </c>
      <c r="X102" s="24">
        <f t="shared" si="16"/>
        <v>0.32148900000000047</v>
      </c>
    </row>
    <row r="103" spans="3:24" x14ac:dyDescent="0.25">
      <c r="C103" s="5">
        <v>101</v>
      </c>
      <c r="D103" s="5" t="s">
        <v>19</v>
      </c>
      <c r="E103" s="5">
        <v>172.52</v>
      </c>
      <c r="F103" s="5">
        <v>176.54</v>
      </c>
      <c r="G103" s="5">
        <f t="shared" si="9"/>
        <v>40.29850746268675</v>
      </c>
      <c r="H103" s="5">
        <v>3.26</v>
      </c>
      <c r="I103" s="5">
        <v>4.22</v>
      </c>
      <c r="J103" s="5">
        <f t="shared" si="10"/>
        <v>3.7399999999999998</v>
      </c>
      <c r="K103" s="58">
        <f t="shared" si="11"/>
        <v>0.57499999999999973</v>
      </c>
      <c r="L103" s="58">
        <f t="shared" si="12"/>
        <v>0.33062499999999967</v>
      </c>
      <c r="N103" s="5">
        <v>101</v>
      </c>
      <c r="O103" s="5" t="s">
        <v>19</v>
      </c>
      <c r="P103" s="5">
        <v>289.60000000000002</v>
      </c>
      <c r="Q103" s="5">
        <v>294.64</v>
      </c>
      <c r="R103" s="5">
        <f t="shared" si="13"/>
        <v>32.142857142857373</v>
      </c>
      <c r="S103" s="5">
        <v>7.65</v>
      </c>
      <c r="T103" s="5">
        <v>6.24</v>
      </c>
      <c r="U103" s="5">
        <f t="shared" si="17"/>
        <v>1.3499999999999996</v>
      </c>
      <c r="V103" s="5">
        <f t="shared" si="17"/>
        <v>2.76</v>
      </c>
      <c r="W103" s="5">
        <f t="shared" si="15"/>
        <v>2.0549999999999997</v>
      </c>
      <c r="X103" s="24">
        <f t="shared" si="16"/>
        <v>1.8768999999999942E-2</v>
      </c>
    </row>
    <row r="104" spans="3:24" x14ac:dyDescent="0.25">
      <c r="C104" s="5">
        <v>102</v>
      </c>
      <c r="D104" s="5" t="s">
        <v>19</v>
      </c>
      <c r="E104" s="5">
        <v>173.44</v>
      </c>
      <c r="F104" s="5">
        <v>177.96</v>
      </c>
      <c r="G104" s="5">
        <f t="shared" si="9"/>
        <v>35.840707964601691</v>
      </c>
      <c r="H104" s="5">
        <v>5.16</v>
      </c>
      <c r="I104" s="5">
        <v>6.51</v>
      </c>
      <c r="J104" s="5">
        <f t="shared" si="10"/>
        <v>5.835</v>
      </c>
      <c r="K104" s="58">
        <f t="shared" si="11"/>
        <v>2.67</v>
      </c>
      <c r="L104" s="58">
        <f t="shared" si="12"/>
        <v>7.1288999999999998</v>
      </c>
      <c r="N104" s="5">
        <v>102</v>
      </c>
      <c r="O104" s="5" t="s">
        <v>19</v>
      </c>
      <c r="P104" s="5">
        <v>296.08</v>
      </c>
      <c r="Q104" s="5">
        <v>302.95999999999998</v>
      </c>
      <c r="R104" s="5">
        <f t="shared" si="13"/>
        <v>23.546511627906991</v>
      </c>
      <c r="S104" s="5">
        <v>7.03</v>
      </c>
      <c r="T104" s="5">
        <v>5.83</v>
      </c>
      <c r="U104" s="5">
        <f t="shared" si="17"/>
        <v>1.9699999999999998</v>
      </c>
      <c r="V104" s="5">
        <f t="shared" si="17"/>
        <v>3.17</v>
      </c>
      <c r="W104" s="5">
        <f t="shared" si="15"/>
        <v>2.57</v>
      </c>
      <c r="X104" s="24">
        <f t="shared" si="16"/>
        <v>0.42510399999999987</v>
      </c>
    </row>
    <row r="105" spans="3:24" x14ac:dyDescent="0.25">
      <c r="C105" s="5">
        <v>103</v>
      </c>
      <c r="D105" s="5" t="s">
        <v>20</v>
      </c>
      <c r="E105" s="5">
        <v>175.4</v>
      </c>
      <c r="F105" s="5">
        <v>180.3</v>
      </c>
      <c r="G105" s="5">
        <f t="shared" si="9"/>
        <v>33.061224489795883</v>
      </c>
      <c r="H105" s="5">
        <v>2.0299999999999998</v>
      </c>
      <c r="I105" s="5">
        <v>2.0299999999999998</v>
      </c>
      <c r="J105" s="5">
        <f t="shared" si="10"/>
        <v>2.0299999999999998</v>
      </c>
      <c r="K105" s="58">
        <f t="shared" si="11"/>
        <v>-1.1350000000000002</v>
      </c>
      <c r="L105" s="58">
        <f t="shared" si="12"/>
        <v>1.2882250000000006</v>
      </c>
      <c r="N105" s="5">
        <v>103</v>
      </c>
      <c r="O105" s="5" t="s">
        <v>18</v>
      </c>
      <c r="P105" s="5">
        <v>296.16000000000003</v>
      </c>
      <c r="Q105" s="5">
        <v>304.8</v>
      </c>
      <c r="R105" s="5">
        <f t="shared" si="13"/>
        <v>18.750000000000032</v>
      </c>
      <c r="S105" s="5">
        <v>8.76</v>
      </c>
      <c r="T105" s="5">
        <v>8.1</v>
      </c>
      <c r="U105" s="5">
        <f t="shared" si="17"/>
        <v>0.24000000000000021</v>
      </c>
      <c r="V105" s="5">
        <f t="shared" si="17"/>
        <v>0.90000000000000036</v>
      </c>
      <c r="W105" s="5">
        <f t="shared" si="15"/>
        <v>0.57000000000000028</v>
      </c>
      <c r="X105" s="24">
        <f t="shared" si="16"/>
        <v>1.8171039999999989</v>
      </c>
    </row>
    <row r="106" spans="3:24" x14ac:dyDescent="0.25">
      <c r="C106" s="5">
        <v>104</v>
      </c>
      <c r="D106" s="5" t="s">
        <v>19</v>
      </c>
      <c r="E106" s="5">
        <v>175.8</v>
      </c>
      <c r="F106" s="5">
        <v>180.16</v>
      </c>
      <c r="G106" s="5">
        <f t="shared" si="9"/>
        <v>37.155963302752419</v>
      </c>
      <c r="H106" s="5">
        <v>4.2699999999999996</v>
      </c>
      <c r="I106" s="5">
        <v>5.54</v>
      </c>
      <c r="J106" s="5">
        <f t="shared" si="10"/>
        <v>4.9049999999999994</v>
      </c>
      <c r="K106" s="58">
        <f t="shared" si="11"/>
        <v>1.7399999999999993</v>
      </c>
      <c r="L106" s="58">
        <f t="shared" si="12"/>
        <v>3.0275999999999978</v>
      </c>
    </row>
    <row r="107" spans="3:24" x14ac:dyDescent="0.25">
      <c r="C107" s="5">
        <v>105</v>
      </c>
      <c r="D107" s="5" t="s">
        <v>20</v>
      </c>
      <c r="E107" s="5">
        <v>177.04</v>
      </c>
      <c r="F107" s="5">
        <v>181.28</v>
      </c>
      <c r="G107" s="5">
        <f t="shared" si="9"/>
        <v>38.207547169811235</v>
      </c>
      <c r="H107" s="5">
        <v>3.25</v>
      </c>
      <c r="I107" s="5">
        <v>3.25</v>
      </c>
      <c r="J107" s="5">
        <f t="shared" si="10"/>
        <v>3.25</v>
      </c>
      <c r="K107" s="58">
        <f t="shared" si="11"/>
        <v>8.4999999999999964E-2</v>
      </c>
      <c r="L107" s="58">
        <f t="shared" si="12"/>
        <v>7.2249999999999936E-3</v>
      </c>
    </row>
    <row r="108" spans="3:24" x14ac:dyDescent="0.25">
      <c r="C108" s="5">
        <v>106</v>
      </c>
      <c r="D108" s="5" t="s">
        <v>20</v>
      </c>
      <c r="E108" s="5">
        <v>178.16</v>
      </c>
      <c r="F108" s="5">
        <v>181.84</v>
      </c>
      <c r="G108" s="5">
        <f t="shared" si="9"/>
        <v>44.021739130434703</v>
      </c>
      <c r="H108" s="5">
        <v>4.29</v>
      </c>
      <c r="I108" s="5">
        <v>4.29</v>
      </c>
      <c r="J108" s="5">
        <f t="shared" si="10"/>
        <v>4.29</v>
      </c>
      <c r="K108" s="58">
        <f t="shared" si="11"/>
        <v>1.125</v>
      </c>
      <c r="L108" s="58">
        <f t="shared" si="12"/>
        <v>1.265625</v>
      </c>
    </row>
    <row r="109" spans="3:24" x14ac:dyDescent="0.25">
      <c r="C109" s="5">
        <v>107</v>
      </c>
      <c r="D109" s="5" t="s">
        <v>20</v>
      </c>
      <c r="E109" s="5">
        <v>178.4</v>
      </c>
      <c r="F109" s="5">
        <v>185.34</v>
      </c>
      <c r="G109" s="5">
        <f t="shared" si="9"/>
        <v>23.342939481268019</v>
      </c>
      <c r="H109" s="5">
        <v>1.27</v>
      </c>
      <c r="I109" s="5">
        <v>1.27</v>
      </c>
      <c r="J109" s="5">
        <f t="shared" si="10"/>
        <v>1.27</v>
      </c>
      <c r="K109" s="58">
        <f t="shared" si="11"/>
        <v>-1.895</v>
      </c>
      <c r="L109" s="58">
        <f t="shared" si="12"/>
        <v>3.5910250000000001</v>
      </c>
    </row>
    <row r="110" spans="3:24" x14ac:dyDescent="0.25">
      <c r="C110" s="5">
        <v>108</v>
      </c>
      <c r="D110" s="5" t="s">
        <v>19</v>
      </c>
      <c r="E110" s="5">
        <v>178.68</v>
      </c>
      <c r="F110" s="5">
        <v>182.78</v>
      </c>
      <c r="G110" s="5">
        <f t="shared" si="9"/>
        <v>39.512195121951272</v>
      </c>
      <c r="H110" s="5">
        <v>3.63</v>
      </c>
      <c r="I110" s="5">
        <v>4.88</v>
      </c>
      <c r="J110" s="5">
        <f t="shared" si="10"/>
        <v>4.2549999999999999</v>
      </c>
      <c r="K110" s="58">
        <f t="shared" si="11"/>
        <v>1.0899999999999999</v>
      </c>
      <c r="L110" s="58">
        <f t="shared" si="12"/>
        <v>1.1880999999999997</v>
      </c>
    </row>
    <row r="111" spans="3:24" x14ac:dyDescent="0.25">
      <c r="C111" s="5">
        <v>109</v>
      </c>
      <c r="D111" s="5" t="s">
        <v>19</v>
      </c>
      <c r="E111" s="5">
        <v>180.4</v>
      </c>
      <c r="F111" s="5">
        <v>184.48</v>
      </c>
      <c r="G111" s="5">
        <f t="shared" si="9"/>
        <v>39.70588235294133</v>
      </c>
      <c r="H111" s="5">
        <v>3.58</v>
      </c>
      <c r="I111" s="5">
        <v>4.83</v>
      </c>
      <c r="J111" s="5">
        <f t="shared" si="10"/>
        <v>4.2050000000000001</v>
      </c>
      <c r="K111" s="58">
        <f t="shared" si="11"/>
        <v>1.04</v>
      </c>
      <c r="L111" s="58">
        <f t="shared" si="12"/>
        <v>1.0816000000000001</v>
      </c>
    </row>
    <row r="112" spans="3:24" x14ac:dyDescent="0.25">
      <c r="C112" s="5">
        <v>110</v>
      </c>
      <c r="D112" s="5" t="s">
        <v>20</v>
      </c>
      <c r="E112" s="5">
        <v>181.16</v>
      </c>
      <c r="F112" s="5">
        <v>184.06</v>
      </c>
      <c r="G112" s="5">
        <f t="shared" si="9"/>
        <v>55.862068965517132</v>
      </c>
      <c r="H112" s="5">
        <v>5.49</v>
      </c>
      <c r="I112" s="5">
        <v>5.49</v>
      </c>
      <c r="J112" s="5">
        <f t="shared" si="10"/>
        <v>5.49</v>
      </c>
      <c r="K112" s="58">
        <f t="shared" si="11"/>
        <v>2.3250000000000002</v>
      </c>
      <c r="L112" s="58">
        <f t="shared" si="12"/>
        <v>5.4056250000000006</v>
      </c>
    </row>
    <row r="113" spans="3:19" x14ac:dyDescent="0.25">
      <c r="C113" s="5">
        <v>111</v>
      </c>
      <c r="D113" s="5" t="s">
        <v>19</v>
      </c>
      <c r="E113" s="5">
        <v>181.56</v>
      </c>
      <c r="F113" s="5">
        <v>185.56</v>
      </c>
      <c r="G113" s="5">
        <f t="shared" si="9"/>
        <v>40.5</v>
      </c>
      <c r="H113" s="5">
        <v>3.25</v>
      </c>
      <c r="I113" s="5">
        <v>4.72</v>
      </c>
      <c r="J113" s="5">
        <f t="shared" si="10"/>
        <v>3.9849999999999999</v>
      </c>
      <c r="K113" s="58">
        <f t="shared" si="11"/>
        <v>0.81999999999999984</v>
      </c>
      <c r="L113" s="58">
        <f t="shared" si="12"/>
        <v>0.67239999999999978</v>
      </c>
    </row>
    <row r="114" spans="3:19" x14ac:dyDescent="0.25">
      <c r="C114" s="5">
        <v>112</v>
      </c>
      <c r="D114" s="5" t="s">
        <v>20</v>
      </c>
      <c r="E114" s="5">
        <v>182.64</v>
      </c>
      <c r="F114" s="5">
        <v>186.9</v>
      </c>
      <c r="G114" s="5">
        <f t="shared" si="9"/>
        <v>38.028169014084334</v>
      </c>
      <c r="H114" s="5">
        <v>3.09</v>
      </c>
      <c r="I114" s="5">
        <v>3.09</v>
      </c>
      <c r="J114" s="5">
        <f t="shared" si="10"/>
        <v>3.09</v>
      </c>
      <c r="K114" s="58">
        <f t="shared" si="11"/>
        <v>-7.5000000000000178E-2</v>
      </c>
      <c r="L114" s="58">
        <f t="shared" si="12"/>
        <v>5.6250000000000267E-3</v>
      </c>
      <c r="R114" s="24" t="s">
        <v>55</v>
      </c>
      <c r="S114" s="24">
        <f>SUM(W3:W105)/103</f>
        <v>1.9184951456310679</v>
      </c>
    </row>
    <row r="115" spans="3:19" x14ac:dyDescent="0.25">
      <c r="C115" s="5">
        <v>113</v>
      </c>
      <c r="D115" s="5" t="s">
        <v>24</v>
      </c>
      <c r="E115" s="5">
        <v>178.8</v>
      </c>
      <c r="F115" s="5">
        <v>199.2</v>
      </c>
      <c r="G115" s="5">
        <f t="shared" si="9"/>
        <v>7.9411764705882444</v>
      </c>
      <c r="H115" s="5">
        <v>0.82</v>
      </c>
      <c r="I115" s="5">
        <v>0.82</v>
      </c>
      <c r="J115" s="5">
        <f t="shared" si="10"/>
        <v>0.82</v>
      </c>
      <c r="K115" s="58">
        <f t="shared" si="11"/>
        <v>-2.3450000000000002</v>
      </c>
      <c r="L115" s="58">
        <f t="shared" si="12"/>
        <v>5.4990250000000005</v>
      </c>
    </row>
    <row r="116" spans="3:19" x14ac:dyDescent="0.25">
      <c r="C116" s="5">
        <v>114</v>
      </c>
      <c r="D116" s="5" t="s">
        <v>20</v>
      </c>
      <c r="E116" s="5">
        <v>187.6</v>
      </c>
      <c r="F116" s="5">
        <v>191.12</v>
      </c>
      <c r="G116" s="5">
        <f t="shared" si="9"/>
        <v>46.022727272727145</v>
      </c>
      <c r="H116" s="5">
        <v>2.78</v>
      </c>
      <c r="I116" s="5">
        <v>2.78</v>
      </c>
      <c r="J116" s="5">
        <f t="shared" si="10"/>
        <v>2.78</v>
      </c>
      <c r="K116" s="58">
        <f t="shared" si="11"/>
        <v>-0.38500000000000023</v>
      </c>
      <c r="L116" s="58">
        <f t="shared" si="12"/>
        <v>0.14822500000000019</v>
      </c>
      <c r="S116" s="24">
        <f>((SUM(X3:X105))/103)^0.5</f>
        <v>0.77548492188931051</v>
      </c>
    </row>
    <row r="117" spans="3:19" x14ac:dyDescent="0.25">
      <c r="C117" s="5">
        <v>115</v>
      </c>
      <c r="D117" s="5" t="s">
        <v>20</v>
      </c>
      <c r="E117" s="5">
        <v>190.32</v>
      </c>
      <c r="F117" s="5">
        <v>194.48</v>
      </c>
      <c r="G117" s="5">
        <f t="shared" si="9"/>
        <v>38.942307692307722</v>
      </c>
      <c r="H117" s="5">
        <v>2.4500000000000002</v>
      </c>
      <c r="I117" s="5">
        <v>2.4500000000000002</v>
      </c>
      <c r="J117" s="5">
        <f t="shared" si="10"/>
        <v>2.4500000000000002</v>
      </c>
      <c r="K117" s="58">
        <f t="shared" si="11"/>
        <v>-0.71499999999999986</v>
      </c>
      <c r="L117" s="58">
        <f t="shared" si="12"/>
        <v>0.51122499999999982</v>
      </c>
    </row>
    <row r="118" spans="3:19" x14ac:dyDescent="0.25">
      <c r="C118" s="5">
        <v>116</v>
      </c>
      <c r="D118" s="5" t="s">
        <v>19</v>
      </c>
      <c r="E118" s="5">
        <v>196.64</v>
      </c>
      <c r="F118" s="5">
        <v>200.88</v>
      </c>
      <c r="G118" s="5">
        <f t="shared" si="9"/>
        <v>38.207547169811235</v>
      </c>
      <c r="H118" s="5">
        <v>2.69</v>
      </c>
      <c r="I118" s="5">
        <v>4.17</v>
      </c>
      <c r="J118" s="5">
        <f t="shared" si="10"/>
        <v>3.4299999999999997</v>
      </c>
      <c r="K118" s="58">
        <f t="shared" si="11"/>
        <v>0.26499999999999968</v>
      </c>
      <c r="L118" s="58">
        <f t="shared" si="12"/>
        <v>7.0224999999999829E-2</v>
      </c>
    </row>
    <row r="119" spans="3:19" x14ac:dyDescent="0.25">
      <c r="C119" s="5">
        <v>117</v>
      </c>
      <c r="D119" s="5" t="s">
        <v>19</v>
      </c>
      <c r="E119" s="5">
        <v>197.68</v>
      </c>
      <c r="F119" s="5">
        <v>202.2</v>
      </c>
      <c r="G119" s="5">
        <f t="shared" si="9"/>
        <v>35.840707964601911</v>
      </c>
      <c r="H119" s="5">
        <v>3.04</v>
      </c>
      <c r="I119" s="5">
        <v>4.62</v>
      </c>
      <c r="J119" s="5">
        <f t="shared" si="10"/>
        <v>3.83</v>
      </c>
      <c r="K119" s="58">
        <f t="shared" si="11"/>
        <v>0.66500000000000004</v>
      </c>
      <c r="L119" s="58">
        <f t="shared" si="12"/>
        <v>0.44222500000000003</v>
      </c>
    </row>
    <row r="120" spans="3:19" x14ac:dyDescent="0.25">
      <c r="C120" s="5">
        <v>118</v>
      </c>
      <c r="D120" s="5" t="s">
        <v>22</v>
      </c>
      <c r="E120" s="5">
        <v>199.24</v>
      </c>
      <c r="F120" s="5">
        <v>204.08</v>
      </c>
      <c r="G120" s="5">
        <f t="shared" si="9"/>
        <v>33.471074380165263</v>
      </c>
      <c r="H120" s="5">
        <v>2.61</v>
      </c>
      <c r="I120" s="5">
        <v>4.24</v>
      </c>
      <c r="J120" s="5">
        <f t="shared" si="10"/>
        <v>3.4249999999999998</v>
      </c>
      <c r="K120" s="58">
        <f t="shared" si="11"/>
        <v>0.25999999999999979</v>
      </c>
      <c r="L120" s="58">
        <f t="shared" si="12"/>
        <v>6.7599999999999882E-2</v>
      </c>
    </row>
    <row r="121" spans="3:19" x14ac:dyDescent="0.25">
      <c r="C121" s="5">
        <v>119</v>
      </c>
      <c r="D121" s="5" t="s">
        <v>19</v>
      </c>
      <c r="E121" s="5">
        <v>201.28</v>
      </c>
      <c r="F121" s="5">
        <v>206.1</v>
      </c>
      <c r="G121" s="5">
        <f t="shared" si="9"/>
        <v>33.609958506224118</v>
      </c>
      <c r="H121" s="5">
        <v>3.02</v>
      </c>
      <c r="I121" s="5">
        <v>4.38</v>
      </c>
      <c r="J121" s="5">
        <f t="shared" si="10"/>
        <v>3.7</v>
      </c>
      <c r="K121" s="58">
        <f t="shared" si="11"/>
        <v>0.53500000000000014</v>
      </c>
      <c r="L121" s="58">
        <f t="shared" si="12"/>
        <v>0.28622500000000017</v>
      </c>
    </row>
    <row r="122" spans="3:19" x14ac:dyDescent="0.25">
      <c r="C122" s="5">
        <v>120</v>
      </c>
      <c r="D122" s="5" t="s">
        <v>20</v>
      </c>
      <c r="E122" s="5">
        <v>202.2</v>
      </c>
      <c r="F122" s="5">
        <v>206.46</v>
      </c>
      <c r="G122" s="5">
        <f t="shared" si="9"/>
        <v>38.028169014084334</v>
      </c>
      <c r="H122" s="5">
        <v>1.86</v>
      </c>
      <c r="I122" s="5">
        <v>1.86</v>
      </c>
      <c r="J122" s="5">
        <f t="shared" si="10"/>
        <v>1.86</v>
      </c>
      <c r="K122" s="58">
        <f t="shared" si="11"/>
        <v>-1.3049999999999999</v>
      </c>
      <c r="L122" s="58">
        <f t="shared" si="12"/>
        <v>1.7030249999999998</v>
      </c>
    </row>
    <row r="123" spans="3:19" x14ac:dyDescent="0.25">
      <c r="C123" s="5">
        <v>121</v>
      </c>
      <c r="D123" s="5" t="s">
        <v>19</v>
      </c>
      <c r="E123" s="5">
        <v>202.64</v>
      </c>
      <c r="F123" s="5">
        <v>207.4</v>
      </c>
      <c r="G123" s="5">
        <f t="shared" si="9"/>
        <v>34.033613445378009</v>
      </c>
      <c r="H123" s="5">
        <v>3.02</v>
      </c>
      <c r="I123" s="5">
        <v>4.34</v>
      </c>
      <c r="J123" s="5">
        <f t="shared" si="10"/>
        <v>3.6799999999999997</v>
      </c>
      <c r="K123" s="58">
        <f t="shared" si="11"/>
        <v>0.51499999999999968</v>
      </c>
      <c r="L123" s="58">
        <f t="shared" si="12"/>
        <v>0.26522499999999966</v>
      </c>
    </row>
    <row r="124" spans="3:19" x14ac:dyDescent="0.25">
      <c r="C124" s="5">
        <v>122</v>
      </c>
      <c r="D124" s="5" t="s">
        <v>19</v>
      </c>
      <c r="E124" s="5">
        <v>204</v>
      </c>
      <c r="F124" s="5">
        <v>208.64</v>
      </c>
      <c r="G124" s="5">
        <f t="shared" si="9"/>
        <v>34.913793103448384</v>
      </c>
      <c r="H124" s="5">
        <v>2.67</v>
      </c>
      <c r="I124" s="5">
        <v>4.03</v>
      </c>
      <c r="J124" s="5">
        <f t="shared" si="10"/>
        <v>3.35</v>
      </c>
      <c r="K124" s="58">
        <f t="shared" si="11"/>
        <v>0.18500000000000005</v>
      </c>
      <c r="L124" s="58">
        <f t="shared" si="12"/>
        <v>3.4225000000000019E-2</v>
      </c>
    </row>
    <row r="125" spans="3:19" x14ac:dyDescent="0.25">
      <c r="C125" s="5">
        <v>123</v>
      </c>
      <c r="D125" s="5" t="s">
        <v>20</v>
      </c>
      <c r="E125" s="5">
        <v>204.12</v>
      </c>
      <c r="F125" s="5">
        <v>209.24</v>
      </c>
      <c r="G125" s="5">
        <f t="shared" si="9"/>
        <v>31.640624999999975</v>
      </c>
      <c r="H125" s="5">
        <v>1.72</v>
      </c>
      <c r="I125" s="5">
        <v>1.72</v>
      </c>
      <c r="J125" s="5">
        <f t="shared" si="10"/>
        <v>1.72</v>
      </c>
      <c r="K125" s="58">
        <f t="shared" si="11"/>
        <v>-1.4450000000000001</v>
      </c>
      <c r="L125" s="58">
        <f t="shared" si="12"/>
        <v>2.088025</v>
      </c>
    </row>
    <row r="126" spans="3:19" x14ac:dyDescent="0.25">
      <c r="C126" s="5">
        <v>124</v>
      </c>
      <c r="D126" s="5" t="s">
        <v>20</v>
      </c>
      <c r="E126" s="5">
        <v>204.64</v>
      </c>
      <c r="F126" s="5">
        <v>209.58</v>
      </c>
      <c r="G126" s="5">
        <f t="shared" si="9"/>
        <v>32.793522267206306</v>
      </c>
      <c r="H126" s="5">
        <v>3.09</v>
      </c>
      <c r="I126" s="5">
        <v>3.09</v>
      </c>
      <c r="J126" s="5">
        <f t="shared" si="10"/>
        <v>3.09</v>
      </c>
      <c r="K126" s="58">
        <f t="shared" si="11"/>
        <v>-7.5000000000000178E-2</v>
      </c>
      <c r="L126" s="58">
        <f t="shared" si="12"/>
        <v>5.6250000000000267E-3</v>
      </c>
    </row>
    <row r="127" spans="3:19" x14ac:dyDescent="0.25">
      <c r="C127" s="5">
        <v>125</v>
      </c>
      <c r="D127" s="5" t="s">
        <v>20</v>
      </c>
      <c r="E127" s="5">
        <v>206.52</v>
      </c>
      <c r="F127" s="5">
        <v>210.82</v>
      </c>
      <c r="G127" s="5">
        <f t="shared" si="9"/>
        <v>37.674418604651315</v>
      </c>
      <c r="H127" s="5">
        <v>2.61</v>
      </c>
      <c r="I127" s="5">
        <v>2.61</v>
      </c>
      <c r="J127" s="5">
        <f t="shared" si="10"/>
        <v>2.61</v>
      </c>
      <c r="K127" s="58">
        <f t="shared" si="11"/>
        <v>-0.55500000000000016</v>
      </c>
      <c r="L127" s="58">
        <f t="shared" si="12"/>
        <v>0.30802500000000016</v>
      </c>
    </row>
    <row r="128" spans="3:19" x14ac:dyDescent="0.25">
      <c r="C128" s="5">
        <v>126</v>
      </c>
      <c r="D128" s="5" t="s">
        <v>18</v>
      </c>
      <c r="E128" s="5">
        <v>212.92</v>
      </c>
      <c r="F128" s="5">
        <v>218.84</v>
      </c>
      <c r="G128" s="5">
        <f t="shared" si="9"/>
        <v>27.364864864864792</v>
      </c>
      <c r="H128" s="5">
        <v>2.14</v>
      </c>
      <c r="I128" s="5">
        <v>2.14</v>
      </c>
      <c r="J128" s="5">
        <f t="shared" si="10"/>
        <v>2.14</v>
      </c>
      <c r="K128" s="58">
        <f t="shared" si="11"/>
        <v>-1.0249999999999999</v>
      </c>
      <c r="L128" s="58">
        <f t="shared" si="12"/>
        <v>1.0506249999999999</v>
      </c>
    </row>
    <row r="129" spans="3:16" x14ac:dyDescent="0.25">
      <c r="C129" s="5">
        <v>127</v>
      </c>
      <c r="D129" s="5" t="s">
        <v>18</v>
      </c>
      <c r="E129" s="5">
        <v>213.52</v>
      </c>
      <c r="F129" s="5">
        <v>218.34</v>
      </c>
      <c r="G129" s="5">
        <f t="shared" si="9"/>
        <v>33.609958506224118</v>
      </c>
      <c r="H129" s="5">
        <v>3.56</v>
      </c>
      <c r="I129" s="5">
        <v>3.56</v>
      </c>
      <c r="J129" s="5">
        <f t="shared" si="10"/>
        <v>3.56</v>
      </c>
      <c r="K129" s="58">
        <f t="shared" si="11"/>
        <v>0.39500000000000002</v>
      </c>
      <c r="L129" s="58">
        <f t="shared" si="12"/>
        <v>0.15602500000000002</v>
      </c>
    </row>
    <row r="130" spans="3:16" x14ac:dyDescent="0.25">
      <c r="C130" s="5">
        <v>128</v>
      </c>
      <c r="D130" s="5" t="s">
        <v>24</v>
      </c>
      <c r="E130" s="5">
        <v>212.96</v>
      </c>
      <c r="F130" s="5">
        <v>227.36</v>
      </c>
      <c r="G130" s="5">
        <f t="shared" si="9"/>
        <v>11.249999999999995</v>
      </c>
      <c r="H130" s="5">
        <v>0.64</v>
      </c>
      <c r="I130" s="5">
        <v>0.64</v>
      </c>
      <c r="J130" s="5">
        <f t="shared" si="10"/>
        <v>0.64</v>
      </c>
      <c r="K130" s="58">
        <f t="shared" si="11"/>
        <v>-2.5249999999999999</v>
      </c>
      <c r="L130" s="58">
        <f t="shared" si="12"/>
        <v>6.3756249999999994</v>
      </c>
    </row>
    <row r="131" spans="3:16" x14ac:dyDescent="0.25">
      <c r="C131" s="5">
        <v>129</v>
      </c>
      <c r="D131" s="5" t="s">
        <v>19</v>
      </c>
      <c r="E131" s="5">
        <v>214.84</v>
      </c>
      <c r="F131" s="5">
        <v>219.52</v>
      </c>
      <c r="G131" s="5">
        <f t="shared" si="9"/>
        <v>34.615384615384563</v>
      </c>
      <c r="H131" s="5">
        <v>3.67</v>
      </c>
      <c r="I131" s="5">
        <v>4.8600000000000003</v>
      </c>
      <c r="J131" s="5">
        <f t="shared" si="10"/>
        <v>4.2650000000000006</v>
      </c>
      <c r="K131" s="58">
        <f t="shared" si="11"/>
        <v>1.1000000000000005</v>
      </c>
      <c r="L131" s="58">
        <f t="shared" si="12"/>
        <v>1.2100000000000011</v>
      </c>
    </row>
    <row r="132" spans="3:16" x14ac:dyDescent="0.25">
      <c r="C132" s="5">
        <v>130</v>
      </c>
      <c r="D132" s="9" t="s">
        <v>19</v>
      </c>
      <c r="E132" s="5">
        <v>216.04</v>
      </c>
      <c r="F132" s="5">
        <v>220.64</v>
      </c>
      <c r="G132" s="5">
        <f t="shared" ref="G132:G183" si="18">$A$3/(F132-E132)*3.6</f>
        <v>35.217391304347871</v>
      </c>
      <c r="H132" s="5">
        <v>3.02</v>
      </c>
      <c r="I132" s="5">
        <v>4.34</v>
      </c>
      <c r="J132" s="5">
        <f t="shared" ref="J132:J183" si="19">(H132+I132)/2</f>
        <v>3.6799999999999997</v>
      </c>
      <c r="K132" s="58">
        <f t="shared" ref="K132:K183" si="20">J132-3.165</f>
        <v>0.51499999999999968</v>
      </c>
      <c r="L132" s="58">
        <f t="shared" ref="L132:L183" si="21">K132*K132</f>
        <v>0.26522499999999966</v>
      </c>
    </row>
    <row r="133" spans="3:16" x14ac:dyDescent="0.25">
      <c r="C133" s="5">
        <v>131</v>
      </c>
      <c r="D133" s="5" t="s">
        <v>19</v>
      </c>
      <c r="E133" s="5">
        <v>217.88</v>
      </c>
      <c r="F133" s="5">
        <v>222.76</v>
      </c>
      <c r="G133" s="5">
        <f t="shared" si="18"/>
        <v>33.196721311475443</v>
      </c>
      <c r="H133" s="5">
        <v>2.2599999999999998</v>
      </c>
      <c r="I133" s="5">
        <v>3.63</v>
      </c>
      <c r="J133" s="5">
        <f t="shared" si="19"/>
        <v>2.9449999999999998</v>
      </c>
      <c r="K133" s="58">
        <f t="shared" si="20"/>
        <v>-0.2200000000000002</v>
      </c>
      <c r="L133" s="58">
        <f t="shared" si="21"/>
        <v>4.8400000000000089E-2</v>
      </c>
    </row>
    <row r="134" spans="3:16" x14ac:dyDescent="0.25">
      <c r="C134" s="5">
        <v>132</v>
      </c>
      <c r="D134" s="5" t="s">
        <v>19</v>
      </c>
      <c r="E134" s="5">
        <v>219.44</v>
      </c>
      <c r="F134" s="5">
        <v>223.98</v>
      </c>
      <c r="G134" s="5">
        <f t="shared" si="18"/>
        <v>35.682819383259975</v>
      </c>
      <c r="H134" s="5">
        <v>1.72</v>
      </c>
      <c r="I134" s="5">
        <v>3.04</v>
      </c>
      <c r="J134" s="5">
        <f t="shared" si="19"/>
        <v>2.38</v>
      </c>
      <c r="K134" s="58">
        <f t="shared" si="20"/>
        <v>-0.78500000000000014</v>
      </c>
      <c r="L134" s="58">
        <f t="shared" si="21"/>
        <v>0.61622500000000024</v>
      </c>
    </row>
    <row r="135" spans="3:16" ht="19.5" customHeight="1" x14ac:dyDescent="0.25">
      <c r="C135" s="5">
        <v>133</v>
      </c>
      <c r="D135" s="5" t="s">
        <v>19</v>
      </c>
      <c r="E135" s="5">
        <v>220.8</v>
      </c>
      <c r="F135" s="5">
        <v>225.28</v>
      </c>
      <c r="G135" s="5">
        <f t="shared" si="18"/>
        <v>36.16071428571437</v>
      </c>
      <c r="H135" s="5">
        <v>2.5</v>
      </c>
      <c r="I135" s="5">
        <v>3.96</v>
      </c>
      <c r="J135" s="5">
        <f t="shared" si="19"/>
        <v>3.23</v>
      </c>
      <c r="K135" s="58">
        <f t="shared" si="20"/>
        <v>6.4999999999999947E-2</v>
      </c>
      <c r="L135" s="58">
        <f t="shared" si="21"/>
        <v>4.2249999999999927E-3</v>
      </c>
      <c r="P135" s="24">
        <f>SUM(J3:J183)/181</f>
        <v>3.1647513812154697</v>
      </c>
    </row>
    <row r="136" spans="3:16" x14ac:dyDescent="0.25">
      <c r="C136" s="5">
        <v>134</v>
      </c>
      <c r="D136" s="5" t="s">
        <v>19</v>
      </c>
      <c r="E136" s="5">
        <v>222.04</v>
      </c>
      <c r="F136" s="5">
        <v>226.04</v>
      </c>
      <c r="G136" s="5">
        <f t="shared" si="18"/>
        <v>40.5</v>
      </c>
      <c r="H136" s="5">
        <v>3.14</v>
      </c>
      <c r="I136" s="5">
        <v>4.58</v>
      </c>
      <c r="J136" s="5">
        <f t="shared" si="19"/>
        <v>3.8600000000000003</v>
      </c>
      <c r="K136" s="58">
        <f t="shared" si="20"/>
        <v>0.69500000000000028</v>
      </c>
      <c r="L136" s="58">
        <f t="shared" si="21"/>
        <v>0.48302500000000037</v>
      </c>
    </row>
    <row r="137" spans="3:16" x14ac:dyDescent="0.25">
      <c r="C137" s="5">
        <v>135</v>
      </c>
      <c r="D137" s="5" t="s">
        <v>19</v>
      </c>
      <c r="E137" s="5">
        <v>222.24</v>
      </c>
      <c r="F137" s="5">
        <v>227</v>
      </c>
      <c r="G137" s="5">
        <f t="shared" si="18"/>
        <v>34.033613445378215</v>
      </c>
      <c r="H137" s="5">
        <v>1.93</v>
      </c>
      <c r="I137" s="5">
        <v>3.51</v>
      </c>
      <c r="J137" s="5">
        <f t="shared" si="19"/>
        <v>2.7199999999999998</v>
      </c>
      <c r="K137" s="58">
        <f t="shared" si="20"/>
        <v>-0.44500000000000028</v>
      </c>
      <c r="L137" s="58">
        <f t="shared" si="21"/>
        <v>0.19802500000000026</v>
      </c>
    </row>
    <row r="138" spans="3:16" x14ac:dyDescent="0.25">
      <c r="C138" s="5">
        <v>136</v>
      </c>
      <c r="D138" s="5" t="s">
        <v>19</v>
      </c>
      <c r="E138" s="5">
        <v>223.2</v>
      </c>
      <c r="F138" s="5">
        <v>227.8</v>
      </c>
      <c r="G138" s="5">
        <f t="shared" si="18"/>
        <v>35.217391304347657</v>
      </c>
      <c r="H138" s="5">
        <v>3.63</v>
      </c>
      <c r="I138" s="5">
        <v>4.97</v>
      </c>
      <c r="J138" s="5">
        <f t="shared" si="19"/>
        <v>4.3</v>
      </c>
      <c r="K138" s="58">
        <f t="shared" si="20"/>
        <v>1.1349999999999998</v>
      </c>
      <c r="L138" s="58">
        <f t="shared" si="21"/>
        <v>1.2882249999999995</v>
      </c>
    </row>
    <row r="139" spans="3:16" x14ac:dyDescent="0.25">
      <c r="C139" s="5">
        <v>137</v>
      </c>
      <c r="D139" s="5" t="s">
        <v>19</v>
      </c>
      <c r="E139" s="5">
        <v>224.48</v>
      </c>
      <c r="F139" s="5">
        <v>229.18</v>
      </c>
      <c r="G139" s="5">
        <f t="shared" si="18"/>
        <v>34.468085106382851</v>
      </c>
      <c r="H139" s="5">
        <v>2.52</v>
      </c>
      <c r="I139" s="5">
        <v>3.77</v>
      </c>
      <c r="J139" s="5">
        <f t="shared" si="19"/>
        <v>3.145</v>
      </c>
      <c r="K139" s="58">
        <f t="shared" si="20"/>
        <v>-2.0000000000000018E-2</v>
      </c>
      <c r="L139" s="58">
        <f t="shared" si="21"/>
        <v>4.0000000000000072E-4</v>
      </c>
      <c r="O139" s="24" t="s">
        <v>54</v>
      </c>
      <c r="P139" s="24">
        <f>((SUM(L3:L183))/181)^0.5</f>
        <v>1.2251178204699946</v>
      </c>
    </row>
    <row r="140" spans="3:16" x14ac:dyDescent="0.25">
      <c r="C140" s="5">
        <v>138</v>
      </c>
      <c r="D140" s="5" t="s">
        <v>19</v>
      </c>
      <c r="E140" s="5">
        <v>226.36</v>
      </c>
      <c r="F140" s="5">
        <v>230.52</v>
      </c>
      <c r="G140" s="5">
        <f t="shared" si="18"/>
        <v>38.942307692307722</v>
      </c>
      <c r="H140" s="5">
        <v>3.09</v>
      </c>
      <c r="I140" s="5">
        <v>4.38</v>
      </c>
      <c r="J140" s="5">
        <f t="shared" si="19"/>
        <v>3.7349999999999999</v>
      </c>
      <c r="K140" s="58">
        <f t="shared" si="20"/>
        <v>0.56999999999999984</v>
      </c>
      <c r="L140" s="58">
        <f t="shared" si="21"/>
        <v>0.3248999999999998</v>
      </c>
    </row>
    <row r="141" spans="3:16" x14ac:dyDescent="0.25">
      <c r="C141" s="5">
        <v>139</v>
      </c>
      <c r="D141" s="5" t="s">
        <v>19</v>
      </c>
      <c r="E141" s="5">
        <v>228.28</v>
      </c>
      <c r="F141" s="5">
        <v>233.72</v>
      </c>
      <c r="G141" s="5">
        <f t="shared" si="18"/>
        <v>29.779411764705895</v>
      </c>
      <c r="H141" s="5">
        <v>2.92</v>
      </c>
      <c r="I141" s="5">
        <v>4.22</v>
      </c>
      <c r="J141" s="5">
        <f t="shared" si="19"/>
        <v>3.57</v>
      </c>
      <c r="K141" s="58">
        <f t="shared" si="20"/>
        <v>0.4049999999999998</v>
      </c>
      <c r="L141" s="58">
        <f t="shared" si="21"/>
        <v>0.16402499999999984</v>
      </c>
    </row>
    <row r="142" spans="3:16" x14ac:dyDescent="0.25">
      <c r="C142" s="5">
        <v>140</v>
      </c>
      <c r="D142" s="5" t="s">
        <v>19</v>
      </c>
      <c r="E142" s="5">
        <v>230.8</v>
      </c>
      <c r="F142" s="5">
        <v>234.76</v>
      </c>
      <c r="G142" s="5">
        <f t="shared" si="18"/>
        <v>40.90909090909112</v>
      </c>
      <c r="H142" s="5">
        <v>2.29</v>
      </c>
      <c r="I142" s="5">
        <v>3.8</v>
      </c>
      <c r="J142" s="5">
        <f t="shared" si="19"/>
        <v>3.0449999999999999</v>
      </c>
      <c r="K142" s="58">
        <f t="shared" si="20"/>
        <v>-0.12000000000000011</v>
      </c>
      <c r="L142" s="58">
        <f t="shared" si="21"/>
        <v>1.4400000000000026E-2</v>
      </c>
    </row>
    <row r="143" spans="3:16" x14ac:dyDescent="0.25">
      <c r="C143" s="5">
        <v>141</v>
      </c>
      <c r="D143" s="5" t="s">
        <v>20</v>
      </c>
      <c r="E143" s="5">
        <v>233.84</v>
      </c>
      <c r="F143" s="5">
        <v>237.16</v>
      </c>
      <c r="G143" s="5">
        <f t="shared" si="18"/>
        <v>48.795180722891672</v>
      </c>
      <c r="H143" s="5">
        <v>2.4500000000000002</v>
      </c>
      <c r="I143" s="5">
        <v>2.4500000000000002</v>
      </c>
      <c r="J143" s="5">
        <f t="shared" si="19"/>
        <v>2.4500000000000002</v>
      </c>
      <c r="K143" s="58">
        <f t="shared" si="20"/>
        <v>-0.71499999999999986</v>
      </c>
      <c r="L143" s="58">
        <f t="shared" si="21"/>
        <v>0.51122499999999982</v>
      </c>
    </row>
    <row r="144" spans="3:16" x14ac:dyDescent="0.25">
      <c r="C144" s="5">
        <v>142</v>
      </c>
      <c r="D144" s="5" t="s">
        <v>20</v>
      </c>
      <c r="E144" s="5">
        <v>249.04</v>
      </c>
      <c r="F144" s="5">
        <v>252.72</v>
      </c>
      <c r="G144" s="5">
        <f t="shared" si="18"/>
        <v>44.021739130434703</v>
      </c>
      <c r="H144" s="5">
        <v>2.08</v>
      </c>
      <c r="I144" s="5">
        <v>2.08</v>
      </c>
      <c r="J144" s="5">
        <f t="shared" si="19"/>
        <v>2.08</v>
      </c>
      <c r="K144" s="58">
        <f t="shared" si="20"/>
        <v>-1.085</v>
      </c>
      <c r="L144" s="58">
        <f t="shared" si="21"/>
        <v>1.177225</v>
      </c>
    </row>
    <row r="145" spans="3:12" x14ac:dyDescent="0.25">
      <c r="C145" s="5">
        <v>143</v>
      </c>
      <c r="D145" s="5" t="s">
        <v>19</v>
      </c>
      <c r="E145" s="5">
        <v>253.88</v>
      </c>
      <c r="F145" s="5">
        <v>257.22000000000003</v>
      </c>
      <c r="G145" s="5">
        <f t="shared" si="18"/>
        <v>48.502994011975588</v>
      </c>
      <c r="H145" s="5">
        <v>2.87</v>
      </c>
      <c r="I145" s="5">
        <v>4.43</v>
      </c>
      <c r="J145" s="5">
        <f t="shared" si="19"/>
        <v>3.65</v>
      </c>
      <c r="K145" s="58">
        <f t="shared" si="20"/>
        <v>0.48499999999999988</v>
      </c>
      <c r="L145" s="58">
        <f t="shared" si="21"/>
        <v>0.23522499999999988</v>
      </c>
    </row>
    <row r="146" spans="3:12" x14ac:dyDescent="0.25">
      <c r="C146" s="5">
        <v>144</v>
      </c>
      <c r="D146" s="5" t="s">
        <v>22</v>
      </c>
      <c r="E146" s="5">
        <v>255.52</v>
      </c>
      <c r="F146" s="5">
        <v>261.32</v>
      </c>
      <c r="G146" s="5">
        <f t="shared" si="18"/>
        <v>27.931034482758701</v>
      </c>
      <c r="H146" s="5">
        <v>1.94</v>
      </c>
      <c r="I146" s="5">
        <v>4.29</v>
      </c>
      <c r="J146" s="5">
        <f t="shared" si="19"/>
        <v>3.1150000000000002</v>
      </c>
      <c r="K146" s="58">
        <f t="shared" si="20"/>
        <v>-4.9999999999999822E-2</v>
      </c>
      <c r="L146" s="58">
        <f t="shared" si="21"/>
        <v>2.4999999999999823E-3</v>
      </c>
    </row>
    <row r="147" spans="3:12" x14ac:dyDescent="0.25">
      <c r="C147" s="5">
        <v>145</v>
      </c>
      <c r="D147" s="5" t="s">
        <v>24</v>
      </c>
      <c r="E147" s="5">
        <v>256.04000000000002</v>
      </c>
      <c r="F147" s="5">
        <v>265.36</v>
      </c>
      <c r="G147" s="5">
        <f t="shared" si="18"/>
        <v>17.381974248927051</v>
      </c>
      <c r="H147" s="5">
        <v>0.36</v>
      </c>
      <c r="I147" s="5">
        <v>0.36</v>
      </c>
      <c r="J147" s="5">
        <f t="shared" si="19"/>
        <v>0.36</v>
      </c>
      <c r="K147" s="58">
        <f t="shared" si="20"/>
        <v>-2.8050000000000002</v>
      </c>
      <c r="L147" s="58">
        <f t="shared" si="21"/>
        <v>7.8680250000000012</v>
      </c>
    </row>
    <row r="148" spans="3:12" x14ac:dyDescent="0.25">
      <c r="C148" s="5">
        <v>146</v>
      </c>
      <c r="D148" s="5" t="s">
        <v>19</v>
      </c>
      <c r="E148" s="5">
        <v>257.68</v>
      </c>
      <c r="F148" s="5">
        <v>261.10000000000002</v>
      </c>
      <c r="G148" s="5">
        <f t="shared" si="18"/>
        <v>47.368421052631362</v>
      </c>
      <c r="H148" s="5">
        <v>6.2</v>
      </c>
      <c r="I148" s="5">
        <v>7.49</v>
      </c>
      <c r="J148" s="5">
        <f t="shared" si="19"/>
        <v>6.8450000000000006</v>
      </c>
      <c r="K148" s="58">
        <f t="shared" si="20"/>
        <v>3.6800000000000006</v>
      </c>
      <c r="L148" s="58">
        <f t="shared" si="21"/>
        <v>13.542400000000004</v>
      </c>
    </row>
    <row r="149" spans="3:12" x14ac:dyDescent="0.25">
      <c r="C149" s="5">
        <v>147</v>
      </c>
      <c r="D149" s="5" t="s">
        <v>19</v>
      </c>
      <c r="E149" s="5">
        <v>262.76</v>
      </c>
      <c r="F149" s="5">
        <v>267.72000000000003</v>
      </c>
      <c r="G149" s="5">
        <f t="shared" si="18"/>
        <v>32.661290322580406</v>
      </c>
      <c r="H149" s="5">
        <v>3.37</v>
      </c>
      <c r="I149" s="5">
        <v>4.57</v>
      </c>
      <c r="J149" s="5">
        <f t="shared" si="19"/>
        <v>3.97</v>
      </c>
      <c r="K149" s="58">
        <f t="shared" si="20"/>
        <v>0.80500000000000016</v>
      </c>
      <c r="L149" s="58">
        <f t="shared" si="21"/>
        <v>0.6480250000000003</v>
      </c>
    </row>
    <row r="150" spans="3:12" x14ac:dyDescent="0.25">
      <c r="C150" s="5">
        <v>148</v>
      </c>
      <c r="D150" s="5" t="s">
        <v>18</v>
      </c>
      <c r="E150" s="5">
        <v>263.72000000000003</v>
      </c>
      <c r="F150" s="5">
        <v>271.12</v>
      </c>
      <c r="G150" s="5">
        <f t="shared" si="18"/>
        <v>21.891891891891959</v>
      </c>
      <c r="H150" s="5">
        <v>2.74</v>
      </c>
      <c r="I150" s="5">
        <v>2.74</v>
      </c>
      <c r="J150" s="5">
        <f t="shared" si="19"/>
        <v>2.74</v>
      </c>
      <c r="K150" s="58">
        <f t="shared" si="20"/>
        <v>-0.42499999999999982</v>
      </c>
      <c r="L150" s="58">
        <f t="shared" si="21"/>
        <v>0.18062499999999984</v>
      </c>
    </row>
    <row r="151" spans="3:12" x14ac:dyDescent="0.25">
      <c r="C151" s="5">
        <v>149</v>
      </c>
      <c r="D151" s="5" t="s">
        <v>22</v>
      </c>
      <c r="E151" s="5">
        <v>264</v>
      </c>
      <c r="F151" s="5">
        <v>268.72000000000003</v>
      </c>
      <c r="G151" s="5">
        <f t="shared" si="18"/>
        <v>34.322033898304888</v>
      </c>
      <c r="H151" s="5">
        <v>4.0999999999999996</v>
      </c>
      <c r="I151" s="5">
        <v>6.34</v>
      </c>
      <c r="J151" s="5">
        <f t="shared" si="19"/>
        <v>5.22</v>
      </c>
      <c r="K151" s="58">
        <f t="shared" si="20"/>
        <v>2.0549999999999997</v>
      </c>
      <c r="L151" s="58">
        <f t="shared" si="21"/>
        <v>4.2230249999999989</v>
      </c>
    </row>
    <row r="152" spans="3:12" x14ac:dyDescent="0.25">
      <c r="C152" s="5">
        <v>150</v>
      </c>
      <c r="D152" s="5" t="s">
        <v>20</v>
      </c>
      <c r="E152" s="5">
        <v>264.27999999999997</v>
      </c>
      <c r="F152" s="5">
        <v>267.77999999999997</v>
      </c>
      <c r="G152" s="5">
        <f t="shared" si="18"/>
        <v>46.285714285714292</v>
      </c>
      <c r="H152" s="5">
        <v>6.79</v>
      </c>
      <c r="I152" s="5">
        <v>6.79</v>
      </c>
      <c r="J152" s="5">
        <f t="shared" si="19"/>
        <v>6.79</v>
      </c>
      <c r="K152" s="58">
        <f t="shared" si="20"/>
        <v>3.625</v>
      </c>
      <c r="L152" s="58">
        <f t="shared" si="21"/>
        <v>13.140625</v>
      </c>
    </row>
    <row r="153" spans="3:12" x14ac:dyDescent="0.25">
      <c r="C153" s="5">
        <v>151</v>
      </c>
      <c r="D153" s="5" t="s">
        <v>20</v>
      </c>
      <c r="E153" s="5">
        <v>266.16000000000003</v>
      </c>
      <c r="F153" s="5">
        <v>270.04000000000002</v>
      </c>
      <c r="G153" s="5">
        <f t="shared" si="18"/>
        <v>41.752577319587679</v>
      </c>
      <c r="H153" s="5">
        <v>3.67</v>
      </c>
      <c r="I153" s="5">
        <v>3.67</v>
      </c>
      <c r="J153" s="5">
        <f t="shared" si="19"/>
        <v>3.67</v>
      </c>
      <c r="K153" s="58">
        <f t="shared" si="20"/>
        <v>0.50499999999999989</v>
      </c>
      <c r="L153" s="58">
        <f t="shared" si="21"/>
        <v>0.25502499999999989</v>
      </c>
    </row>
    <row r="154" spans="3:12" x14ac:dyDescent="0.25">
      <c r="C154" s="5">
        <v>152</v>
      </c>
      <c r="D154" s="5" t="s">
        <v>19</v>
      </c>
      <c r="E154" s="5">
        <v>266.88</v>
      </c>
      <c r="F154" s="5">
        <v>271.24</v>
      </c>
      <c r="G154" s="5">
        <f t="shared" si="18"/>
        <v>37.155963302752177</v>
      </c>
      <c r="H154" s="5">
        <v>4.72</v>
      </c>
      <c r="I154" s="5">
        <v>5.87</v>
      </c>
      <c r="J154" s="5">
        <f t="shared" si="19"/>
        <v>5.2949999999999999</v>
      </c>
      <c r="K154" s="58">
        <f t="shared" si="20"/>
        <v>2.13</v>
      </c>
      <c r="L154" s="58">
        <f t="shared" si="21"/>
        <v>4.5368999999999993</v>
      </c>
    </row>
    <row r="155" spans="3:12" x14ac:dyDescent="0.25">
      <c r="C155" s="5">
        <v>153</v>
      </c>
      <c r="D155" s="5" t="s">
        <v>20</v>
      </c>
      <c r="E155" s="5">
        <v>267.39999999999998</v>
      </c>
      <c r="F155" s="5">
        <v>270.27999999999997</v>
      </c>
      <c r="G155" s="5">
        <f t="shared" si="18"/>
        <v>56.250000000000092</v>
      </c>
      <c r="H155" s="5">
        <v>5.3</v>
      </c>
      <c r="I155" s="5">
        <v>5.3</v>
      </c>
      <c r="J155" s="5">
        <f t="shared" si="19"/>
        <v>5.3</v>
      </c>
      <c r="K155" s="58">
        <f t="shared" si="20"/>
        <v>2.1349999999999998</v>
      </c>
      <c r="L155" s="58">
        <f t="shared" si="21"/>
        <v>4.5582249999999993</v>
      </c>
    </row>
    <row r="156" spans="3:12" x14ac:dyDescent="0.25">
      <c r="C156" s="5">
        <v>154</v>
      </c>
      <c r="D156" s="5" t="s">
        <v>18</v>
      </c>
      <c r="E156" s="5">
        <v>268.52</v>
      </c>
      <c r="F156" s="5">
        <v>273.52</v>
      </c>
      <c r="G156" s="5">
        <f t="shared" si="18"/>
        <v>32.4</v>
      </c>
      <c r="H156" s="5">
        <v>4.7300000000000004</v>
      </c>
      <c r="I156" s="5">
        <v>4.7300000000000004</v>
      </c>
      <c r="J156" s="5">
        <f t="shared" si="19"/>
        <v>4.7300000000000004</v>
      </c>
      <c r="K156" s="58">
        <f t="shared" si="20"/>
        <v>1.5650000000000004</v>
      </c>
      <c r="L156" s="58">
        <f t="shared" si="21"/>
        <v>2.4492250000000011</v>
      </c>
    </row>
    <row r="157" spans="3:12" x14ac:dyDescent="0.25">
      <c r="C157" s="5">
        <v>155</v>
      </c>
      <c r="D157" s="5" t="s">
        <v>19</v>
      </c>
      <c r="E157" s="5">
        <v>269</v>
      </c>
      <c r="F157" s="5">
        <v>273.27999999999997</v>
      </c>
      <c r="G157" s="5">
        <f t="shared" si="18"/>
        <v>37.850467289719866</v>
      </c>
      <c r="H157" s="5">
        <v>1.53</v>
      </c>
      <c r="I157" s="5">
        <v>3.06</v>
      </c>
      <c r="J157" s="5">
        <f t="shared" si="19"/>
        <v>2.2949999999999999</v>
      </c>
      <c r="K157" s="58">
        <f t="shared" si="20"/>
        <v>-0.87000000000000011</v>
      </c>
      <c r="L157" s="58">
        <f t="shared" si="21"/>
        <v>0.75690000000000024</v>
      </c>
    </row>
    <row r="158" spans="3:12" x14ac:dyDescent="0.25">
      <c r="C158" s="5">
        <v>156</v>
      </c>
      <c r="D158" s="5" t="s">
        <v>20</v>
      </c>
      <c r="E158" s="5">
        <v>270.44</v>
      </c>
      <c r="F158" s="5">
        <v>274.44</v>
      </c>
      <c r="G158" s="5">
        <f t="shared" si="18"/>
        <v>40.5</v>
      </c>
      <c r="H158" s="5">
        <v>2.19</v>
      </c>
      <c r="I158" s="5">
        <v>2.19</v>
      </c>
      <c r="J158" s="5">
        <f t="shared" si="19"/>
        <v>2.19</v>
      </c>
      <c r="K158" s="58">
        <f t="shared" si="20"/>
        <v>-0.97500000000000009</v>
      </c>
      <c r="L158" s="58">
        <f t="shared" si="21"/>
        <v>0.95062500000000016</v>
      </c>
    </row>
    <row r="159" spans="3:12" x14ac:dyDescent="0.25">
      <c r="C159" s="5">
        <v>157</v>
      </c>
      <c r="D159" s="5" t="s">
        <v>19</v>
      </c>
      <c r="E159" s="5">
        <v>270.52</v>
      </c>
      <c r="F159" s="5">
        <v>274.83999999999997</v>
      </c>
      <c r="G159" s="5">
        <f t="shared" si="18"/>
        <v>37.500000000000064</v>
      </c>
      <c r="H159" s="5">
        <v>3.65</v>
      </c>
      <c r="I159" s="5">
        <v>4.9000000000000004</v>
      </c>
      <c r="J159" s="5">
        <f t="shared" si="19"/>
        <v>4.2750000000000004</v>
      </c>
      <c r="K159" s="58">
        <f t="shared" si="20"/>
        <v>1.1100000000000003</v>
      </c>
      <c r="L159" s="58">
        <f t="shared" si="21"/>
        <v>1.2321000000000006</v>
      </c>
    </row>
    <row r="160" spans="3:12" x14ac:dyDescent="0.25">
      <c r="C160" s="5">
        <v>158</v>
      </c>
      <c r="D160" s="5" t="s">
        <v>19</v>
      </c>
      <c r="E160" s="5">
        <v>271.8</v>
      </c>
      <c r="F160" s="5">
        <v>275.94</v>
      </c>
      <c r="G160" s="5">
        <f t="shared" si="18"/>
        <v>39.130434782608823</v>
      </c>
      <c r="H160" s="5">
        <v>3.18</v>
      </c>
      <c r="I160" s="5">
        <v>4.62</v>
      </c>
      <c r="J160" s="5">
        <f t="shared" si="19"/>
        <v>3.9000000000000004</v>
      </c>
      <c r="K160" s="58">
        <f t="shared" si="20"/>
        <v>0.73500000000000032</v>
      </c>
      <c r="L160" s="58">
        <f t="shared" si="21"/>
        <v>0.54022500000000051</v>
      </c>
    </row>
    <row r="161" spans="3:12" x14ac:dyDescent="0.25">
      <c r="C161" s="5">
        <v>159</v>
      </c>
      <c r="D161" s="5" t="s">
        <v>20</v>
      </c>
      <c r="E161" s="5">
        <v>272.16000000000003</v>
      </c>
      <c r="F161" s="5">
        <v>276.89999999999998</v>
      </c>
      <c r="G161" s="5">
        <f t="shared" si="18"/>
        <v>34.177215189873763</v>
      </c>
      <c r="H161" s="5">
        <v>1.34</v>
      </c>
      <c r="I161" s="5">
        <v>1.34</v>
      </c>
      <c r="J161" s="5">
        <f t="shared" si="19"/>
        <v>1.34</v>
      </c>
      <c r="K161" s="58">
        <f t="shared" si="20"/>
        <v>-1.825</v>
      </c>
      <c r="L161" s="58">
        <f t="shared" si="21"/>
        <v>3.3306249999999999</v>
      </c>
    </row>
    <row r="162" spans="3:12" x14ac:dyDescent="0.25">
      <c r="C162" s="5">
        <v>160</v>
      </c>
      <c r="D162" s="5" t="s">
        <v>19</v>
      </c>
      <c r="E162" s="5">
        <v>272.8</v>
      </c>
      <c r="F162" s="5">
        <v>277.04000000000002</v>
      </c>
      <c r="G162" s="5">
        <f t="shared" si="18"/>
        <v>38.207547169811235</v>
      </c>
      <c r="H162" s="5">
        <v>3.77</v>
      </c>
      <c r="I162" s="5">
        <v>4.92</v>
      </c>
      <c r="J162" s="5">
        <f t="shared" si="19"/>
        <v>4.3449999999999998</v>
      </c>
      <c r="K162" s="58">
        <f t="shared" si="20"/>
        <v>1.1799999999999997</v>
      </c>
      <c r="L162" s="58">
        <f t="shared" si="21"/>
        <v>1.3923999999999994</v>
      </c>
    </row>
    <row r="163" spans="3:12" x14ac:dyDescent="0.25">
      <c r="C163" s="5">
        <v>161</v>
      </c>
      <c r="D163" s="5" t="s">
        <v>24</v>
      </c>
      <c r="E163" s="5">
        <v>272.56</v>
      </c>
      <c r="F163" s="5">
        <v>282.52</v>
      </c>
      <c r="G163" s="5">
        <f t="shared" si="18"/>
        <v>16.265060240963887</v>
      </c>
      <c r="H163" s="5">
        <v>0.57999999999999996</v>
      </c>
      <c r="I163" s="5">
        <v>0.57999999999999996</v>
      </c>
      <c r="J163" s="5">
        <f t="shared" si="19"/>
        <v>0.57999999999999996</v>
      </c>
      <c r="K163" s="58">
        <f t="shared" si="20"/>
        <v>-2.585</v>
      </c>
      <c r="L163" s="58">
        <f t="shared" si="21"/>
        <v>6.6822249999999999</v>
      </c>
    </row>
    <row r="164" spans="3:12" x14ac:dyDescent="0.25">
      <c r="C164" s="5">
        <v>162</v>
      </c>
      <c r="D164" s="5" t="s">
        <v>19</v>
      </c>
      <c r="E164" s="5">
        <v>273.83999999999997</v>
      </c>
      <c r="F164" s="5">
        <v>278.2</v>
      </c>
      <c r="G164" s="5">
        <f t="shared" si="18"/>
        <v>37.155963302752177</v>
      </c>
      <c r="H164" s="5">
        <v>2.4300000000000002</v>
      </c>
      <c r="I164" s="5">
        <v>3.87</v>
      </c>
      <c r="J164" s="5">
        <f t="shared" si="19"/>
        <v>3.1500000000000004</v>
      </c>
      <c r="K164" s="58">
        <f t="shared" si="20"/>
        <v>-1.499999999999968E-2</v>
      </c>
      <c r="L164" s="58">
        <f t="shared" si="21"/>
        <v>2.249999999999904E-4</v>
      </c>
    </row>
    <row r="165" spans="3:12" x14ac:dyDescent="0.25">
      <c r="C165" s="5">
        <v>163</v>
      </c>
      <c r="D165" s="5" t="s">
        <v>19</v>
      </c>
      <c r="E165" s="5">
        <v>274.39999999999998</v>
      </c>
      <c r="F165" s="5">
        <v>279</v>
      </c>
      <c r="G165" s="5">
        <f t="shared" si="18"/>
        <v>35.217391304347657</v>
      </c>
      <c r="H165" s="5">
        <v>3.87</v>
      </c>
      <c r="I165" s="5">
        <v>5.07</v>
      </c>
      <c r="J165" s="5">
        <f t="shared" si="19"/>
        <v>4.4700000000000006</v>
      </c>
      <c r="K165" s="58">
        <f t="shared" si="20"/>
        <v>1.3050000000000006</v>
      </c>
      <c r="L165" s="58">
        <f t="shared" si="21"/>
        <v>1.7030250000000016</v>
      </c>
    </row>
    <row r="166" spans="3:12" x14ac:dyDescent="0.25">
      <c r="C166" s="5">
        <v>164</v>
      </c>
      <c r="D166" s="5" t="s">
        <v>19</v>
      </c>
      <c r="E166" s="5">
        <v>276.36</v>
      </c>
      <c r="F166" s="5">
        <v>280.75</v>
      </c>
      <c r="G166" s="5">
        <f t="shared" si="18"/>
        <v>36.902050113895335</v>
      </c>
      <c r="H166" s="5">
        <v>2.5499999999999998</v>
      </c>
      <c r="I166" s="5">
        <v>3.84</v>
      </c>
      <c r="J166" s="5">
        <f t="shared" si="19"/>
        <v>3.1949999999999998</v>
      </c>
      <c r="K166" s="58">
        <f t="shared" si="20"/>
        <v>2.9999999999999805E-2</v>
      </c>
      <c r="L166" s="58">
        <f t="shared" si="21"/>
        <v>8.9999999999998827E-4</v>
      </c>
    </row>
    <row r="167" spans="3:12" x14ac:dyDescent="0.25">
      <c r="C167" s="5">
        <v>165</v>
      </c>
      <c r="D167" s="5" t="s">
        <v>19</v>
      </c>
      <c r="E167" s="5">
        <v>278.08</v>
      </c>
      <c r="F167" s="5">
        <v>282.48</v>
      </c>
      <c r="G167" s="5">
        <f t="shared" si="18"/>
        <v>36.818181818181536</v>
      </c>
      <c r="H167" s="5">
        <v>2.99</v>
      </c>
      <c r="I167" s="5">
        <v>4.3600000000000003</v>
      </c>
      <c r="J167" s="5">
        <f t="shared" si="19"/>
        <v>3.6750000000000003</v>
      </c>
      <c r="K167" s="58">
        <f t="shared" si="20"/>
        <v>0.51000000000000023</v>
      </c>
      <c r="L167" s="58">
        <f t="shared" si="21"/>
        <v>0.26010000000000022</v>
      </c>
    </row>
    <row r="168" spans="3:12" x14ac:dyDescent="0.25">
      <c r="C168" s="5">
        <v>166</v>
      </c>
      <c r="D168" s="5" t="s">
        <v>20</v>
      </c>
      <c r="E168" s="5">
        <v>279.56</v>
      </c>
      <c r="F168" s="5">
        <v>282.88</v>
      </c>
      <c r="G168" s="5">
        <f t="shared" si="18"/>
        <v>48.795180722891672</v>
      </c>
      <c r="H168" s="5">
        <v>2.2599999999999998</v>
      </c>
      <c r="I168" s="5">
        <v>2.2599999999999998</v>
      </c>
      <c r="J168" s="5">
        <f t="shared" si="19"/>
        <v>2.2599999999999998</v>
      </c>
      <c r="K168" s="58">
        <f t="shared" si="20"/>
        <v>-0.90500000000000025</v>
      </c>
      <c r="L168" s="58">
        <f t="shared" si="21"/>
        <v>0.81902500000000045</v>
      </c>
    </row>
    <row r="169" spans="3:12" x14ac:dyDescent="0.25">
      <c r="C169" s="5">
        <v>167</v>
      </c>
      <c r="D169" s="5" t="s">
        <v>20</v>
      </c>
      <c r="E169" s="5">
        <v>280.2</v>
      </c>
      <c r="F169" s="5">
        <v>285.39999999999998</v>
      </c>
      <c r="G169" s="5">
        <f t="shared" si="18"/>
        <v>31.153846153846224</v>
      </c>
      <c r="H169" s="5">
        <v>2</v>
      </c>
      <c r="I169" s="5">
        <v>2</v>
      </c>
      <c r="J169" s="5">
        <f t="shared" si="19"/>
        <v>2</v>
      </c>
      <c r="K169" s="58">
        <f t="shared" si="20"/>
        <v>-1.165</v>
      </c>
      <c r="L169" s="58">
        <f t="shared" si="21"/>
        <v>1.3572250000000001</v>
      </c>
    </row>
    <row r="170" spans="3:12" x14ac:dyDescent="0.25">
      <c r="C170" s="5">
        <v>168</v>
      </c>
      <c r="D170" s="5" t="s">
        <v>19</v>
      </c>
      <c r="E170" s="5">
        <v>281</v>
      </c>
      <c r="F170" s="5">
        <v>284.26</v>
      </c>
      <c r="G170" s="5">
        <f t="shared" si="18"/>
        <v>49.693251533742469</v>
      </c>
      <c r="H170" s="5">
        <v>3.51</v>
      </c>
      <c r="I170" s="5">
        <v>4.88</v>
      </c>
      <c r="J170" s="5">
        <f t="shared" si="19"/>
        <v>4.1950000000000003</v>
      </c>
      <c r="K170" s="58">
        <f t="shared" si="20"/>
        <v>1.0300000000000002</v>
      </c>
      <c r="L170" s="58">
        <f t="shared" si="21"/>
        <v>1.0609000000000006</v>
      </c>
    </row>
    <row r="171" spans="3:12" x14ac:dyDescent="0.25">
      <c r="C171" s="5">
        <v>169</v>
      </c>
      <c r="D171" s="5" t="s">
        <v>22</v>
      </c>
      <c r="E171" s="5">
        <v>281.36</v>
      </c>
      <c r="F171" s="5">
        <v>285.88</v>
      </c>
      <c r="G171" s="5">
        <f t="shared" si="18"/>
        <v>35.840707964601911</v>
      </c>
      <c r="H171" s="5">
        <v>3.53</v>
      </c>
      <c r="I171" s="5">
        <v>4.8099999999999996</v>
      </c>
      <c r="J171" s="5">
        <f t="shared" si="19"/>
        <v>4.17</v>
      </c>
      <c r="K171" s="58">
        <f t="shared" si="20"/>
        <v>1.0049999999999999</v>
      </c>
      <c r="L171" s="58">
        <f t="shared" si="21"/>
        <v>1.0100249999999997</v>
      </c>
    </row>
    <row r="172" spans="3:12" x14ac:dyDescent="0.25">
      <c r="C172" s="5">
        <v>170</v>
      </c>
      <c r="D172" s="5" t="s">
        <v>20</v>
      </c>
      <c r="E172" s="5">
        <v>281.92</v>
      </c>
      <c r="F172" s="5">
        <v>285.98</v>
      </c>
      <c r="G172" s="5">
        <f t="shared" si="18"/>
        <v>39.901477832512299</v>
      </c>
      <c r="H172" s="5">
        <v>1.41</v>
      </c>
      <c r="I172" s="5">
        <v>1.41</v>
      </c>
      <c r="J172" s="5">
        <f t="shared" si="19"/>
        <v>1.41</v>
      </c>
      <c r="K172" s="58">
        <f t="shared" si="20"/>
        <v>-1.7550000000000001</v>
      </c>
      <c r="L172" s="58">
        <f t="shared" si="21"/>
        <v>3.0800250000000005</v>
      </c>
    </row>
    <row r="173" spans="3:12" x14ac:dyDescent="0.25">
      <c r="C173" s="5">
        <v>171</v>
      </c>
      <c r="D173" s="5" t="s">
        <v>20</v>
      </c>
      <c r="E173" s="5">
        <v>283.48</v>
      </c>
      <c r="F173" s="5">
        <v>287.64</v>
      </c>
      <c r="G173" s="5">
        <f t="shared" si="18"/>
        <v>38.942307692307992</v>
      </c>
      <c r="H173" s="5">
        <v>3.77</v>
      </c>
      <c r="I173" s="5">
        <v>3.77</v>
      </c>
      <c r="J173" s="5">
        <f t="shared" si="19"/>
        <v>3.77</v>
      </c>
      <c r="K173" s="58">
        <f t="shared" si="20"/>
        <v>0.60499999999999998</v>
      </c>
      <c r="L173" s="58">
        <f t="shared" si="21"/>
        <v>0.36602499999999999</v>
      </c>
    </row>
    <row r="174" spans="3:12" x14ac:dyDescent="0.25">
      <c r="C174" s="5">
        <v>172</v>
      </c>
      <c r="D174" s="5" t="s">
        <v>19</v>
      </c>
      <c r="E174" s="5">
        <v>284.68</v>
      </c>
      <c r="F174" s="5">
        <v>288.88</v>
      </c>
      <c r="G174" s="5">
        <f t="shared" si="18"/>
        <v>38.571428571428676</v>
      </c>
      <c r="H174" s="5">
        <v>3.39</v>
      </c>
      <c r="I174" s="5">
        <v>4.6500000000000004</v>
      </c>
      <c r="J174" s="5">
        <f t="shared" si="19"/>
        <v>4.0200000000000005</v>
      </c>
      <c r="K174" s="58">
        <f t="shared" si="20"/>
        <v>0.85500000000000043</v>
      </c>
      <c r="L174" s="58">
        <f t="shared" si="21"/>
        <v>0.7310250000000007</v>
      </c>
    </row>
    <row r="175" spans="3:12" x14ac:dyDescent="0.25">
      <c r="C175" s="5">
        <v>173</v>
      </c>
      <c r="D175" s="5" t="s">
        <v>20</v>
      </c>
      <c r="E175" s="5">
        <v>284.8</v>
      </c>
      <c r="F175" s="5">
        <v>289.02</v>
      </c>
      <c r="G175" s="5">
        <f t="shared" si="18"/>
        <v>38.388625592417327</v>
      </c>
      <c r="H175" s="5">
        <v>1.82</v>
      </c>
      <c r="I175" s="5">
        <v>1.82</v>
      </c>
      <c r="J175" s="5">
        <f t="shared" si="19"/>
        <v>1.82</v>
      </c>
      <c r="K175" s="58">
        <f t="shared" si="20"/>
        <v>-1.345</v>
      </c>
      <c r="L175" s="58">
        <f t="shared" si="21"/>
        <v>1.8090249999999999</v>
      </c>
    </row>
    <row r="176" spans="3:12" x14ac:dyDescent="0.25">
      <c r="C176" s="5">
        <v>174</v>
      </c>
      <c r="D176" s="5" t="s">
        <v>19</v>
      </c>
      <c r="E176" s="5">
        <v>285.83999999999997</v>
      </c>
      <c r="F176" s="5">
        <v>289.68</v>
      </c>
      <c r="G176" s="5">
        <f t="shared" si="18"/>
        <v>42.187499999999652</v>
      </c>
      <c r="H176" s="5">
        <v>3.51</v>
      </c>
      <c r="I176" s="5">
        <v>4.88</v>
      </c>
      <c r="J176" s="5">
        <f t="shared" si="19"/>
        <v>4.1950000000000003</v>
      </c>
      <c r="K176" s="58">
        <f t="shared" si="20"/>
        <v>1.0300000000000002</v>
      </c>
      <c r="L176" s="58">
        <f t="shared" si="21"/>
        <v>1.0609000000000006</v>
      </c>
    </row>
    <row r="177" spans="3:12" x14ac:dyDescent="0.25">
      <c r="C177" s="5">
        <v>175</v>
      </c>
      <c r="D177" s="5" t="s">
        <v>20</v>
      </c>
      <c r="E177" s="5">
        <v>287.32</v>
      </c>
      <c r="F177" s="5">
        <v>291.14</v>
      </c>
      <c r="G177" s="5">
        <f t="shared" si="18"/>
        <v>42.408376963350861</v>
      </c>
      <c r="H177" s="5">
        <v>2.5</v>
      </c>
      <c r="I177" s="5">
        <v>2.5</v>
      </c>
      <c r="J177" s="5">
        <f t="shared" si="19"/>
        <v>2.5</v>
      </c>
      <c r="K177" s="58">
        <f t="shared" si="20"/>
        <v>-0.66500000000000004</v>
      </c>
      <c r="L177" s="58">
        <f t="shared" si="21"/>
        <v>0.44222500000000003</v>
      </c>
    </row>
    <row r="178" spans="3:12" x14ac:dyDescent="0.25">
      <c r="C178" s="5">
        <v>176</v>
      </c>
      <c r="D178" s="5" t="s">
        <v>20</v>
      </c>
      <c r="E178" s="5">
        <v>289.24</v>
      </c>
      <c r="F178" s="5">
        <v>293.26</v>
      </c>
      <c r="G178" s="5">
        <f t="shared" si="18"/>
        <v>40.29850746268675</v>
      </c>
      <c r="H178" s="5">
        <v>1.81</v>
      </c>
      <c r="I178" s="5">
        <v>1.81</v>
      </c>
      <c r="J178" s="5">
        <f t="shared" si="19"/>
        <v>1.81</v>
      </c>
      <c r="K178" s="58">
        <f t="shared" si="20"/>
        <v>-1.355</v>
      </c>
      <c r="L178" s="58">
        <f t="shared" si="21"/>
        <v>1.836025</v>
      </c>
    </row>
    <row r="179" spans="3:12" x14ac:dyDescent="0.25">
      <c r="C179" s="5">
        <v>177</v>
      </c>
      <c r="D179" s="5" t="s">
        <v>20</v>
      </c>
      <c r="E179" s="5">
        <v>294.56</v>
      </c>
      <c r="F179" s="5">
        <v>299.04000000000002</v>
      </c>
      <c r="G179" s="5">
        <f t="shared" si="18"/>
        <v>36.160714285714143</v>
      </c>
      <c r="H179" s="5">
        <v>1.86</v>
      </c>
      <c r="I179" s="5">
        <v>1.86</v>
      </c>
      <c r="J179" s="5">
        <f t="shared" si="19"/>
        <v>1.86</v>
      </c>
      <c r="K179" s="58">
        <f t="shared" si="20"/>
        <v>-1.3049999999999999</v>
      </c>
      <c r="L179" s="58">
        <f t="shared" si="21"/>
        <v>1.7030249999999998</v>
      </c>
    </row>
    <row r="180" spans="3:12" x14ac:dyDescent="0.25">
      <c r="C180" s="5">
        <v>178</v>
      </c>
      <c r="D180" s="5" t="s">
        <v>19</v>
      </c>
      <c r="E180" s="5">
        <v>296.52</v>
      </c>
      <c r="F180" s="5">
        <v>300.86</v>
      </c>
      <c r="G180" s="5">
        <f t="shared" si="18"/>
        <v>37.327188940091894</v>
      </c>
      <c r="H180" s="5">
        <v>2.92</v>
      </c>
      <c r="I180" s="5">
        <v>4.1500000000000004</v>
      </c>
      <c r="J180" s="5">
        <f t="shared" si="19"/>
        <v>3.5350000000000001</v>
      </c>
      <c r="K180" s="58">
        <f t="shared" si="20"/>
        <v>0.37000000000000011</v>
      </c>
      <c r="L180" s="58">
        <f t="shared" si="21"/>
        <v>0.13690000000000008</v>
      </c>
    </row>
    <row r="181" spans="3:12" x14ac:dyDescent="0.25">
      <c r="C181" s="5">
        <v>179</v>
      </c>
      <c r="D181" s="5" t="s">
        <v>19</v>
      </c>
      <c r="E181" s="5">
        <v>296.68</v>
      </c>
      <c r="F181" s="5">
        <v>303.27999999999997</v>
      </c>
      <c r="G181" s="5">
        <f t="shared" si="18"/>
        <v>24.545454545454671</v>
      </c>
      <c r="H181" s="5">
        <v>1.34</v>
      </c>
      <c r="I181" s="5">
        <v>2.62</v>
      </c>
      <c r="J181" s="5">
        <f t="shared" si="19"/>
        <v>1.98</v>
      </c>
      <c r="K181" s="58">
        <f t="shared" si="20"/>
        <v>-1.1850000000000001</v>
      </c>
      <c r="L181" s="58">
        <f t="shared" si="21"/>
        <v>1.4042250000000001</v>
      </c>
    </row>
    <row r="182" spans="3:12" x14ac:dyDescent="0.25">
      <c r="C182" s="5">
        <v>180</v>
      </c>
      <c r="D182" s="5" t="s">
        <v>19</v>
      </c>
      <c r="E182" s="5">
        <v>297.76</v>
      </c>
      <c r="F182" s="5">
        <v>302.48</v>
      </c>
      <c r="G182" s="5">
        <f t="shared" si="18"/>
        <v>34.322033898304888</v>
      </c>
      <c r="H182" s="5">
        <v>3.96</v>
      </c>
      <c r="I182" s="5">
        <v>5.33</v>
      </c>
      <c r="J182" s="5">
        <f t="shared" si="19"/>
        <v>4.6449999999999996</v>
      </c>
      <c r="K182" s="58">
        <f t="shared" si="20"/>
        <v>1.4799999999999995</v>
      </c>
      <c r="L182" s="58">
        <f t="shared" si="21"/>
        <v>2.1903999999999986</v>
      </c>
    </row>
    <row r="183" spans="3:12" x14ac:dyDescent="0.25">
      <c r="C183" s="5">
        <v>181</v>
      </c>
      <c r="D183" s="5" t="s">
        <v>19</v>
      </c>
      <c r="E183" s="5">
        <v>299.2</v>
      </c>
      <c r="F183" s="5">
        <v>304.2</v>
      </c>
      <c r="G183" s="5">
        <f t="shared" si="18"/>
        <v>32.4</v>
      </c>
      <c r="H183" s="5">
        <v>4.29</v>
      </c>
      <c r="I183" s="5">
        <v>5.21</v>
      </c>
      <c r="J183" s="5">
        <f t="shared" si="19"/>
        <v>4.75</v>
      </c>
      <c r="K183" s="58">
        <f t="shared" si="20"/>
        <v>1.585</v>
      </c>
      <c r="L183" s="58">
        <f t="shared" si="21"/>
        <v>2.5122249999999999</v>
      </c>
    </row>
    <row r="186" spans="3:12" ht="15.75" thickBot="1" x14ac:dyDescent="0.3"/>
    <row r="187" spans="3:12" ht="15.75" x14ac:dyDescent="0.25">
      <c r="D187" s="25" t="s">
        <v>28</v>
      </c>
      <c r="E187" s="26" t="s">
        <v>29</v>
      </c>
      <c r="F187" s="26" t="s">
        <v>30</v>
      </c>
      <c r="G187" s="26" t="s">
        <v>31</v>
      </c>
      <c r="H187" s="26" t="s">
        <v>32</v>
      </c>
      <c r="I187" s="27" t="s">
        <v>33</v>
      </c>
    </row>
    <row r="188" spans="3:12" x14ac:dyDescent="0.25">
      <c r="D188" s="28" t="s">
        <v>20</v>
      </c>
      <c r="E188" s="10">
        <f>COUNTIF(D3:D183,"TW")/181</f>
        <v>0.35359116022099446</v>
      </c>
      <c r="F188" s="10">
        <v>0.25</v>
      </c>
      <c r="G188" s="10">
        <f>(F188*F188)</f>
        <v>6.25E-2</v>
      </c>
      <c r="H188" s="10">
        <f>E188*F188</f>
        <v>8.8397790055248615E-2</v>
      </c>
      <c r="I188" s="29">
        <f>E188*G188</f>
        <v>2.2099447513812154E-2</v>
      </c>
    </row>
    <row r="189" spans="3:12" x14ac:dyDescent="0.25">
      <c r="D189" s="15" t="s">
        <v>41</v>
      </c>
      <c r="E189" s="10">
        <f>COUNTIF(D3:D183,"Cycle Rikshaw")/181</f>
        <v>0</v>
      </c>
      <c r="F189" s="10">
        <v>2.1</v>
      </c>
      <c r="G189" s="10">
        <f>(F189*F189)</f>
        <v>4.41</v>
      </c>
      <c r="H189" s="10">
        <f>E189*F189</f>
        <v>0</v>
      </c>
      <c r="I189" s="29">
        <f>E189*G189</f>
        <v>0</v>
      </c>
    </row>
    <row r="190" spans="3:12" x14ac:dyDescent="0.25">
      <c r="D190" s="28" t="s">
        <v>24</v>
      </c>
      <c r="E190" s="10">
        <f>COUNTIF(D3:D183,"Cycle")/181</f>
        <v>6.6298342541436461E-2</v>
      </c>
      <c r="F190" s="10">
        <v>0.4</v>
      </c>
      <c r="G190" s="10">
        <f t="shared" ref="G190:G194" si="22">(F190*F190)</f>
        <v>0.16000000000000003</v>
      </c>
      <c r="H190" s="10">
        <f t="shared" ref="H190:H194" si="23">E190*F190</f>
        <v>2.6519337016574586E-2</v>
      </c>
      <c r="I190" s="29">
        <f t="shared" ref="I190:I194" si="24">E190*G190</f>
        <v>1.0607734806629836E-2</v>
      </c>
    </row>
    <row r="191" spans="3:12" x14ac:dyDescent="0.25">
      <c r="D191" s="28" t="s">
        <v>19</v>
      </c>
      <c r="E191" s="10">
        <f>COUNTIF(D3:D183,"Car")/181</f>
        <v>0.49723756906077349</v>
      </c>
      <c r="F191" s="10">
        <v>1</v>
      </c>
      <c r="G191" s="10">
        <f t="shared" si="22"/>
        <v>1</v>
      </c>
      <c r="H191" s="10">
        <f t="shared" si="23"/>
        <v>0.49723756906077349</v>
      </c>
      <c r="I191" s="29">
        <f t="shared" si="24"/>
        <v>0.49723756906077349</v>
      </c>
    </row>
    <row r="192" spans="3:12" x14ac:dyDescent="0.25">
      <c r="D192" s="28" t="s">
        <v>18</v>
      </c>
      <c r="E192" s="10">
        <f>COUNTIF(D3:D183,"Auto")/181</f>
        <v>4.9723756906077346E-2</v>
      </c>
      <c r="F192" s="10">
        <v>1.2</v>
      </c>
      <c r="G192" s="10">
        <f t="shared" si="22"/>
        <v>1.44</v>
      </c>
      <c r="H192" s="10">
        <f t="shared" si="23"/>
        <v>5.966850828729281E-2</v>
      </c>
      <c r="I192" s="29">
        <f t="shared" si="24"/>
        <v>7.1602209944751374E-2</v>
      </c>
    </row>
    <row r="193" spans="4:14" x14ac:dyDescent="0.25">
      <c r="D193" s="28" t="s">
        <v>22</v>
      </c>
      <c r="E193" s="10">
        <f>COUNTIF(D3:D183,"Bus")/181</f>
        <v>2.2099447513812154E-2</v>
      </c>
      <c r="F193" s="10">
        <v>4.5</v>
      </c>
      <c r="G193" s="10">
        <f t="shared" si="22"/>
        <v>20.25</v>
      </c>
      <c r="H193" s="10">
        <f t="shared" si="23"/>
        <v>9.9447513812154692E-2</v>
      </c>
      <c r="I193" s="29">
        <f t="shared" si="24"/>
        <v>0.4475138121546961</v>
      </c>
    </row>
    <row r="194" spans="4:14" x14ac:dyDescent="0.25">
      <c r="D194" s="28" t="s">
        <v>21</v>
      </c>
      <c r="E194" s="10">
        <f>COUNTIF(D3:D183,"TAT")/181</f>
        <v>1.1049723756906077E-2</v>
      </c>
      <c r="F194" s="10">
        <v>4.8</v>
      </c>
      <c r="G194" s="10">
        <f t="shared" si="22"/>
        <v>23.04</v>
      </c>
      <c r="H194" s="10">
        <f t="shared" si="23"/>
        <v>5.3038674033149165E-2</v>
      </c>
      <c r="I194" s="29">
        <f t="shared" si="24"/>
        <v>0.25458563535911599</v>
      </c>
    </row>
    <row r="195" spans="4:14" x14ac:dyDescent="0.25">
      <c r="D195" s="28"/>
      <c r="E195" s="10"/>
      <c r="F195" s="10"/>
      <c r="G195" s="30" t="s">
        <v>34</v>
      </c>
      <c r="H195" s="10">
        <f>SUM(H188:H194)</f>
        <v>0.8243093922651934</v>
      </c>
      <c r="I195" s="29">
        <f>SUM(I188:I194)</f>
        <v>1.303646408839779</v>
      </c>
    </row>
    <row r="196" spans="4:14" x14ac:dyDescent="0.25">
      <c r="D196" s="28"/>
      <c r="E196" s="10"/>
      <c r="F196" s="10"/>
      <c r="G196" s="30" t="s">
        <v>37</v>
      </c>
      <c r="H196" s="10">
        <f>H195*H195</f>
        <v>0.67948597417661249</v>
      </c>
      <c r="I196" s="29"/>
    </row>
    <row r="197" spans="4:14" ht="19.5" thickBot="1" x14ac:dyDescent="0.35">
      <c r="D197" s="56" t="s">
        <v>35</v>
      </c>
      <c r="E197" s="57"/>
      <c r="F197" s="57"/>
      <c r="G197" s="57"/>
      <c r="H197" s="31">
        <f>(((I195-H196)^(1/2))/H195)*100</f>
        <v>95.842441718377586</v>
      </c>
      <c r="I197" s="32"/>
    </row>
    <row r="199" spans="4:14" x14ac:dyDescent="0.25">
      <c r="N199" s="24" t="s">
        <v>36</v>
      </c>
    </row>
    <row r="200" spans="4:14" ht="15.75" thickBot="1" x14ac:dyDescent="0.3"/>
    <row r="201" spans="4:14" ht="15.75" x14ac:dyDescent="0.25">
      <c r="D201" s="25" t="s">
        <v>28</v>
      </c>
      <c r="E201" s="26" t="s">
        <v>29</v>
      </c>
      <c r="F201" s="26" t="s">
        <v>30</v>
      </c>
      <c r="G201" s="26" t="s">
        <v>31</v>
      </c>
      <c r="H201" s="26" t="s">
        <v>32</v>
      </c>
      <c r="I201" s="27" t="s">
        <v>33</v>
      </c>
    </row>
    <row r="202" spans="4:14" x14ac:dyDescent="0.25">
      <c r="D202" s="28" t="s">
        <v>20</v>
      </c>
      <c r="E202" s="10">
        <f>COUNTIF(O3:O105,"TW")/103</f>
        <v>0.44660194174757284</v>
      </c>
      <c r="F202" s="10">
        <v>0.25</v>
      </c>
      <c r="G202" s="10">
        <f>(F202*F202)</f>
        <v>6.25E-2</v>
      </c>
      <c r="H202" s="10">
        <f>E202*F202</f>
        <v>0.11165048543689321</v>
      </c>
      <c r="I202" s="29">
        <f>E202*G202</f>
        <v>2.7912621359223302E-2</v>
      </c>
    </row>
    <row r="203" spans="4:14" x14ac:dyDescent="0.25">
      <c r="D203" s="15" t="s">
        <v>41</v>
      </c>
      <c r="E203" s="10">
        <f>COUNTIF(O3:O105,"Cycle Rikshaw")/103</f>
        <v>1.9417475728155338E-2</v>
      </c>
      <c r="F203" s="10">
        <v>2.1</v>
      </c>
      <c r="G203" s="10">
        <f>(F203*F203)</f>
        <v>4.41</v>
      </c>
      <c r="H203" s="10">
        <f>E203*F203</f>
        <v>4.0776699029126215E-2</v>
      </c>
      <c r="I203" s="29">
        <f>E203*G203</f>
        <v>8.5631067961165042E-2</v>
      </c>
    </row>
    <row r="204" spans="4:14" x14ac:dyDescent="0.25">
      <c r="D204" s="28" t="s">
        <v>24</v>
      </c>
      <c r="E204" s="10">
        <f>COUNTIF(O3:O105,"Cycle")/103</f>
        <v>3.8834951456310676E-2</v>
      </c>
      <c r="F204" s="10">
        <v>0.4</v>
      </c>
      <c r="G204" s="10">
        <f t="shared" ref="G204:G208" si="25">(F204*F204)</f>
        <v>0.16000000000000003</v>
      </c>
      <c r="H204" s="10">
        <f t="shared" ref="H204:H208" si="26">E204*F204</f>
        <v>1.5533980582524271E-2</v>
      </c>
      <c r="I204" s="29">
        <f t="shared" ref="I204:I208" si="27">E204*G204</f>
        <v>6.2135922330097092E-3</v>
      </c>
    </row>
    <row r="205" spans="4:14" x14ac:dyDescent="0.25">
      <c r="D205" s="28" t="s">
        <v>19</v>
      </c>
      <c r="E205" s="10">
        <f>COUNTIF(O3:O105,"Car")/103</f>
        <v>0.39805825242718446</v>
      </c>
      <c r="F205" s="10">
        <v>1</v>
      </c>
      <c r="G205" s="10">
        <f t="shared" si="25"/>
        <v>1</v>
      </c>
      <c r="H205" s="10">
        <f t="shared" si="26"/>
        <v>0.39805825242718446</v>
      </c>
      <c r="I205" s="29">
        <f t="shared" si="27"/>
        <v>0.39805825242718446</v>
      </c>
    </row>
    <row r="206" spans="4:14" x14ac:dyDescent="0.25">
      <c r="D206" s="28" t="s">
        <v>18</v>
      </c>
      <c r="E206" s="10">
        <f>COUNTIF(O3:O105,"Auto")/103</f>
        <v>4.8543689320388349E-2</v>
      </c>
      <c r="F206" s="10">
        <v>1.2</v>
      </c>
      <c r="G206" s="10">
        <f t="shared" si="25"/>
        <v>1.44</v>
      </c>
      <c r="H206" s="10">
        <f t="shared" si="26"/>
        <v>5.8252427184466014E-2</v>
      </c>
      <c r="I206" s="29">
        <f t="shared" si="27"/>
        <v>6.9902912621359226E-2</v>
      </c>
    </row>
    <row r="207" spans="4:14" x14ac:dyDescent="0.25">
      <c r="D207" s="28" t="s">
        <v>22</v>
      </c>
      <c r="E207" s="10">
        <f>COUNTIF(O3:O105,"Bus")/103</f>
        <v>1.9417475728155338E-2</v>
      </c>
      <c r="F207" s="10">
        <v>4.5</v>
      </c>
      <c r="G207" s="10">
        <f t="shared" si="25"/>
        <v>20.25</v>
      </c>
      <c r="H207" s="10">
        <f t="shared" si="26"/>
        <v>8.7378640776699018E-2</v>
      </c>
      <c r="I207" s="29">
        <f t="shared" si="27"/>
        <v>0.39320388349514562</v>
      </c>
    </row>
    <row r="208" spans="4:14" x14ac:dyDescent="0.25">
      <c r="D208" s="28" t="s">
        <v>21</v>
      </c>
      <c r="E208" s="10">
        <f>COUNTIF(O3:O105,"TAT")/103</f>
        <v>2.9126213592233011E-2</v>
      </c>
      <c r="F208" s="10">
        <v>4.8</v>
      </c>
      <c r="G208" s="10">
        <f t="shared" si="25"/>
        <v>23.04</v>
      </c>
      <c r="H208" s="10">
        <f t="shared" si="26"/>
        <v>0.13980582524271845</v>
      </c>
      <c r="I208" s="29">
        <f t="shared" si="27"/>
        <v>0.67106796116504852</v>
      </c>
    </row>
    <row r="209" spans="4:9" x14ac:dyDescent="0.25">
      <c r="D209" s="28"/>
      <c r="E209" s="10"/>
      <c r="F209" s="10"/>
      <c r="G209" s="30" t="s">
        <v>34</v>
      </c>
      <c r="H209" s="10">
        <f>SUM(H202:H208)</f>
        <v>0.85145631067961158</v>
      </c>
      <c r="I209" s="29">
        <f>SUM(I202:I208)</f>
        <v>1.651990291262136</v>
      </c>
    </row>
    <row r="210" spans="4:9" x14ac:dyDescent="0.25">
      <c r="D210" s="28"/>
      <c r="E210" s="10"/>
      <c r="F210" s="10"/>
      <c r="G210" s="30" t="s">
        <v>37</v>
      </c>
      <c r="H210" s="10">
        <f>H209*H209</f>
        <v>0.72497784899613527</v>
      </c>
      <c r="I210" s="29"/>
    </row>
    <row r="211" spans="4:9" ht="19.5" thickBot="1" x14ac:dyDescent="0.35">
      <c r="D211" s="56" t="s">
        <v>43</v>
      </c>
      <c r="E211" s="57"/>
      <c r="F211" s="57"/>
      <c r="G211" s="57"/>
      <c r="H211" s="31">
        <f>(((I209-H210)^(1/2))/H209)*100</f>
        <v>113.07859739828659</v>
      </c>
      <c r="I211" s="32"/>
    </row>
  </sheetData>
  <mergeCells count="4">
    <mergeCell ref="D1:I1"/>
    <mergeCell ref="O1:U1"/>
    <mergeCell ref="D197:G197"/>
    <mergeCell ref="D211:G211"/>
  </mergeCells>
  <conditionalFormatting sqref="A108:P119 W108:XFD119 A120:XFD186 J187:XFD192 D187:H193 A187:C197 M193:XFD203 A198:D203 D201:I201 D201:H207 A204:XFD1048576 K3:L183 A1:XFD107">
    <cfRule type="containsText" dxfId="191" priority="5" operator="containsText" text="LCV">
      <formula>NOT(ISERROR(SEARCH("LCV",A1)))</formula>
    </cfRule>
    <cfRule type="containsText" dxfId="190" priority="6" operator="containsText" text="TAT">
      <formula>NOT(ISERROR(SEARCH("TAT",A1)))</formula>
    </cfRule>
    <cfRule type="containsText" dxfId="189" priority="7" operator="containsText" text="Bus">
      <formula>NOT(ISERROR(SEARCH("Bus",A1)))</formula>
    </cfRule>
    <cfRule type="containsText" dxfId="188" priority="8" operator="containsText" text="Cycle">
      <formula>NOT(ISERROR(SEARCH("Cycle",A1)))</formula>
    </cfRule>
    <cfRule type="containsText" dxfId="187" priority="9" operator="containsText" text="Auto">
      <formula>NOT(ISERROR(SEARCH("Auto",A1)))</formula>
    </cfRule>
    <cfRule type="containsText" dxfId="186" priority="10" operator="containsText" text="TW">
      <formula>NOT(ISERROR(SEARCH("TW",A1)))</formula>
    </cfRule>
    <cfRule type="containsText" dxfId="185" priority="11" operator="containsText" text="Car">
      <formula>NOT(ISERROR(SEARCH("Car",A1)))</formula>
    </cfRule>
  </conditionalFormatting>
  <conditionalFormatting sqref="A108:P119 W108:XFD119 A120:XFD196 A197:D197 H197:XFD197 A198:XFD1048576 K3:L183 A1:XFD107">
    <cfRule type="containsText" dxfId="184" priority="3" operator="containsText" text="TAT">
      <formula>NOT(ISERROR(SEARCH("TAT",A1)))</formula>
    </cfRule>
  </conditionalFormatting>
  <conditionalFormatting sqref="A1:XFD1048576">
    <cfRule type="containsText" dxfId="183" priority="1" operator="containsText" text="Cycle Rikshaw">
      <formula>NOT(ISERROR(SEARCH("Cycle Rikshaw",A1)))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CD93-29DF-49E6-8D9D-367D552A9919}">
  <dimension ref="A1:V176"/>
  <sheetViews>
    <sheetView topLeftCell="K94" zoomScale="70" zoomScaleNormal="70" workbookViewId="0">
      <selection activeCell="T113" sqref="T113"/>
    </sheetView>
  </sheetViews>
  <sheetFormatPr defaultRowHeight="15" x14ac:dyDescent="0.25"/>
  <cols>
    <col min="1" max="1" width="15.28515625" bestFit="1" customWidth="1"/>
    <col min="2" max="2" width="14.42578125" customWidth="1"/>
    <col min="3" max="3" width="17" customWidth="1"/>
    <col min="4" max="4" width="15.28515625" customWidth="1"/>
    <col min="5" max="5" width="17.140625" customWidth="1"/>
    <col min="6" max="6" width="15.42578125" customWidth="1"/>
    <col min="7" max="7" width="14.28515625" bestFit="1" customWidth="1"/>
    <col min="8" max="8" width="20.140625" bestFit="1" customWidth="1"/>
    <col min="9" max="9" width="21.85546875" bestFit="1" customWidth="1"/>
    <col min="10" max="10" width="6.85546875" bestFit="1" customWidth="1"/>
    <col min="11" max="11" width="9.140625" customWidth="1"/>
    <col min="12" max="12" width="13.85546875" customWidth="1"/>
    <col min="13" max="13" width="17.28515625" customWidth="1"/>
    <col min="14" max="14" width="15.28515625" customWidth="1"/>
    <col min="15" max="15" width="17" customWidth="1"/>
    <col min="16" max="16" width="14.42578125" customWidth="1"/>
    <col min="17" max="17" width="23.85546875" bestFit="1" customWidth="1"/>
    <col min="18" max="18" width="21.28515625" customWidth="1"/>
    <col min="19" max="19" width="25" bestFit="1" customWidth="1"/>
    <col min="20" max="20" width="23" bestFit="1" customWidth="1"/>
  </cols>
  <sheetData>
    <row r="1" spans="1:22" ht="15.75" x14ac:dyDescent="0.3">
      <c r="C1" s="5"/>
      <c r="D1" s="54" t="s">
        <v>6</v>
      </c>
      <c r="E1" s="55"/>
      <c r="F1" s="55"/>
      <c r="G1" s="55"/>
      <c r="H1" s="55"/>
      <c r="I1" s="55"/>
      <c r="J1" s="5"/>
      <c r="L1" s="5"/>
      <c r="M1" s="54" t="s">
        <v>7</v>
      </c>
      <c r="N1" s="55"/>
      <c r="O1" s="55"/>
      <c r="P1" s="55"/>
      <c r="Q1" s="55"/>
      <c r="R1" s="55"/>
      <c r="S1" s="55"/>
      <c r="T1" s="5"/>
      <c r="U1" s="5"/>
    </row>
    <row r="2" spans="1:22" ht="31.5" x14ac:dyDescent="0.25">
      <c r="A2" t="s">
        <v>11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12</v>
      </c>
      <c r="J2" s="8" t="s">
        <v>17</v>
      </c>
      <c r="K2" s="1"/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15</v>
      </c>
      <c r="R2" s="8" t="s">
        <v>12</v>
      </c>
      <c r="S2" s="8" t="s">
        <v>16</v>
      </c>
      <c r="T2" s="8" t="s">
        <v>13</v>
      </c>
      <c r="U2" s="8" t="s">
        <v>17</v>
      </c>
    </row>
    <row r="3" spans="1:22" x14ac:dyDescent="0.25">
      <c r="A3">
        <v>45</v>
      </c>
      <c r="C3" s="5">
        <v>1</v>
      </c>
      <c r="D3" s="5" t="s">
        <v>21</v>
      </c>
      <c r="E3" s="5">
        <v>301.48</v>
      </c>
      <c r="F3" s="5">
        <v>306.66000000000003</v>
      </c>
      <c r="G3" s="5">
        <f>$A$3/(F3-E3)*3.6</f>
        <v>31.274131274131236</v>
      </c>
      <c r="H3" s="5">
        <v>2.85</v>
      </c>
      <c r="I3" s="5">
        <v>4.46</v>
      </c>
      <c r="J3" s="5">
        <f>(H3+I3)/2</f>
        <v>3.6550000000000002</v>
      </c>
      <c r="K3">
        <f>(J3-3.292)^2</f>
        <v>0.1317690000000003</v>
      </c>
      <c r="L3" s="5">
        <v>1</v>
      </c>
      <c r="M3" s="5" t="s">
        <v>20</v>
      </c>
      <c r="N3" s="5">
        <v>301.83999999999997</v>
      </c>
      <c r="O3" s="5">
        <v>306.04000000000002</v>
      </c>
      <c r="P3" s="5">
        <f>$A$3/(O3-N3)*3.6</f>
        <v>38.571428571428157</v>
      </c>
      <c r="Q3" s="5">
        <v>7.44</v>
      </c>
      <c r="R3" s="5">
        <v>7.44</v>
      </c>
      <c r="S3" s="5">
        <f>$A$5-Q3</f>
        <v>1.5599999999999996</v>
      </c>
      <c r="T3" s="5">
        <f>$A$5-R3</f>
        <v>1.5599999999999996</v>
      </c>
      <c r="U3" s="5">
        <f>(S3+T3)/2</f>
        <v>1.5599999999999996</v>
      </c>
      <c r="V3">
        <f>(U3-1.969)^2</f>
        <v>0.1672810000000004</v>
      </c>
    </row>
    <row r="4" spans="1:22" x14ac:dyDescent="0.25">
      <c r="A4" t="s">
        <v>14</v>
      </c>
      <c r="C4" s="5">
        <v>2</v>
      </c>
      <c r="D4" s="5" t="s">
        <v>20</v>
      </c>
      <c r="E4" s="5">
        <v>303.04000000000002</v>
      </c>
      <c r="F4" s="5">
        <v>307.87</v>
      </c>
      <c r="G4" s="5">
        <f t="shared" ref="G4:G67" si="0">$A$3/(F4-E4)*3.6</f>
        <v>33.540372670807564</v>
      </c>
      <c r="H4" s="5">
        <v>2.2400000000000002</v>
      </c>
      <c r="I4" s="5">
        <v>2.2400000000000002</v>
      </c>
      <c r="J4" s="5">
        <f t="shared" ref="J4:J67" si="1">(H4+I4)/2</f>
        <v>2.2400000000000002</v>
      </c>
      <c r="K4">
        <f t="shared" ref="K4:K67" si="2">(J4-3.292)^2</f>
        <v>1.1067039999999992</v>
      </c>
      <c r="L4" s="5">
        <v>2</v>
      </c>
      <c r="M4" s="5" t="s">
        <v>19</v>
      </c>
      <c r="N4" s="5">
        <v>317.36</v>
      </c>
      <c r="O4" s="5">
        <v>320.64</v>
      </c>
      <c r="P4" s="5">
        <f t="shared" ref="P4:P67" si="3">$A$3/(O4-N4)*3.6</f>
        <v>49.390243902439437</v>
      </c>
      <c r="Q4" s="5">
        <v>6.81</v>
      </c>
      <c r="R4" s="5">
        <v>5.77</v>
      </c>
      <c r="S4" s="5">
        <f t="shared" ref="S4:T19" si="4">$A$5-Q4</f>
        <v>2.1900000000000004</v>
      </c>
      <c r="T4" s="5">
        <f t="shared" si="4"/>
        <v>3.2300000000000004</v>
      </c>
      <c r="U4" s="5">
        <f t="shared" ref="U4:U67" si="5">(S4+T4)/2</f>
        <v>2.7100000000000004</v>
      </c>
      <c r="V4">
        <f t="shared" ref="V4:V67" si="6">(U4-1.969)^2</f>
        <v>0.54908100000000049</v>
      </c>
    </row>
    <row r="5" spans="1:22" x14ac:dyDescent="0.25">
      <c r="A5">
        <v>9</v>
      </c>
      <c r="C5" s="5">
        <v>3</v>
      </c>
      <c r="D5" s="5" t="s">
        <v>24</v>
      </c>
      <c r="E5" s="5">
        <v>305.64</v>
      </c>
      <c r="F5" s="5">
        <v>315.68</v>
      </c>
      <c r="G5" s="5">
        <f t="shared" si="0"/>
        <v>16.135458167330643</v>
      </c>
      <c r="H5" s="5">
        <v>0.45</v>
      </c>
      <c r="I5" s="5">
        <v>0.45</v>
      </c>
      <c r="J5" s="7">
        <f t="shared" si="1"/>
        <v>0.45</v>
      </c>
      <c r="K5">
        <f t="shared" si="2"/>
        <v>8.0769639999999985</v>
      </c>
      <c r="L5" s="5">
        <v>3</v>
      </c>
      <c r="M5" s="5" t="s">
        <v>20</v>
      </c>
      <c r="N5" s="5">
        <v>319.27999999999997</v>
      </c>
      <c r="O5" s="5">
        <v>321.76</v>
      </c>
      <c r="P5" s="5">
        <f t="shared" si="3"/>
        <v>65.322580645160812</v>
      </c>
      <c r="Q5" s="5">
        <v>6.21</v>
      </c>
      <c r="R5" s="5">
        <v>6.21</v>
      </c>
      <c r="S5" s="5">
        <f t="shared" si="4"/>
        <v>2.79</v>
      </c>
      <c r="T5" s="5">
        <f t="shared" si="4"/>
        <v>2.79</v>
      </c>
      <c r="U5" s="5">
        <f t="shared" si="5"/>
        <v>2.79</v>
      </c>
      <c r="V5">
        <f t="shared" si="6"/>
        <v>0.67404099999999989</v>
      </c>
    </row>
    <row r="6" spans="1:22" x14ac:dyDescent="0.25">
      <c r="C6" s="5">
        <v>4</v>
      </c>
      <c r="D6" s="5" t="s">
        <v>24</v>
      </c>
      <c r="E6" s="5">
        <v>314.44</v>
      </c>
      <c r="F6" s="5">
        <v>326.27999999999997</v>
      </c>
      <c r="G6" s="5">
        <f t="shared" si="0"/>
        <v>13.682432432432462</v>
      </c>
      <c r="H6" s="5">
        <v>0.52</v>
      </c>
      <c r="I6" s="5">
        <v>0.52</v>
      </c>
      <c r="J6" s="5">
        <f t="shared" si="1"/>
        <v>0.52</v>
      </c>
      <c r="K6">
        <f t="shared" si="2"/>
        <v>7.6839839999999988</v>
      </c>
      <c r="L6" s="5">
        <v>4</v>
      </c>
      <c r="M6" s="5" t="s">
        <v>19</v>
      </c>
      <c r="N6" s="5">
        <v>320.5</v>
      </c>
      <c r="O6" s="5">
        <v>324.12</v>
      </c>
      <c r="P6" s="5">
        <f t="shared" si="3"/>
        <v>44.751381215469557</v>
      </c>
      <c r="Q6" s="5">
        <v>6.51</v>
      </c>
      <c r="R6" s="5">
        <v>5.27</v>
      </c>
      <c r="S6" s="5">
        <f t="shared" si="4"/>
        <v>2.4900000000000002</v>
      </c>
      <c r="T6" s="5">
        <f t="shared" si="4"/>
        <v>3.7300000000000004</v>
      </c>
      <c r="U6" s="5">
        <f t="shared" si="5"/>
        <v>3.1100000000000003</v>
      </c>
      <c r="V6">
        <f t="shared" si="6"/>
        <v>1.3018810000000005</v>
      </c>
    </row>
    <row r="7" spans="1:22" x14ac:dyDescent="0.25">
      <c r="C7" s="5">
        <v>5</v>
      </c>
      <c r="D7" s="5" t="s">
        <v>19</v>
      </c>
      <c r="E7" s="5">
        <v>322.04000000000002</v>
      </c>
      <c r="F7" s="5">
        <v>325.83999999999997</v>
      </c>
      <c r="G7" s="5">
        <f t="shared" si="0"/>
        <v>42.631578947368929</v>
      </c>
      <c r="H7" s="5">
        <v>2.71</v>
      </c>
      <c r="I7" s="5">
        <v>3.94</v>
      </c>
      <c r="J7" s="5">
        <f t="shared" si="1"/>
        <v>3.3250000000000002</v>
      </c>
      <c r="K7">
        <f t="shared" si="2"/>
        <v>1.089000000000024E-3</v>
      </c>
      <c r="L7" s="5">
        <v>5</v>
      </c>
      <c r="M7" s="5" t="s">
        <v>19</v>
      </c>
      <c r="N7" s="5">
        <v>324.83999999999997</v>
      </c>
      <c r="O7" s="5">
        <v>328.04</v>
      </c>
      <c r="P7" s="5">
        <f t="shared" si="3"/>
        <v>50.624999999999282</v>
      </c>
      <c r="Q7" s="5">
        <v>7.33</v>
      </c>
      <c r="R7" s="5">
        <v>6.07</v>
      </c>
      <c r="S7" s="5">
        <f t="shared" si="4"/>
        <v>1.67</v>
      </c>
      <c r="T7" s="5">
        <f t="shared" si="4"/>
        <v>2.9299999999999997</v>
      </c>
      <c r="U7" s="5">
        <f t="shared" si="5"/>
        <v>2.2999999999999998</v>
      </c>
      <c r="V7">
        <f t="shared" si="6"/>
        <v>0.10956099999999983</v>
      </c>
    </row>
    <row r="8" spans="1:22" x14ac:dyDescent="0.25">
      <c r="C8" s="5">
        <v>6</v>
      </c>
      <c r="D8" s="5" t="s">
        <v>20</v>
      </c>
      <c r="E8" s="5">
        <v>331.04</v>
      </c>
      <c r="F8" s="5">
        <v>334.18</v>
      </c>
      <c r="G8" s="5">
        <f t="shared" si="0"/>
        <v>51.592356687898317</v>
      </c>
      <c r="H8" s="5">
        <v>3.09</v>
      </c>
      <c r="I8" s="5">
        <v>3.09</v>
      </c>
      <c r="J8" s="5">
        <f t="shared" si="1"/>
        <v>3.09</v>
      </c>
      <c r="K8">
        <f t="shared" si="2"/>
        <v>4.0803999999999986E-2</v>
      </c>
      <c r="L8" s="5">
        <v>6</v>
      </c>
      <c r="M8" s="5" t="s">
        <v>19</v>
      </c>
      <c r="N8" s="5">
        <v>326.39999999999998</v>
      </c>
      <c r="O8" s="5">
        <v>329.6</v>
      </c>
      <c r="P8" s="5">
        <f t="shared" si="3"/>
        <v>50.624999999999282</v>
      </c>
      <c r="Q8" s="5">
        <v>6.92</v>
      </c>
      <c r="R8" s="5">
        <v>5.59</v>
      </c>
      <c r="S8" s="5">
        <f t="shared" si="4"/>
        <v>2.08</v>
      </c>
      <c r="T8" s="5">
        <f t="shared" si="4"/>
        <v>3.41</v>
      </c>
      <c r="U8" s="5">
        <f t="shared" si="5"/>
        <v>2.7450000000000001</v>
      </c>
      <c r="V8">
        <f t="shared" si="6"/>
        <v>0.60217600000000004</v>
      </c>
    </row>
    <row r="9" spans="1:22" x14ac:dyDescent="0.25">
      <c r="C9" s="5">
        <v>7</v>
      </c>
      <c r="D9" s="5" t="s">
        <v>23</v>
      </c>
      <c r="E9" s="5">
        <v>330.96</v>
      </c>
      <c r="F9" s="5">
        <v>348.36</v>
      </c>
      <c r="G9" s="5">
        <f t="shared" si="0"/>
        <v>9.3103448275861886</v>
      </c>
      <c r="H9" s="5">
        <v>0.76</v>
      </c>
      <c r="I9" s="5">
        <v>0.76</v>
      </c>
      <c r="J9" s="7">
        <f t="shared" si="1"/>
        <v>0.76</v>
      </c>
      <c r="K9">
        <f t="shared" si="2"/>
        <v>6.4110240000000003</v>
      </c>
      <c r="L9" s="5">
        <v>7</v>
      </c>
      <c r="M9" s="5" t="s">
        <v>20</v>
      </c>
      <c r="N9" s="5">
        <v>326.8</v>
      </c>
      <c r="O9" s="5">
        <v>331.76</v>
      </c>
      <c r="P9" s="5">
        <f t="shared" si="3"/>
        <v>32.661290322580783</v>
      </c>
      <c r="Q9" s="5">
        <v>7.7</v>
      </c>
      <c r="R9" s="5">
        <v>7.7</v>
      </c>
      <c r="S9" s="5">
        <f t="shared" si="4"/>
        <v>1.2999999999999998</v>
      </c>
      <c r="T9" s="5">
        <f t="shared" si="4"/>
        <v>1.2999999999999998</v>
      </c>
      <c r="U9" s="5">
        <f t="shared" si="5"/>
        <v>1.2999999999999998</v>
      </c>
      <c r="V9">
        <f t="shared" si="6"/>
        <v>0.44756100000000038</v>
      </c>
    </row>
    <row r="10" spans="1:22" x14ac:dyDescent="0.25">
      <c r="C10" s="5">
        <v>8</v>
      </c>
      <c r="D10" s="5" t="s">
        <v>19</v>
      </c>
      <c r="E10" s="5">
        <v>333.2</v>
      </c>
      <c r="F10" s="5">
        <v>336.42</v>
      </c>
      <c r="G10" s="5">
        <f t="shared" si="0"/>
        <v>50.310559006210752</v>
      </c>
      <c r="H10" s="5">
        <v>2.97</v>
      </c>
      <c r="I10" s="5">
        <v>4.41</v>
      </c>
      <c r="J10" s="5">
        <f t="shared" si="1"/>
        <v>3.6900000000000004</v>
      </c>
      <c r="K10">
        <f t="shared" si="2"/>
        <v>0.15840400000000046</v>
      </c>
      <c r="L10" s="5">
        <v>8</v>
      </c>
      <c r="M10" s="5" t="s">
        <v>19</v>
      </c>
      <c r="N10" s="5">
        <v>328.12</v>
      </c>
      <c r="O10" s="5">
        <v>331.48</v>
      </c>
      <c r="P10" s="5">
        <f t="shared" si="3"/>
        <v>48.214285714285523</v>
      </c>
      <c r="Q10" s="5">
        <v>6.95</v>
      </c>
      <c r="R10" s="5">
        <v>5.61</v>
      </c>
      <c r="S10" s="5">
        <f t="shared" si="4"/>
        <v>2.0499999999999998</v>
      </c>
      <c r="T10" s="5">
        <f t="shared" si="4"/>
        <v>3.3899999999999997</v>
      </c>
      <c r="U10" s="5">
        <f t="shared" si="5"/>
        <v>2.7199999999999998</v>
      </c>
      <c r="V10">
        <f t="shared" si="6"/>
        <v>0.56400099999999953</v>
      </c>
    </row>
    <row r="11" spans="1:22" x14ac:dyDescent="0.25">
      <c r="C11" s="5">
        <v>9</v>
      </c>
      <c r="D11" s="5" t="s">
        <v>20</v>
      </c>
      <c r="E11" s="5">
        <v>334</v>
      </c>
      <c r="F11" s="5">
        <v>337.34</v>
      </c>
      <c r="G11" s="5">
        <f t="shared" si="0"/>
        <v>48.502994011976412</v>
      </c>
      <c r="H11" s="5">
        <v>1.95</v>
      </c>
      <c r="I11" s="5">
        <v>1.95</v>
      </c>
      <c r="J11" s="5">
        <f t="shared" si="1"/>
        <v>1.95</v>
      </c>
      <c r="K11">
        <f t="shared" si="2"/>
        <v>1.8009639999999996</v>
      </c>
      <c r="L11" s="5">
        <v>9</v>
      </c>
      <c r="M11" s="5" t="s">
        <v>20</v>
      </c>
      <c r="N11" s="5">
        <v>329.54</v>
      </c>
      <c r="O11" s="5">
        <v>333.24</v>
      </c>
      <c r="P11" s="5">
        <f t="shared" si="3"/>
        <v>43.783783783783917</v>
      </c>
      <c r="Q11" s="5">
        <v>7.63</v>
      </c>
      <c r="R11" s="5">
        <v>7.63</v>
      </c>
      <c r="S11" s="5">
        <f t="shared" si="4"/>
        <v>1.37</v>
      </c>
      <c r="T11" s="5">
        <f t="shared" si="4"/>
        <v>1.37</v>
      </c>
      <c r="U11" s="5">
        <f t="shared" si="5"/>
        <v>1.37</v>
      </c>
      <c r="V11">
        <f t="shared" si="6"/>
        <v>0.35880099999999998</v>
      </c>
    </row>
    <row r="12" spans="1:22" x14ac:dyDescent="0.25">
      <c r="C12" s="5">
        <v>10</v>
      </c>
      <c r="D12" s="5" t="s">
        <v>20</v>
      </c>
      <c r="E12" s="5">
        <v>334.8</v>
      </c>
      <c r="F12" s="5">
        <v>338</v>
      </c>
      <c r="G12" s="5">
        <f t="shared" si="0"/>
        <v>50.625000000000178</v>
      </c>
      <c r="H12" s="5">
        <v>3.16</v>
      </c>
      <c r="I12" s="5">
        <v>3.16</v>
      </c>
      <c r="J12" s="5">
        <f t="shared" si="1"/>
        <v>3.16</v>
      </c>
      <c r="K12">
        <f t="shared" si="2"/>
        <v>1.7423999999999915E-2</v>
      </c>
      <c r="L12" s="5">
        <v>10</v>
      </c>
      <c r="M12" s="5" t="s">
        <v>19</v>
      </c>
      <c r="N12" s="5">
        <v>330.74</v>
      </c>
      <c r="O12" s="5">
        <v>334.52</v>
      </c>
      <c r="P12" s="5">
        <f t="shared" si="3"/>
        <v>42.857142857143167</v>
      </c>
      <c r="Q12" s="5">
        <v>6.86</v>
      </c>
      <c r="R12" s="5">
        <v>5.64</v>
      </c>
      <c r="S12" s="5">
        <f t="shared" si="4"/>
        <v>2.1399999999999997</v>
      </c>
      <c r="T12" s="5">
        <f t="shared" si="4"/>
        <v>3.3600000000000003</v>
      </c>
      <c r="U12" s="5">
        <f t="shared" si="5"/>
        <v>2.75</v>
      </c>
      <c r="V12">
        <f t="shared" si="6"/>
        <v>0.60996099999999986</v>
      </c>
    </row>
    <row r="13" spans="1:22" x14ac:dyDescent="0.25">
      <c r="C13" s="5">
        <v>11</v>
      </c>
      <c r="D13" s="5" t="s">
        <v>21</v>
      </c>
      <c r="E13" s="7">
        <v>337.24</v>
      </c>
      <c r="F13" s="5">
        <v>342.56</v>
      </c>
      <c r="G13" s="5">
        <f t="shared" si="0"/>
        <v>30.451127819548908</v>
      </c>
      <c r="H13" s="5">
        <v>2.87</v>
      </c>
      <c r="I13" s="5">
        <v>4.93</v>
      </c>
      <c r="J13" s="5">
        <f t="shared" si="1"/>
        <v>3.9</v>
      </c>
      <c r="K13">
        <f t="shared" si="2"/>
        <v>0.3696640000000001</v>
      </c>
      <c r="L13" s="5">
        <v>11</v>
      </c>
      <c r="M13" s="5" t="s">
        <v>19</v>
      </c>
      <c r="N13" s="5">
        <v>333.32</v>
      </c>
      <c r="O13" s="5">
        <v>336.68</v>
      </c>
      <c r="P13" s="5">
        <f t="shared" si="3"/>
        <v>48.214285714285523</v>
      </c>
      <c r="Q13" s="5">
        <v>6.71</v>
      </c>
      <c r="R13" s="5">
        <v>5.36</v>
      </c>
      <c r="S13" s="5">
        <f t="shared" si="4"/>
        <v>2.29</v>
      </c>
      <c r="T13" s="5">
        <f t="shared" si="4"/>
        <v>3.6399999999999997</v>
      </c>
      <c r="U13" s="5">
        <f t="shared" si="5"/>
        <v>2.9649999999999999</v>
      </c>
      <c r="V13">
        <f t="shared" si="6"/>
        <v>0.99201599999999956</v>
      </c>
    </row>
    <row r="14" spans="1:22" x14ac:dyDescent="0.25">
      <c r="C14" s="5">
        <v>12</v>
      </c>
      <c r="D14" s="5" t="s">
        <v>20</v>
      </c>
      <c r="E14" s="5">
        <v>338.76</v>
      </c>
      <c r="F14" s="5">
        <v>342.94</v>
      </c>
      <c r="G14" s="5">
        <f t="shared" si="0"/>
        <v>38.755980861243955</v>
      </c>
      <c r="H14" s="5">
        <v>1.35</v>
      </c>
      <c r="I14" s="5">
        <v>1.35</v>
      </c>
      <c r="J14" s="5">
        <f t="shared" si="1"/>
        <v>1.35</v>
      </c>
      <c r="K14">
        <f t="shared" si="2"/>
        <v>3.7713639999999988</v>
      </c>
      <c r="L14" s="5">
        <v>12</v>
      </c>
      <c r="M14" s="5" t="s">
        <v>20</v>
      </c>
      <c r="N14" s="5">
        <v>333.36</v>
      </c>
      <c r="O14" s="5">
        <v>338.76</v>
      </c>
      <c r="P14" s="5">
        <f t="shared" si="3"/>
        <v>30.000000000000124</v>
      </c>
      <c r="Q14" s="5">
        <v>8.3800000000000008</v>
      </c>
      <c r="R14" s="5">
        <v>8.3800000000000008</v>
      </c>
      <c r="S14" s="5">
        <f t="shared" si="4"/>
        <v>0.61999999999999922</v>
      </c>
      <c r="T14" s="5">
        <f t="shared" si="4"/>
        <v>0.61999999999999922</v>
      </c>
      <c r="U14" s="5">
        <f t="shared" si="5"/>
        <v>0.61999999999999922</v>
      </c>
      <c r="V14">
        <f t="shared" si="6"/>
        <v>1.8198010000000024</v>
      </c>
    </row>
    <row r="15" spans="1:22" x14ac:dyDescent="0.25">
      <c r="C15" s="5">
        <v>13</v>
      </c>
      <c r="D15" s="5" t="s">
        <v>19</v>
      </c>
      <c r="E15" s="5">
        <v>339.08</v>
      </c>
      <c r="F15" s="5">
        <v>344.54</v>
      </c>
      <c r="G15" s="5">
        <f t="shared" si="0"/>
        <v>29.670329670329476</v>
      </c>
      <c r="H15" s="5">
        <v>3.36</v>
      </c>
      <c r="I15" s="5">
        <v>4.8899999999999997</v>
      </c>
      <c r="J15" s="5">
        <f t="shared" si="1"/>
        <v>4.125</v>
      </c>
      <c r="K15">
        <f t="shared" si="2"/>
        <v>0.69388900000000031</v>
      </c>
      <c r="L15" s="5">
        <v>13</v>
      </c>
      <c r="M15" s="7" t="s">
        <v>19</v>
      </c>
      <c r="N15" s="5">
        <v>342.4</v>
      </c>
      <c r="O15" s="5">
        <v>350.56</v>
      </c>
      <c r="P15" s="5">
        <f t="shared" si="3"/>
        <v>19.852941176470527</v>
      </c>
      <c r="Q15" s="5">
        <v>8.89</v>
      </c>
      <c r="R15" s="5">
        <v>7.67</v>
      </c>
      <c r="S15" s="5">
        <f t="shared" si="4"/>
        <v>0.10999999999999943</v>
      </c>
      <c r="T15" s="5">
        <f t="shared" si="4"/>
        <v>1.33</v>
      </c>
      <c r="U15" s="5">
        <f t="shared" si="5"/>
        <v>0.71999999999999975</v>
      </c>
      <c r="V15">
        <f t="shared" si="6"/>
        <v>1.5600010000000009</v>
      </c>
    </row>
    <row r="16" spans="1:22" x14ac:dyDescent="0.25">
      <c r="C16" s="5">
        <v>14</v>
      </c>
      <c r="D16" s="5" t="s">
        <v>18</v>
      </c>
      <c r="E16" s="5">
        <v>341.64</v>
      </c>
      <c r="F16" s="5">
        <v>346.2</v>
      </c>
      <c r="G16" s="5">
        <f t="shared" si="0"/>
        <v>35.526315789473664</v>
      </c>
      <c r="H16" s="5">
        <v>3.84</v>
      </c>
      <c r="I16" s="5">
        <v>3.84</v>
      </c>
      <c r="J16" s="5">
        <f t="shared" si="1"/>
        <v>3.84</v>
      </c>
      <c r="K16">
        <f t="shared" si="2"/>
        <v>0.30030400000000007</v>
      </c>
      <c r="L16" s="5">
        <v>14</v>
      </c>
      <c r="M16" s="5" t="s">
        <v>20</v>
      </c>
      <c r="N16" s="5">
        <v>348.52</v>
      </c>
      <c r="O16" s="5">
        <v>352</v>
      </c>
      <c r="P16" s="5">
        <f t="shared" si="3"/>
        <v>46.55172413793079</v>
      </c>
      <c r="Q16" s="5">
        <v>8.18</v>
      </c>
      <c r="R16" s="5">
        <v>8.18</v>
      </c>
      <c r="S16" s="5">
        <f t="shared" si="4"/>
        <v>0.82000000000000028</v>
      </c>
      <c r="T16" s="5">
        <f t="shared" si="4"/>
        <v>0.82000000000000028</v>
      </c>
      <c r="U16" s="5">
        <f t="shared" si="5"/>
        <v>0.82000000000000028</v>
      </c>
      <c r="V16">
        <f t="shared" si="6"/>
        <v>1.3202009999999995</v>
      </c>
    </row>
    <row r="17" spans="3:22" x14ac:dyDescent="0.25">
      <c r="C17" s="5">
        <v>15</v>
      </c>
      <c r="D17" s="5" t="s">
        <v>18</v>
      </c>
      <c r="E17" s="5">
        <v>342.08</v>
      </c>
      <c r="F17" s="5">
        <v>347.64</v>
      </c>
      <c r="G17" s="5">
        <f t="shared" si="0"/>
        <v>29.136690647482002</v>
      </c>
      <c r="H17" s="5">
        <v>2.9</v>
      </c>
      <c r="I17" s="5">
        <v>2.9</v>
      </c>
      <c r="J17" s="5">
        <f t="shared" si="1"/>
        <v>2.9</v>
      </c>
      <c r="K17">
        <f t="shared" si="2"/>
        <v>0.15366399999999991</v>
      </c>
      <c r="L17" s="5">
        <v>15</v>
      </c>
      <c r="M17" s="5" t="s">
        <v>19</v>
      </c>
      <c r="N17" s="5">
        <v>349.16</v>
      </c>
      <c r="O17" s="5">
        <v>353.48</v>
      </c>
      <c r="P17" s="5">
        <f t="shared" si="3"/>
        <v>37.500000000000064</v>
      </c>
      <c r="Q17" s="5">
        <v>7.3</v>
      </c>
      <c r="R17" s="5">
        <v>6.08</v>
      </c>
      <c r="S17" s="5">
        <f t="shared" si="4"/>
        <v>1.7000000000000002</v>
      </c>
      <c r="T17" s="5">
        <f t="shared" si="4"/>
        <v>2.92</v>
      </c>
      <c r="U17" s="5">
        <f t="shared" si="5"/>
        <v>2.31</v>
      </c>
      <c r="V17">
        <f t="shared" si="6"/>
        <v>0.11628099999999998</v>
      </c>
    </row>
    <row r="18" spans="3:22" x14ac:dyDescent="0.25">
      <c r="C18" s="5">
        <v>16</v>
      </c>
      <c r="D18" s="5" t="s">
        <v>20</v>
      </c>
      <c r="E18" s="5">
        <v>343.04</v>
      </c>
      <c r="F18" s="5">
        <v>347.34</v>
      </c>
      <c r="G18" s="5">
        <f t="shared" si="0"/>
        <v>37.674418604651564</v>
      </c>
      <c r="H18" s="5">
        <v>4.4000000000000004</v>
      </c>
      <c r="I18" s="5">
        <v>4.4000000000000004</v>
      </c>
      <c r="J18" s="5">
        <f t="shared" si="1"/>
        <v>4.4000000000000004</v>
      </c>
      <c r="K18">
        <f t="shared" si="2"/>
        <v>1.2276640000000012</v>
      </c>
      <c r="L18" s="5">
        <v>16</v>
      </c>
      <c r="M18" s="5" t="s">
        <v>19</v>
      </c>
      <c r="N18" s="5">
        <v>376.72</v>
      </c>
      <c r="O18" s="5">
        <v>379.4</v>
      </c>
      <c r="P18" s="5">
        <f t="shared" si="3"/>
        <v>60.447761194030974</v>
      </c>
      <c r="Q18" s="5">
        <v>7.19</v>
      </c>
      <c r="R18" s="5">
        <v>5.75</v>
      </c>
      <c r="S18" s="5">
        <f t="shared" si="4"/>
        <v>1.8099999999999996</v>
      </c>
      <c r="T18" s="5">
        <f t="shared" si="4"/>
        <v>3.25</v>
      </c>
      <c r="U18" s="5">
        <f t="shared" si="5"/>
        <v>2.5299999999999998</v>
      </c>
      <c r="V18">
        <f t="shared" si="6"/>
        <v>0.3147209999999997</v>
      </c>
    </row>
    <row r="19" spans="3:22" x14ac:dyDescent="0.25">
      <c r="C19" s="5">
        <v>17</v>
      </c>
      <c r="D19" s="5" t="s">
        <v>19</v>
      </c>
      <c r="E19" s="5">
        <v>343.96</v>
      </c>
      <c r="F19" s="5">
        <v>348.72</v>
      </c>
      <c r="G19" s="5">
        <f t="shared" si="0"/>
        <v>34.033613445377817</v>
      </c>
      <c r="H19" s="5">
        <v>3.61</v>
      </c>
      <c r="I19" s="5">
        <v>4.76</v>
      </c>
      <c r="J19" s="5">
        <f t="shared" si="1"/>
        <v>4.1849999999999996</v>
      </c>
      <c r="K19">
        <f t="shared" si="2"/>
        <v>0.79744899999999963</v>
      </c>
      <c r="L19" s="5">
        <v>17</v>
      </c>
      <c r="M19" s="5" t="s">
        <v>20</v>
      </c>
      <c r="N19" s="5">
        <v>378.44</v>
      </c>
      <c r="O19" s="5">
        <v>381.56</v>
      </c>
      <c r="P19" s="5">
        <f t="shared" si="3"/>
        <v>51.923076923076849</v>
      </c>
      <c r="Q19" s="5">
        <v>4.26</v>
      </c>
      <c r="R19" s="5">
        <v>4.26</v>
      </c>
      <c r="S19" s="5">
        <f t="shared" si="4"/>
        <v>4.74</v>
      </c>
      <c r="T19" s="5">
        <f t="shared" si="4"/>
        <v>4.74</v>
      </c>
      <c r="U19" s="5">
        <f t="shared" si="5"/>
        <v>4.74</v>
      </c>
      <c r="V19">
        <f t="shared" si="6"/>
        <v>7.6784409999999994</v>
      </c>
    </row>
    <row r="20" spans="3:22" x14ac:dyDescent="0.25">
      <c r="C20" s="5">
        <v>18</v>
      </c>
      <c r="D20" s="5" t="s">
        <v>20</v>
      </c>
      <c r="E20" s="5">
        <v>344.08</v>
      </c>
      <c r="F20" s="5">
        <v>347.2</v>
      </c>
      <c r="G20" s="5">
        <f t="shared" si="0"/>
        <v>51.923076923076849</v>
      </c>
      <c r="H20" s="5">
        <v>5.71</v>
      </c>
      <c r="I20" s="5">
        <v>5.71</v>
      </c>
      <c r="J20" s="5">
        <f t="shared" si="1"/>
        <v>5.71</v>
      </c>
      <c r="K20">
        <f t="shared" si="2"/>
        <v>5.8467240000000009</v>
      </c>
      <c r="L20" s="5">
        <v>18</v>
      </c>
      <c r="M20" s="5" t="s">
        <v>21</v>
      </c>
      <c r="N20" s="5">
        <v>379.44</v>
      </c>
      <c r="O20" s="5">
        <v>384.28</v>
      </c>
      <c r="P20" s="5">
        <f t="shared" si="3"/>
        <v>33.471074380165462</v>
      </c>
      <c r="Q20" s="5">
        <v>7.93</v>
      </c>
      <c r="R20" s="5">
        <v>5.83</v>
      </c>
      <c r="S20" s="5">
        <f>$A$5-Q20</f>
        <v>1.0700000000000003</v>
      </c>
      <c r="T20" s="5">
        <f>$A$5-R20</f>
        <v>3.17</v>
      </c>
      <c r="U20" s="5">
        <f t="shared" si="5"/>
        <v>2.12</v>
      </c>
      <c r="V20">
        <f t="shared" si="6"/>
        <v>2.2801000000000005E-2</v>
      </c>
    </row>
    <row r="21" spans="3:22" x14ac:dyDescent="0.25">
      <c r="C21" s="5">
        <v>19</v>
      </c>
      <c r="D21" s="5" t="s">
        <v>20</v>
      </c>
      <c r="E21" s="5">
        <v>344.08</v>
      </c>
      <c r="F21" s="5">
        <v>349.28</v>
      </c>
      <c r="G21" s="5">
        <f t="shared" si="0"/>
        <v>31.153846153846224</v>
      </c>
      <c r="H21" s="5">
        <v>4.82</v>
      </c>
      <c r="I21" s="5">
        <v>4.82</v>
      </c>
      <c r="J21" s="5">
        <f t="shared" si="1"/>
        <v>4.82</v>
      </c>
      <c r="K21">
        <f t="shared" si="2"/>
        <v>2.3347840000000013</v>
      </c>
      <c r="L21" s="5">
        <v>19</v>
      </c>
      <c r="M21" s="5" t="s">
        <v>20</v>
      </c>
      <c r="N21" s="5">
        <v>380.28</v>
      </c>
      <c r="O21" s="5">
        <v>384.56</v>
      </c>
      <c r="P21" s="5">
        <f t="shared" si="3"/>
        <v>37.850467289719361</v>
      </c>
      <c r="Q21" s="5">
        <v>7.98</v>
      </c>
      <c r="R21" s="5">
        <v>7.98</v>
      </c>
      <c r="S21" s="5">
        <f t="shared" ref="S21:S84" si="7">$A$5-Q21</f>
        <v>1.0199999999999996</v>
      </c>
      <c r="T21" s="5">
        <f t="shared" ref="T21:T34" si="8">$A$5-R21</f>
        <v>1.0199999999999996</v>
      </c>
      <c r="U21" s="5">
        <f t="shared" si="5"/>
        <v>1.0199999999999996</v>
      </c>
      <c r="V21">
        <f t="shared" si="6"/>
        <v>0.90060100000000098</v>
      </c>
    </row>
    <row r="22" spans="3:22" x14ac:dyDescent="0.25">
      <c r="C22" s="5">
        <v>20</v>
      </c>
      <c r="D22" s="5" t="s">
        <v>20</v>
      </c>
      <c r="E22" s="5">
        <v>345.16</v>
      </c>
      <c r="F22" s="5">
        <v>349.32</v>
      </c>
      <c r="G22" s="5">
        <f t="shared" si="0"/>
        <v>38.942307692307992</v>
      </c>
      <c r="H22" s="5">
        <v>2.73</v>
      </c>
      <c r="I22" s="5">
        <v>2.73</v>
      </c>
      <c r="J22" s="5">
        <f t="shared" si="1"/>
        <v>2.73</v>
      </c>
      <c r="K22">
        <f t="shared" si="2"/>
        <v>0.31584399999999979</v>
      </c>
      <c r="L22" s="5">
        <v>20</v>
      </c>
      <c r="M22" s="5" t="s">
        <v>19</v>
      </c>
      <c r="N22" s="5">
        <v>380.56</v>
      </c>
      <c r="O22" s="5">
        <v>385.36</v>
      </c>
      <c r="P22" s="5">
        <f t="shared" si="3"/>
        <v>33.749999999999922</v>
      </c>
      <c r="Q22" s="5">
        <v>6.82</v>
      </c>
      <c r="R22" s="5">
        <v>5.38</v>
      </c>
      <c r="S22" s="5">
        <f t="shared" si="7"/>
        <v>2.1799999999999997</v>
      </c>
      <c r="T22" s="5">
        <f t="shared" si="8"/>
        <v>3.62</v>
      </c>
      <c r="U22" s="5">
        <f t="shared" si="5"/>
        <v>2.9</v>
      </c>
      <c r="V22">
        <f t="shared" si="6"/>
        <v>0.86676099999999967</v>
      </c>
    </row>
    <row r="23" spans="3:22" x14ac:dyDescent="0.25">
      <c r="C23" s="5">
        <v>21</v>
      </c>
      <c r="D23" s="5" t="s">
        <v>20</v>
      </c>
      <c r="E23" s="5">
        <v>345.28</v>
      </c>
      <c r="F23" s="5">
        <v>350.08</v>
      </c>
      <c r="G23" s="5">
        <f t="shared" si="0"/>
        <v>33.749999999999922</v>
      </c>
      <c r="H23" s="5">
        <v>4.78</v>
      </c>
      <c r="I23" s="5">
        <v>4.78</v>
      </c>
      <c r="J23" s="5">
        <f t="shared" si="1"/>
        <v>4.78</v>
      </c>
      <c r="K23">
        <f t="shared" si="2"/>
        <v>2.2141440000000014</v>
      </c>
      <c r="L23" s="5">
        <v>21</v>
      </c>
      <c r="M23" s="5" t="s">
        <v>19</v>
      </c>
      <c r="N23" s="5">
        <v>381.6</v>
      </c>
      <c r="O23" s="5">
        <v>386.44</v>
      </c>
      <c r="P23" s="5">
        <f t="shared" si="3"/>
        <v>33.471074380165462</v>
      </c>
      <c r="Q23" s="5">
        <v>7.25</v>
      </c>
      <c r="R23" s="5">
        <v>5.81</v>
      </c>
      <c r="S23" s="5">
        <f t="shared" si="7"/>
        <v>1.75</v>
      </c>
      <c r="T23" s="5">
        <f t="shared" si="8"/>
        <v>3.1900000000000004</v>
      </c>
      <c r="U23" s="5">
        <f t="shared" si="5"/>
        <v>2.4700000000000002</v>
      </c>
      <c r="V23">
        <f t="shared" si="6"/>
        <v>0.25100100000000009</v>
      </c>
    </row>
    <row r="24" spans="3:22" x14ac:dyDescent="0.25">
      <c r="C24" s="5">
        <v>22</v>
      </c>
      <c r="D24" s="5" t="s">
        <v>20</v>
      </c>
      <c r="E24" s="5">
        <v>345.36</v>
      </c>
      <c r="F24" s="5">
        <v>350.14</v>
      </c>
      <c r="G24" s="5">
        <f t="shared" si="0"/>
        <v>33.891213389121532</v>
      </c>
      <c r="H24" s="5">
        <v>2.2000000000000002</v>
      </c>
      <c r="I24" s="5">
        <v>2.2000000000000002</v>
      </c>
      <c r="J24" s="5">
        <f t="shared" si="1"/>
        <v>2.2000000000000002</v>
      </c>
      <c r="K24">
        <f t="shared" si="2"/>
        <v>1.1924639999999993</v>
      </c>
      <c r="L24" s="5">
        <v>22</v>
      </c>
      <c r="M24" s="5" t="s">
        <v>20</v>
      </c>
      <c r="N24" s="5">
        <v>382.32</v>
      </c>
      <c r="O24" s="5">
        <v>388.08</v>
      </c>
      <c r="P24" s="5">
        <f t="shared" si="3"/>
        <v>28.125000000000046</v>
      </c>
      <c r="Q24" s="5">
        <v>8.0500000000000007</v>
      </c>
      <c r="R24" s="5">
        <v>8.0500000000000007</v>
      </c>
      <c r="S24" s="5">
        <f t="shared" si="7"/>
        <v>0.94999999999999929</v>
      </c>
      <c r="T24" s="5">
        <f t="shared" si="8"/>
        <v>0.94999999999999929</v>
      </c>
      <c r="U24" s="5">
        <f t="shared" si="5"/>
        <v>0.94999999999999929</v>
      </c>
      <c r="V24">
        <f t="shared" si="6"/>
        <v>1.0383610000000016</v>
      </c>
    </row>
    <row r="25" spans="3:22" x14ac:dyDescent="0.25">
      <c r="C25" s="5">
        <v>23</v>
      </c>
      <c r="D25" s="5" t="s">
        <v>19</v>
      </c>
      <c r="E25" s="5">
        <v>346.2</v>
      </c>
      <c r="F25" s="5">
        <v>351.16</v>
      </c>
      <c r="G25" s="5">
        <f t="shared" si="0"/>
        <v>32.661290322580406</v>
      </c>
      <c r="H25" s="5">
        <v>3.88</v>
      </c>
      <c r="I25" s="5">
        <v>5.14</v>
      </c>
      <c r="J25" s="5">
        <f t="shared" si="1"/>
        <v>4.51</v>
      </c>
      <c r="K25">
        <f t="shared" si="2"/>
        <v>1.4835239999999998</v>
      </c>
      <c r="L25" s="5">
        <v>23</v>
      </c>
      <c r="M25" s="5" t="s">
        <v>19</v>
      </c>
      <c r="N25" s="5">
        <v>382.88</v>
      </c>
      <c r="O25" s="5">
        <v>387.72</v>
      </c>
      <c r="P25" s="5">
        <f t="shared" si="3"/>
        <v>33.471074380165071</v>
      </c>
      <c r="Q25" s="5">
        <v>7.38</v>
      </c>
      <c r="R25" s="5">
        <v>5.94</v>
      </c>
      <c r="S25" s="5">
        <f t="shared" si="7"/>
        <v>1.62</v>
      </c>
      <c r="T25" s="5">
        <f t="shared" si="8"/>
        <v>3.0599999999999996</v>
      </c>
      <c r="U25" s="5">
        <f t="shared" si="5"/>
        <v>2.34</v>
      </c>
      <c r="V25">
        <f t="shared" si="6"/>
        <v>0.13764099999999982</v>
      </c>
    </row>
    <row r="26" spans="3:22" x14ac:dyDescent="0.25">
      <c r="C26" s="5">
        <v>24</v>
      </c>
      <c r="D26" s="5" t="s">
        <v>19</v>
      </c>
      <c r="E26" s="5">
        <v>349.84</v>
      </c>
      <c r="F26" s="5">
        <v>353.36</v>
      </c>
      <c r="G26" s="5">
        <f t="shared" si="0"/>
        <v>46.022727272726769</v>
      </c>
      <c r="H26" s="5">
        <v>3.42</v>
      </c>
      <c r="I26" s="5">
        <v>4.93</v>
      </c>
      <c r="J26" s="5">
        <f t="shared" si="1"/>
        <v>4.1749999999999998</v>
      </c>
      <c r="K26">
        <f t="shared" si="2"/>
        <v>0.77968899999999997</v>
      </c>
      <c r="L26" s="5">
        <v>24</v>
      </c>
      <c r="M26" s="7" t="s">
        <v>19</v>
      </c>
      <c r="N26" s="5">
        <v>384.64</v>
      </c>
      <c r="O26" s="5">
        <v>389</v>
      </c>
      <c r="P26" s="5">
        <f t="shared" si="3"/>
        <v>37.155963302752177</v>
      </c>
      <c r="Q26" s="5">
        <v>8.31</v>
      </c>
      <c r="R26" s="5">
        <v>6.54</v>
      </c>
      <c r="S26" s="5">
        <f t="shared" si="7"/>
        <v>0.6899999999999995</v>
      </c>
      <c r="T26" s="5">
        <f t="shared" si="8"/>
        <v>2.46</v>
      </c>
      <c r="U26" s="5">
        <f t="shared" si="5"/>
        <v>1.5749999999999997</v>
      </c>
      <c r="V26">
        <f t="shared" si="6"/>
        <v>0.15523600000000026</v>
      </c>
    </row>
    <row r="27" spans="3:22" x14ac:dyDescent="0.25">
      <c r="C27" s="5">
        <v>25</v>
      </c>
      <c r="D27" s="5" t="s">
        <v>20</v>
      </c>
      <c r="E27" s="5">
        <v>350.8</v>
      </c>
      <c r="F27" s="5">
        <v>354.24</v>
      </c>
      <c r="G27" s="5">
        <f t="shared" si="0"/>
        <v>47.093023255813982</v>
      </c>
      <c r="H27" s="5">
        <v>3.69</v>
      </c>
      <c r="I27" s="5">
        <v>3.69</v>
      </c>
      <c r="J27" s="5">
        <f t="shared" si="1"/>
        <v>3.69</v>
      </c>
      <c r="K27">
        <f t="shared" si="2"/>
        <v>0.1584040000000001</v>
      </c>
      <c r="L27" s="5">
        <v>25</v>
      </c>
      <c r="M27" s="5" t="s">
        <v>20</v>
      </c>
      <c r="N27" s="5">
        <v>385.36</v>
      </c>
      <c r="O27" s="5">
        <v>389.84</v>
      </c>
      <c r="P27" s="5">
        <f t="shared" si="3"/>
        <v>36.160714285714604</v>
      </c>
      <c r="Q27" s="5">
        <v>7.93</v>
      </c>
      <c r="R27" s="5">
        <v>7.93</v>
      </c>
      <c r="S27" s="5">
        <f t="shared" si="7"/>
        <v>1.0700000000000003</v>
      </c>
      <c r="T27" s="5">
        <f t="shared" si="8"/>
        <v>1.0700000000000003</v>
      </c>
      <c r="U27" s="5">
        <f t="shared" si="5"/>
        <v>1.0700000000000003</v>
      </c>
      <c r="V27">
        <f t="shared" si="6"/>
        <v>0.80820099999999961</v>
      </c>
    </row>
    <row r="28" spans="3:22" x14ac:dyDescent="0.25">
      <c r="C28" s="5">
        <v>26</v>
      </c>
      <c r="D28" s="5" t="s">
        <v>20</v>
      </c>
      <c r="E28" s="5">
        <v>351.6</v>
      </c>
      <c r="F28" s="5">
        <v>355.9</v>
      </c>
      <c r="G28" s="5">
        <f t="shared" si="0"/>
        <v>37.674418604651564</v>
      </c>
      <c r="H28" s="5">
        <v>2.58</v>
      </c>
      <c r="I28" s="5">
        <v>2.58</v>
      </c>
      <c r="J28" s="5">
        <f t="shared" si="1"/>
        <v>2.58</v>
      </c>
      <c r="K28">
        <f t="shared" si="2"/>
        <v>0.50694399999999962</v>
      </c>
      <c r="L28" s="5">
        <v>26</v>
      </c>
      <c r="M28" s="5" t="s">
        <v>19</v>
      </c>
      <c r="N28" s="5">
        <v>385.92</v>
      </c>
      <c r="O28" s="5">
        <v>390.88</v>
      </c>
      <c r="P28" s="5">
        <f t="shared" si="3"/>
        <v>32.661290322580783</v>
      </c>
      <c r="Q28" s="5">
        <v>7.35</v>
      </c>
      <c r="R28" s="5">
        <v>5.91</v>
      </c>
      <c r="S28" s="5">
        <f t="shared" si="7"/>
        <v>1.6500000000000004</v>
      </c>
      <c r="T28" s="5">
        <f t="shared" si="8"/>
        <v>3.09</v>
      </c>
      <c r="U28" s="5">
        <f t="shared" si="5"/>
        <v>2.37</v>
      </c>
      <c r="V28">
        <f t="shared" si="6"/>
        <v>0.16080100000000003</v>
      </c>
    </row>
    <row r="29" spans="3:22" x14ac:dyDescent="0.25">
      <c r="C29" s="5">
        <v>27</v>
      </c>
      <c r="D29" s="5" t="s">
        <v>20</v>
      </c>
      <c r="E29" s="5">
        <v>352.04</v>
      </c>
      <c r="F29" s="5">
        <v>355.58</v>
      </c>
      <c r="G29" s="5">
        <f t="shared" si="0"/>
        <v>45.762711864407251</v>
      </c>
      <c r="H29" s="5">
        <v>3.67</v>
      </c>
      <c r="I29" s="5">
        <v>3.67</v>
      </c>
      <c r="J29" s="5">
        <f t="shared" si="1"/>
        <v>3.67</v>
      </c>
      <c r="K29">
        <f t="shared" si="2"/>
        <v>0.14288400000000009</v>
      </c>
      <c r="L29" s="5">
        <v>27</v>
      </c>
      <c r="M29" s="5" t="s">
        <v>20</v>
      </c>
      <c r="N29" s="5">
        <v>386.64</v>
      </c>
      <c r="O29" s="5">
        <v>391.4</v>
      </c>
      <c r="P29" s="5">
        <f t="shared" si="3"/>
        <v>34.033613445378215</v>
      </c>
      <c r="Q29" s="5">
        <v>7.83</v>
      </c>
      <c r="R29" s="5">
        <v>7.83</v>
      </c>
      <c r="S29" s="5">
        <f t="shared" si="7"/>
        <v>1.17</v>
      </c>
      <c r="T29" s="5">
        <f t="shared" si="8"/>
        <v>1.17</v>
      </c>
      <c r="U29" s="5">
        <f t="shared" si="5"/>
        <v>1.17</v>
      </c>
      <c r="V29">
        <f t="shared" si="6"/>
        <v>0.63840100000000022</v>
      </c>
    </row>
    <row r="30" spans="3:22" x14ac:dyDescent="0.25">
      <c r="C30" s="5">
        <v>28</v>
      </c>
      <c r="D30" s="5" t="s">
        <v>19</v>
      </c>
      <c r="E30" s="5">
        <v>352.48</v>
      </c>
      <c r="F30" s="5">
        <v>355.88</v>
      </c>
      <c r="G30" s="5">
        <f t="shared" si="0"/>
        <v>47.647058823529733</v>
      </c>
      <c r="H30" s="5">
        <v>4.91</v>
      </c>
      <c r="I30" s="5">
        <v>6.04</v>
      </c>
      <c r="J30" s="5">
        <f t="shared" si="1"/>
        <v>5.4749999999999996</v>
      </c>
      <c r="K30">
        <f t="shared" si="2"/>
        <v>4.7654889999999996</v>
      </c>
      <c r="L30" s="5">
        <v>28</v>
      </c>
      <c r="M30" s="5" t="s">
        <v>20</v>
      </c>
      <c r="N30" s="5">
        <v>387.64</v>
      </c>
      <c r="O30" s="5">
        <v>391.96</v>
      </c>
      <c r="P30" s="5">
        <f t="shared" si="3"/>
        <v>37.500000000000064</v>
      </c>
      <c r="Q30" s="5">
        <v>7.66</v>
      </c>
      <c r="R30" s="5">
        <v>7.66</v>
      </c>
      <c r="S30" s="5">
        <f t="shared" si="7"/>
        <v>1.3399999999999999</v>
      </c>
      <c r="T30" s="5">
        <f t="shared" si="8"/>
        <v>1.3399999999999999</v>
      </c>
      <c r="U30" s="5">
        <f t="shared" si="5"/>
        <v>1.3399999999999999</v>
      </c>
      <c r="V30">
        <f t="shared" si="6"/>
        <v>0.3956410000000003</v>
      </c>
    </row>
    <row r="31" spans="3:22" x14ac:dyDescent="0.25">
      <c r="C31" s="5">
        <v>29</v>
      </c>
      <c r="D31" s="5" t="s">
        <v>20</v>
      </c>
      <c r="E31" s="5">
        <v>354.08</v>
      </c>
      <c r="F31" s="5">
        <v>357.44</v>
      </c>
      <c r="G31" s="5">
        <f t="shared" si="0"/>
        <v>48.214285714285523</v>
      </c>
      <c r="H31" s="5">
        <v>2.9</v>
      </c>
      <c r="I31" s="5">
        <v>2.9</v>
      </c>
      <c r="J31" s="5">
        <f t="shared" si="1"/>
        <v>2.9</v>
      </c>
      <c r="K31">
        <f t="shared" si="2"/>
        <v>0.15366399999999991</v>
      </c>
      <c r="L31" s="5">
        <v>29</v>
      </c>
      <c r="M31" s="5" t="s">
        <v>19</v>
      </c>
      <c r="N31" s="5">
        <v>388.44</v>
      </c>
      <c r="O31" s="5">
        <v>393.68</v>
      </c>
      <c r="P31" s="5">
        <f t="shared" si="3"/>
        <v>30.916030534351091</v>
      </c>
      <c r="Q31" s="5">
        <v>7.9</v>
      </c>
      <c r="R31" s="5">
        <v>6.13</v>
      </c>
      <c r="S31" s="5">
        <f t="shared" si="7"/>
        <v>1.0999999999999996</v>
      </c>
      <c r="T31" s="5">
        <f t="shared" si="8"/>
        <v>2.87</v>
      </c>
      <c r="U31" s="5">
        <f t="shared" si="5"/>
        <v>1.9849999999999999</v>
      </c>
      <c r="V31">
        <f t="shared" si="6"/>
        <v>2.5599999999999337E-4</v>
      </c>
    </row>
    <row r="32" spans="3:22" x14ac:dyDescent="0.25">
      <c r="C32" s="5">
        <v>30</v>
      </c>
      <c r="D32" s="5" t="s">
        <v>20</v>
      </c>
      <c r="E32" s="5">
        <v>354.8</v>
      </c>
      <c r="F32" s="5">
        <v>359.28</v>
      </c>
      <c r="G32" s="5">
        <f t="shared" si="0"/>
        <v>36.160714285714604</v>
      </c>
      <c r="H32" s="5">
        <v>2.71</v>
      </c>
      <c r="I32" s="5">
        <v>2.71</v>
      </c>
      <c r="J32" s="5">
        <f t="shared" si="1"/>
        <v>2.71</v>
      </c>
      <c r="K32">
        <f t="shared" si="2"/>
        <v>0.3387239999999998</v>
      </c>
      <c r="L32" s="5">
        <v>30</v>
      </c>
      <c r="M32" s="5" t="s">
        <v>20</v>
      </c>
      <c r="N32" s="5">
        <v>392.04</v>
      </c>
      <c r="O32" s="5">
        <v>396.52</v>
      </c>
      <c r="P32" s="5">
        <f t="shared" si="3"/>
        <v>36.160714285714604</v>
      </c>
      <c r="Q32" s="5">
        <v>7.62</v>
      </c>
      <c r="R32" s="5">
        <v>7.62</v>
      </c>
      <c r="S32" s="5">
        <f t="shared" si="7"/>
        <v>1.38</v>
      </c>
      <c r="T32" s="5">
        <f t="shared" si="8"/>
        <v>1.38</v>
      </c>
      <c r="U32" s="5">
        <f t="shared" si="5"/>
        <v>1.38</v>
      </c>
      <c r="V32">
        <f t="shared" si="6"/>
        <v>0.3469210000000002</v>
      </c>
    </row>
    <row r="33" spans="3:22" x14ac:dyDescent="0.25">
      <c r="C33" s="5">
        <v>31</v>
      </c>
      <c r="D33" s="5" t="s">
        <v>19</v>
      </c>
      <c r="E33" s="5">
        <v>356.12</v>
      </c>
      <c r="F33" s="5">
        <v>360.12</v>
      </c>
      <c r="G33" s="5">
        <f t="shared" si="0"/>
        <v>40.5</v>
      </c>
      <c r="H33" s="5">
        <v>5.96</v>
      </c>
      <c r="I33" s="5">
        <v>7.01</v>
      </c>
      <c r="J33" s="5">
        <f t="shared" si="1"/>
        <v>6.4849999999999994</v>
      </c>
      <c r="K33">
        <f t="shared" si="2"/>
        <v>10.195248999999997</v>
      </c>
      <c r="L33" s="5">
        <v>31</v>
      </c>
      <c r="M33" s="5" t="s">
        <v>19</v>
      </c>
      <c r="N33" s="5">
        <v>395.84</v>
      </c>
      <c r="O33" s="5">
        <v>400.48</v>
      </c>
      <c r="P33" s="5">
        <f t="shared" si="3"/>
        <v>34.913793103447951</v>
      </c>
      <c r="Q33" s="5">
        <v>7.4</v>
      </c>
      <c r="R33" s="5">
        <v>5.96</v>
      </c>
      <c r="S33" s="5">
        <f t="shared" si="7"/>
        <v>1.5999999999999996</v>
      </c>
      <c r="T33" s="5">
        <f t="shared" si="8"/>
        <v>3.04</v>
      </c>
      <c r="U33" s="5">
        <f t="shared" si="5"/>
        <v>2.3199999999999998</v>
      </c>
      <c r="V33">
        <f t="shared" si="6"/>
        <v>0.12320099999999982</v>
      </c>
    </row>
    <row r="34" spans="3:22" x14ac:dyDescent="0.25">
      <c r="C34" s="5">
        <v>32</v>
      </c>
      <c r="D34" s="5" t="s">
        <v>20</v>
      </c>
      <c r="E34" s="5">
        <v>357.88</v>
      </c>
      <c r="F34" s="5">
        <v>361.35</v>
      </c>
      <c r="G34" s="5">
        <f t="shared" si="0"/>
        <v>46.685878962535654</v>
      </c>
      <c r="H34" s="5">
        <v>3.31</v>
      </c>
      <c r="I34" s="5">
        <v>3.31</v>
      </c>
      <c r="J34" s="5">
        <f t="shared" si="1"/>
        <v>3.31</v>
      </c>
      <c r="K34">
        <f t="shared" si="2"/>
        <v>3.2400000000000858E-4</v>
      </c>
      <c r="L34" s="5">
        <v>32</v>
      </c>
      <c r="M34" s="5" t="s">
        <v>19</v>
      </c>
      <c r="N34" s="5">
        <v>396.76</v>
      </c>
      <c r="O34" s="5">
        <v>401.64</v>
      </c>
      <c r="P34" s="5">
        <f t="shared" si="3"/>
        <v>33.196721311475443</v>
      </c>
      <c r="Q34" s="5">
        <v>7.31</v>
      </c>
      <c r="R34" s="5">
        <v>5.87</v>
      </c>
      <c r="S34" s="5">
        <f t="shared" si="7"/>
        <v>1.6900000000000004</v>
      </c>
      <c r="T34" s="5">
        <f t="shared" si="8"/>
        <v>3.13</v>
      </c>
      <c r="U34" s="5">
        <f t="shared" si="5"/>
        <v>2.41</v>
      </c>
      <c r="V34">
        <f t="shared" si="6"/>
        <v>0.19448100000000004</v>
      </c>
    </row>
    <row r="35" spans="3:22" x14ac:dyDescent="0.25">
      <c r="C35" s="5">
        <v>33</v>
      </c>
      <c r="D35" s="5" t="s">
        <v>19</v>
      </c>
      <c r="E35" s="5">
        <v>362.56</v>
      </c>
      <c r="F35" s="5">
        <v>365.52</v>
      </c>
      <c r="G35" s="5">
        <f t="shared" si="0"/>
        <v>54.72972972973011</v>
      </c>
      <c r="H35" s="5">
        <v>3.78</v>
      </c>
      <c r="I35" s="5">
        <v>5.16</v>
      </c>
      <c r="J35" s="5">
        <f t="shared" si="1"/>
        <v>4.47</v>
      </c>
      <c r="K35">
        <f t="shared" si="2"/>
        <v>1.3876839999999999</v>
      </c>
      <c r="L35" s="5">
        <v>33</v>
      </c>
      <c r="M35" s="5" t="s">
        <v>20</v>
      </c>
      <c r="N35" s="5">
        <v>397.28</v>
      </c>
      <c r="O35" s="5">
        <v>401.88</v>
      </c>
      <c r="P35" s="5">
        <f t="shared" si="3"/>
        <v>35.217391304347657</v>
      </c>
      <c r="Q35" s="5">
        <v>7.83</v>
      </c>
      <c r="R35" s="5">
        <v>7.83</v>
      </c>
      <c r="S35" s="5">
        <f t="shared" si="7"/>
        <v>1.17</v>
      </c>
      <c r="T35" s="5">
        <f t="shared" ref="T35:T98" si="9">$A$5-R35</f>
        <v>1.17</v>
      </c>
      <c r="U35" s="5">
        <f t="shared" si="5"/>
        <v>1.17</v>
      </c>
      <c r="V35">
        <f t="shared" si="6"/>
        <v>0.63840100000000022</v>
      </c>
    </row>
    <row r="36" spans="3:22" x14ac:dyDescent="0.25">
      <c r="C36" s="5">
        <v>34</v>
      </c>
      <c r="D36" s="5" t="s">
        <v>20</v>
      </c>
      <c r="E36" s="5">
        <v>369.68</v>
      </c>
      <c r="F36" s="5">
        <v>373.08</v>
      </c>
      <c r="G36" s="5">
        <f t="shared" si="0"/>
        <v>47.647058823529733</v>
      </c>
      <c r="H36" s="5">
        <v>2.79</v>
      </c>
      <c r="I36" s="5">
        <v>2.79</v>
      </c>
      <c r="J36" s="5">
        <f t="shared" si="1"/>
        <v>2.79</v>
      </c>
      <c r="K36">
        <f t="shared" si="2"/>
        <v>0.25200399999999978</v>
      </c>
      <c r="L36" s="5">
        <v>34</v>
      </c>
      <c r="M36" s="5" t="s">
        <v>19</v>
      </c>
      <c r="N36" s="5">
        <v>398.48</v>
      </c>
      <c r="O36" s="5">
        <v>403.2</v>
      </c>
      <c r="P36" s="5">
        <f t="shared" si="3"/>
        <v>34.3220338983053</v>
      </c>
      <c r="Q36" s="5">
        <v>7.41</v>
      </c>
      <c r="R36" s="5">
        <v>5.97</v>
      </c>
      <c r="S36" s="5">
        <f t="shared" si="7"/>
        <v>1.5899999999999999</v>
      </c>
      <c r="T36" s="5">
        <f t="shared" si="9"/>
        <v>3.0300000000000002</v>
      </c>
      <c r="U36" s="5">
        <f t="shared" si="5"/>
        <v>2.31</v>
      </c>
      <c r="V36">
        <f t="shared" si="6"/>
        <v>0.11628099999999998</v>
      </c>
    </row>
    <row r="37" spans="3:22" x14ac:dyDescent="0.25">
      <c r="C37" s="5">
        <v>35</v>
      </c>
      <c r="D37" s="5" t="s">
        <v>20</v>
      </c>
      <c r="E37" s="5">
        <v>373.28</v>
      </c>
      <c r="F37" s="5">
        <v>379.08</v>
      </c>
      <c r="G37" s="5">
        <f t="shared" si="0"/>
        <v>27.931034482758566</v>
      </c>
      <c r="H37" s="5">
        <v>1.68</v>
      </c>
      <c r="I37" s="5">
        <v>1.68</v>
      </c>
      <c r="J37" s="5">
        <f t="shared" si="1"/>
        <v>1.68</v>
      </c>
      <c r="K37">
        <f t="shared" si="2"/>
        <v>2.5985439999999995</v>
      </c>
      <c r="L37" s="5">
        <v>35</v>
      </c>
      <c r="M37" s="5" t="s">
        <v>20</v>
      </c>
      <c r="N37" s="5">
        <v>401</v>
      </c>
      <c r="O37" s="5">
        <v>407.12</v>
      </c>
      <c r="P37" s="5">
        <f t="shared" si="3"/>
        <v>26.470588235294098</v>
      </c>
      <c r="Q37" s="5">
        <v>7.83</v>
      </c>
      <c r="R37" s="5">
        <v>7.83</v>
      </c>
      <c r="S37" s="5">
        <f t="shared" si="7"/>
        <v>1.17</v>
      </c>
      <c r="T37" s="5">
        <f t="shared" si="9"/>
        <v>1.17</v>
      </c>
      <c r="U37" s="5">
        <f t="shared" si="5"/>
        <v>1.17</v>
      </c>
      <c r="V37">
        <f t="shared" si="6"/>
        <v>0.63840100000000022</v>
      </c>
    </row>
    <row r="38" spans="3:22" x14ac:dyDescent="0.25">
      <c r="C38" s="5">
        <v>36</v>
      </c>
      <c r="D38" s="5" t="s">
        <v>22</v>
      </c>
      <c r="E38" s="5">
        <v>379.24</v>
      </c>
      <c r="F38" s="5">
        <v>382.6</v>
      </c>
      <c r="G38" s="5">
        <f t="shared" si="0"/>
        <v>48.214285714285523</v>
      </c>
      <c r="H38" s="5">
        <v>2.66</v>
      </c>
      <c r="I38" s="5">
        <v>4.3600000000000003</v>
      </c>
      <c r="J38" s="5">
        <f t="shared" si="1"/>
        <v>3.5100000000000002</v>
      </c>
      <c r="K38">
        <f t="shared" si="2"/>
        <v>4.7524000000000184E-2</v>
      </c>
      <c r="L38" s="5">
        <v>36</v>
      </c>
      <c r="M38" s="5" t="s">
        <v>18</v>
      </c>
      <c r="N38" s="5">
        <v>401.76</v>
      </c>
      <c r="O38" s="5">
        <v>408.72</v>
      </c>
      <c r="P38" s="5">
        <f t="shared" si="3"/>
        <v>23.275862068965395</v>
      </c>
      <c r="Q38" s="5">
        <v>8.2100000000000009</v>
      </c>
      <c r="R38" s="5">
        <v>6.81</v>
      </c>
      <c r="S38" s="5">
        <f t="shared" si="7"/>
        <v>0.78999999999999915</v>
      </c>
      <c r="T38" s="5">
        <f t="shared" si="9"/>
        <v>2.1900000000000004</v>
      </c>
      <c r="U38" s="5">
        <f t="shared" si="5"/>
        <v>1.4899999999999998</v>
      </c>
      <c r="V38">
        <f t="shared" si="6"/>
        <v>0.22944100000000031</v>
      </c>
    </row>
    <row r="39" spans="3:22" x14ac:dyDescent="0.25">
      <c r="C39" s="5">
        <v>37</v>
      </c>
      <c r="D39" s="5" t="s">
        <v>19</v>
      </c>
      <c r="E39" s="5">
        <v>381.6</v>
      </c>
      <c r="F39" s="5">
        <v>386.44</v>
      </c>
      <c r="G39" s="5">
        <f t="shared" si="0"/>
        <v>33.471074380165462</v>
      </c>
      <c r="H39" s="5">
        <v>1.68</v>
      </c>
      <c r="I39" s="5">
        <v>3.13</v>
      </c>
      <c r="J39" s="5">
        <f t="shared" si="1"/>
        <v>2.4049999999999998</v>
      </c>
      <c r="K39">
        <f t="shared" si="2"/>
        <v>0.78676900000000005</v>
      </c>
      <c r="L39" s="5">
        <v>37</v>
      </c>
      <c r="M39" s="5" t="s">
        <v>18</v>
      </c>
      <c r="N39" s="5">
        <v>402.84</v>
      </c>
      <c r="O39" s="5">
        <v>409.76</v>
      </c>
      <c r="P39" s="5">
        <f t="shared" si="3"/>
        <v>23.410404624277405</v>
      </c>
      <c r="Q39" s="5">
        <v>8.0299999999999994</v>
      </c>
      <c r="R39" s="5">
        <v>6.63</v>
      </c>
      <c r="S39" s="5">
        <f t="shared" si="7"/>
        <v>0.97000000000000064</v>
      </c>
      <c r="T39" s="5">
        <f t="shared" si="9"/>
        <v>2.37</v>
      </c>
      <c r="U39" s="5">
        <f t="shared" si="5"/>
        <v>1.6700000000000004</v>
      </c>
      <c r="V39">
        <f t="shared" si="6"/>
        <v>8.9400999999999828E-2</v>
      </c>
    </row>
    <row r="40" spans="3:22" x14ac:dyDescent="0.25">
      <c r="C40" s="5">
        <v>38</v>
      </c>
      <c r="D40" s="5" t="s">
        <v>19</v>
      </c>
      <c r="E40" s="5">
        <v>382.2</v>
      </c>
      <c r="F40" s="5">
        <v>386.88</v>
      </c>
      <c r="G40" s="5">
        <f t="shared" si="0"/>
        <v>34.615384615384563</v>
      </c>
      <c r="H40" s="5">
        <v>3.73</v>
      </c>
      <c r="I40" s="5">
        <v>4.87</v>
      </c>
      <c r="J40" s="5">
        <f t="shared" si="1"/>
        <v>4.3</v>
      </c>
      <c r="K40">
        <f t="shared" si="2"/>
        <v>1.0160640000000001</v>
      </c>
      <c r="L40" s="5">
        <v>38</v>
      </c>
      <c r="M40" s="5" t="s">
        <v>19</v>
      </c>
      <c r="N40" s="5">
        <v>402.92</v>
      </c>
      <c r="O40" s="5">
        <v>408</v>
      </c>
      <c r="P40" s="5">
        <f t="shared" si="3"/>
        <v>31.889763779527655</v>
      </c>
      <c r="Q40" s="5">
        <v>6.65</v>
      </c>
      <c r="R40" s="5">
        <v>5.21</v>
      </c>
      <c r="S40" s="5">
        <f t="shared" si="7"/>
        <v>2.3499999999999996</v>
      </c>
      <c r="T40" s="5">
        <f t="shared" si="9"/>
        <v>3.79</v>
      </c>
      <c r="U40" s="5">
        <f t="shared" si="5"/>
        <v>3.07</v>
      </c>
      <c r="V40">
        <f t="shared" si="6"/>
        <v>1.2122009999999994</v>
      </c>
    </row>
    <row r="41" spans="3:22" x14ac:dyDescent="0.25">
      <c r="C41" s="5">
        <v>39</v>
      </c>
      <c r="D41" s="5" t="s">
        <v>19</v>
      </c>
      <c r="E41" s="5">
        <v>383.72</v>
      </c>
      <c r="F41" s="5">
        <v>388.12</v>
      </c>
      <c r="G41" s="5">
        <f t="shared" si="0"/>
        <v>36.818181818182012</v>
      </c>
      <c r="H41" s="5">
        <v>3.04</v>
      </c>
      <c r="I41" s="5">
        <v>4.51</v>
      </c>
      <c r="J41" s="5">
        <f t="shared" si="1"/>
        <v>3.7749999999999999</v>
      </c>
      <c r="K41">
        <f t="shared" si="2"/>
        <v>0.23328900000000008</v>
      </c>
      <c r="L41" s="5">
        <v>39</v>
      </c>
      <c r="M41" s="5" t="s">
        <v>19</v>
      </c>
      <c r="N41" s="5">
        <v>404</v>
      </c>
      <c r="O41" s="5">
        <v>409.24</v>
      </c>
      <c r="P41" s="5">
        <f t="shared" si="3"/>
        <v>30.916030534351091</v>
      </c>
      <c r="Q41" s="5">
        <v>7.43</v>
      </c>
      <c r="R41" s="5">
        <v>6.04</v>
      </c>
      <c r="S41" s="5">
        <f t="shared" si="7"/>
        <v>1.5700000000000003</v>
      </c>
      <c r="T41" s="5">
        <f t="shared" si="9"/>
        <v>2.96</v>
      </c>
      <c r="U41" s="5">
        <f t="shared" si="5"/>
        <v>2.2650000000000001</v>
      </c>
      <c r="V41">
        <f t="shared" si="6"/>
        <v>8.7616000000000027E-2</v>
      </c>
    </row>
    <row r="42" spans="3:22" x14ac:dyDescent="0.25">
      <c r="C42" s="5">
        <v>40</v>
      </c>
      <c r="D42" s="5" t="s">
        <v>19</v>
      </c>
      <c r="E42" s="5">
        <v>384.56</v>
      </c>
      <c r="F42" s="5">
        <v>388.96</v>
      </c>
      <c r="G42" s="5">
        <f t="shared" si="0"/>
        <v>36.818181818182012</v>
      </c>
      <c r="H42" s="5">
        <v>2.48</v>
      </c>
      <c r="I42" s="5">
        <v>3.76</v>
      </c>
      <c r="J42" s="5">
        <f t="shared" si="1"/>
        <v>3.12</v>
      </c>
      <c r="K42">
        <f t="shared" si="2"/>
        <v>2.9583999999999899E-2</v>
      </c>
      <c r="L42" s="5">
        <v>40</v>
      </c>
      <c r="M42" s="5" t="s">
        <v>19</v>
      </c>
      <c r="N42" s="5">
        <v>405.32</v>
      </c>
      <c r="O42" s="5">
        <v>410.64</v>
      </c>
      <c r="P42" s="5">
        <f t="shared" si="3"/>
        <v>30.451127819548908</v>
      </c>
      <c r="Q42" s="5">
        <v>7.29</v>
      </c>
      <c r="R42" s="5">
        <v>5.85</v>
      </c>
      <c r="S42" s="5">
        <f t="shared" si="7"/>
        <v>1.71</v>
      </c>
      <c r="T42" s="5">
        <f t="shared" si="9"/>
        <v>3.1500000000000004</v>
      </c>
      <c r="U42" s="5">
        <f t="shared" si="5"/>
        <v>2.4300000000000002</v>
      </c>
      <c r="V42">
        <f t="shared" si="6"/>
        <v>0.21252100000000007</v>
      </c>
    </row>
    <row r="43" spans="3:22" x14ac:dyDescent="0.25">
      <c r="C43" s="5">
        <v>41</v>
      </c>
      <c r="D43" s="5" t="s">
        <v>18</v>
      </c>
      <c r="E43" s="5">
        <v>385.52</v>
      </c>
      <c r="F43" s="5">
        <v>390.36</v>
      </c>
      <c r="G43" s="5">
        <f t="shared" si="0"/>
        <v>33.471074380165071</v>
      </c>
      <c r="H43" s="5">
        <v>2.58</v>
      </c>
      <c r="I43" s="5">
        <v>2.58</v>
      </c>
      <c r="J43" s="5">
        <f t="shared" si="1"/>
        <v>2.58</v>
      </c>
      <c r="K43">
        <f t="shared" si="2"/>
        <v>0.50694399999999962</v>
      </c>
      <c r="L43" s="5">
        <v>41</v>
      </c>
      <c r="M43" s="5" t="s">
        <v>19</v>
      </c>
      <c r="N43" s="5">
        <v>406.58</v>
      </c>
      <c r="O43" s="5">
        <v>412.68</v>
      </c>
      <c r="P43" s="5">
        <f t="shared" si="3"/>
        <v>26.557377049180229</v>
      </c>
      <c r="Q43" s="5">
        <v>7.07</v>
      </c>
      <c r="R43" s="5">
        <v>5.63</v>
      </c>
      <c r="S43" s="5">
        <f t="shared" si="7"/>
        <v>1.9299999999999997</v>
      </c>
      <c r="T43" s="5">
        <f t="shared" si="9"/>
        <v>3.37</v>
      </c>
      <c r="U43" s="5">
        <f t="shared" si="5"/>
        <v>2.65</v>
      </c>
      <c r="V43">
        <f t="shared" si="6"/>
        <v>0.46376099999999976</v>
      </c>
    </row>
    <row r="44" spans="3:22" x14ac:dyDescent="0.25">
      <c r="C44" s="5">
        <v>42</v>
      </c>
      <c r="D44" s="5" t="s">
        <v>19</v>
      </c>
      <c r="E44" s="5">
        <v>386.48</v>
      </c>
      <c r="F44" s="5">
        <v>390.68</v>
      </c>
      <c r="G44" s="5">
        <f t="shared" si="0"/>
        <v>38.571428571428676</v>
      </c>
      <c r="H44" s="5">
        <v>3.92</v>
      </c>
      <c r="I44" s="5">
        <v>5.0999999999999996</v>
      </c>
      <c r="J44" s="5">
        <f t="shared" si="1"/>
        <v>4.51</v>
      </c>
      <c r="K44">
        <f t="shared" si="2"/>
        <v>1.4835239999999998</v>
      </c>
      <c r="L44" s="5">
        <v>42</v>
      </c>
      <c r="M44" s="5" t="s">
        <v>20</v>
      </c>
      <c r="N44" s="5">
        <v>410.36</v>
      </c>
      <c r="O44" s="5">
        <v>414.28</v>
      </c>
      <c r="P44" s="5">
        <f t="shared" si="3"/>
        <v>41.326530612245328</v>
      </c>
      <c r="Q44" s="5">
        <v>7.2</v>
      </c>
      <c r="R44" s="5">
        <v>7.2</v>
      </c>
      <c r="S44" s="5">
        <f t="shared" si="7"/>
        <v>1.7999999999999998</v>
      </c>
      <c r="T44" s="5">
        <f t="shared" si="9"/>
        <v>1.7999999999999998</v>
      </c>
      <c r="U44" s="5">
        <f t="shared" si="5"/>
        <v>1.7999999999999998</v>
      </c>
      <c r="V44">
        <f t="shared" si="6"/>
        <v>2.856100000000009E-2</v>
      </c>
    </row>
    <row r="45" spans="3:22" x14ac:dyDescent="0.25">
      <c r="C45" s="5">
        <v>43</v>
      </c>
      <c r="D45" s="5" t="s">
        <v>19</v>
      </c>
      <c r="E45" s="5">
        <v>387.4</v>
      </c>
      <c r="F45" s="5">
        <v>391.84</v>
      </c>
      <c r="G45" s="5">
        <f t="shared" si="0"/>
        <v>36.486486486486505</v>
      </c>
      <c r="H45" s="5">
        <v>2.96</v>
      </c>
      <c r="I45" s="5">
        <v>4.3499999999999996</v>
      </c>
      <c r="J45" s="5">
        <f t="shared" si="1"/>
        <v>3.6549999999999998</v>
      </c>
      <c r="K45">
        <f t="shared" si="2"/>
        <v>0.131769</v>
      </c>
      <c r="L45" s="5">
        <v>43</v>
      </c>
      <c r="M45" s="5" t="s">
        <v>18</v>
      </c>
      <c r="N45" s="5">
        <v>414.32</v>
      </c>
      <c r="O45" s="5">
        <v>418.8</v>
      </c>
      <c r="P45" s="5">
        <f t="shared" si="3"/>
        <v>36.160714285714143</v>
      </c>
      <c r="Q45" s="5">
        <v>7.67</v>
      </c>
      <c r="R45" s="5">
        <v>6.27</v>
      </c>
      <c r="S45" s="5">
        <f t="shared" si="7"/>
        <v>1.33</v>
      </c>
      <c r="T45" s="5">
        <f t="shared" si="9"/>
        <v>2.7300000000000004</v>
      </c>
      <c r="U45" s="5">
        <f t="shared" si="5"/>
        <v>2.0300000000000002</v>
      </c>
      <c r="V45">
        <f t="shared" si="6"/>
        <v>3.7210000000000203E-3</v>
      </c>
    </row>
    <row r="46" spans="3:22" x14ac:dyDescent="0.25">
      <c r="C46" s="5">
        <v>44</v>
      </c>
      <c r="D46" s="5" t="s">
        <v>20</v>
      </c>
      <c r="E46" s="5">
        <v>387.8</v>
      </c>
      <c r="F46" s="5">
        <v>391.78</v>
      </c>
      <c r="G46" s="5">
        <f t="shared" si="0"/>
        <v>40.703517587940098</v>
      </c>
      <c r="H46" s="5">
        <v>1.53</v>
      </c>
      <c r="I46" s="5">
        <v>1.53</v>
      </c>
      <c r="J46" s="5">
        <f t="shared" si="1"/>
        <v>1.53</v>
      </c>
      <c r="K46">
        <f t="shared" si="2"/>
        <v>3.1046439999999991</v>
      </c>
      <c r="L46" s="5">
        <v>44</v>
      </c>
      <c r="M46" s="5" t="s">
        <v>18</v>
      </c>
      <c r="N46" s="5">
        <v>415.8</v>
      </c>
      <c r="O46" s="5">
        <v>420.32</v>
      </c>
      <c r="P46" s="5">
        <f t="shared" si="3"/>
        <v>35.840707964601911</v>
      </c>
      <c r="Q46" s="5">
        <v>8.17</v>
      </c>
      <c r="R46" s="5">
        <v>6.77</v>
      </c>
      <c r="S46" s="5">
        <f t="shared" si="7"/>
        <v>0.83000000000000007</v>
      </c>
      <c r="T46" s="5">
        <f t="shared" si="9"/>
        <v>2.2300000000000004</v>
      </c>
      <c r="U46" s="5">
        <f t="shared" si="5"/>
        <v>1.5300000000000002</v>
      </c>
      <c r="V46">
        <f t="shared" si="6"/>
        <v>0.19272099999999986</v>
      </c>
    </row>
    <row r="47" spans="3:22" x14ac:dyDescent="0.25">
      <c r="C47" s="5">
        <v>45</v>
      </c>
      <c r="D47" s="5" t="s">
        <v>19</v>
      </c>
      <c r="E47" s="5">
        <v>388.44</v>
      </c>
      <c r="F47" s="5">
        <v>392.68</v>
      </c>
      <c r="G47" s="5">
        <f t="shared" si="0"/>
        <v>38.207547169811235</v>
      </c>
      <c r="H47" s="5">
        <v>2.83</v>
      </c>
      <c r="I47" s="5">
        <v>4.37</v>
      </c>
      <c r="J47" s="5">
        <f t="shared" si="1"/>
        <v>3.6</v>
      </c>
      <c r="K47">
        <f t="shared" si="2"/>
        <v>9.486400000000017E-2</v>
      </c>
      <c r="L47" s="5">
        <v>45</v>
      </c>
      <c r="M47" s="5" t="s">
        <v>20</v>
      </c>
      <c r="N47" s="5">
        <v>416.6</v>
      </c>
      <c r="O47" s="5">
        <v>421.08</v>
      </c>
      <c r="P47" s="5">
        <f t="shared" si="3"/>
        <v>36.160714285714604</v>
      </c>
      <c r="Q47" s="5">
        <v>7.37</v>
      </c>
      <c r="R47" s="5">
        <v>7.37</v>
      </c>
      <c r="S47" s="5">
        <f t="shared" si="7"/>
        <v>1.63</v>
      </c>
      <c r="T47" s="5">
        <f t="shared" si="9"/>
        <v>1.63</v>
      </c>
      <c r="U47" s="5">
        <f t="shared" si="5"/>
        <v>1.63</v>
      </c>
      <c r="V47">
        <f t="shared" si="6"/>
        <v>0.11492100000000013</v>
      </c>
    </row>
    <row r="48" spans="3:22" x14ac:dyDescent="0.25">
      <c r="C48" s="5">
        <v>46</v>
      </c>
      <c r="D48" s="5" t="s">
        <v>20</v>
      </c>
      <c r="E48" s="5">
        <v>389.3</v>
      </c>
      <c r="F48" s="5">
        <v>393.08</v>
      </c>
      <c r="G48" s="5">
        <f t="shared" si="0"/>
        <v>42.857142857143167</v>
      </c>
      <c r="H48" s="5">
        <v>1.91</v>
      </c>
      <c r="I48" s="5">
        <v>1.91</v>
      </c>
      <c r="J48" s="5">
        <f t="shared" si="1"/>
        <v>1.91</v>
      </c>
      <c r="K48">
        <f t="shared" si="2"/>
        <v>1.9099239999999997</v>
      </c>
      <c r="L48" s="5">
        <v>46</v>
      </c>
      <c r="M48" s="5" t="s">
        <v>20</v>
      </c>
      <c r="N48" s="5">
        <v>417.28</v>
      </c>
      <c r="O48" s="5">
        <v>422.08</v>
      </c>
      <c r="P48" s="5">
        <f t="shared" si="3"/>
        <v>33.749999999999922</v>
      </c>
      <c r="Q48" s="5">
        <v>7.56</v>
      </c>
      <c r="R48" s="5">
        <v>7.56</v>
      </c>
      <c r="S48" s="5">
        <f t="shared" si="7"/>
        <v>1.4400000000000004</v>
      </c>
      <c r="T48" s="5">
        <f t="shared" si="9"/>
        <v>1.4400000000000004</v>
      </c>
      <c r="U48" s="5">
        <f t="shared" si="5"/>
        <v>1.4400000000000004</v>
      </c>
      <c r="V48">
        <f t="shared" si="6"/>
        <v>0.27984099999999967</v>
      </c>
    </row>
    <row r="49" spans="3:22" x14ac:dyDescent="0.25">
      <c r="C49" s="5">
        <v>47</v>
      </c>
      <c r="D49" s="5" t="s">
        <v>19</v>
      </c>
      <c r="E49" s="5">
        <v>390.88</v>
      </c>
      <c r="F49" s="5">
        <v>395.12</v>
      </c>
      <c r="G49" s="5">
        <f t="shared" si="0"/>
        <v>38.207547169811235</v>
      </c>
      <c r="H49" s="5">
        <v>2.79</v>
      </c>
      <c r="I49" s="5">
        <v>4.34</v>
      </c>
      <c r="J49" s="5">
        <f t="shared" si="1"/>
        <v>3.5649999999999999</v>
      </c>
      <c r="K49">
        <f t="shared" si="2"/>
        <v>7.4529000000000067E-2</v>
      </c>
      <c r="L49" s="5">
        <v>47</v>
      </c>
      <c r="M49" s="5" t="s">
        <v>19</v>
      </c>
      <c r="N49" s="5">
        <v>418.68</v>
      </c>
      <c r="O49" s="5">
        <v>423.32</v>
      </c>
      <c r="P49" s="5">
        <f t="shared" si="3"/>
        <v>34.913793103448384</v>
      </c>
      <c r="Q49" s="5">
        <v>7.36</v>
      </c>
      <c r="R49" s="5">
        <v>5.92</v>
      </c>
      <c r="S49" s="5">
        <f t="shared" si="7"/>
        <v>1.6399999999999997</v>
      </c>
      <c r="T49" s="5">
        <f t="shared" si="9"/>
        <v>3.08</v>
      </c>
      <c r="U49" s="5">
        <f t="shared" si="5"/>
        <v>2.36</v>
      </c>
      <c r="V49">
        <f t="shared" si="6"/>
        <v>0.15288099999999985</v>
      </c>
    </row>
    <row r="50" spans="3:22" x14ac:dyDescent="0.25">
      <c r="C50" s="5">
        <v>48</v>
      </c>
      <c r="D50" s="5" t="s">
        <v>19</v>
      </c>
      <c r="E50" s="5">
        <v>391.92</v>
      </c>
      <c r="F50" s="5">
        <v>396.08</v>
      </c>
      <c r="G50" s="5">
        <f t="shared" si="0"/>
        <v>38.942307692307992</v>
      </c>
      <c r="H50" s="5">
        <v>3.06</v>
      </c>
      <c r="I50" s="5">
        <v>4.3600000000000003</v>
      </c>
      <c r="J50" s="5">
        <f t="shared" si="1"/>
        <v>3.71</v>
      </c>
      <c r="K50">
        <f t="shared" si="2"/>
        <v>0.17472400000000013</v>
      </c>
      <c r="L50" s="5">
        <v>48</v>
      </c>
      <c r="M50" s="5" t="s">
        <v>19</v>
      </c>
      <c r="N50" s="5">
        <v>419.68</v>
      </c>
      <c r="O50" s="5">
        <v>424.44</v>
      </c>
      <c r="P50" s="5">
        <f t="shared" si="3"/>
        <v>34.033613445378215</v>
      </c>
      <c r="Q50" s="5">
        <v>8.18</v>
      </c>
      <c r="R50" s="5">
        <v>6.74</v>
      </c>
      <c r="S50" s="5">
        <f t="shared" si="7"/>
        <v>0.82000000000000028</v>
      </c>
      <c r="T50" s="5">
        <f t="shared" si="9"/>
        <v>2.2599999999999998</v>
      </c>
      <c r="U50" s="5">
        <f t="shared" si="5"/>
        <v>1.54</v>
      </c>
      <c r="V50">
        <f t="shared" si="6"/>
        <v>0.18404100000000004</v>
      </c>
    </row>
    <row r="51" spans="3:22" x14ac:dyDescent="0.25">
      <c r="C51" s="5">
        <v>49</v>
      </c>
      <c r="D51" s="5" t="s">
        <v>19</v>
      </c>
      <c r="E51" s="5">
        <v>393.4</v>
      </c>
      <c r="F51" s="5">
        <v>397.32</v>
      </c>
      <c r="G51" s="5">
        <f t="shared" si="0"/>
        <v>41.326530612244731</v>
      </c>
      <c r="H51" s="5">
        <v>2.69</v>
      </c>
      <c r="I51" s="5">
        <v>4.1500000000000004</v>
      </c>
      <c r="J51" s="5">
        <f t="shared" si="1"/>
        <v>3.42</v>
      </c>
      <c r="K51">
        <f t="shared" si="2"/>
        <v>1.638400000000003E-2</v>
      </c>
      <c r="L51" s="5">
        <v>49</v>
      </c>
      <c r="M51" s="5" t="s">
        <v>19</v>
      </c>
      <c r="N51" s="5">
        <v>431.16</v>
      </c>
      <c r="O51" s="5">
        <v>434.88</v>
      </c>
      <c r="P51" s="5">
        <f t="shared" si="3"/>
        <v>43.54838709677454</v>
      </c>
      <c r="Q51" s="5">
        <v>7.48</v>
      </c>
      <c r="R51" s="5">
        <v>6.04</v>
      </c>
      <c r="S51" s="5">
        <f t="shared" si="7"/>
        <v>1.5199999999999996</v>
      </c>
      <c r="T51" s="5">
        <f t="shared" si="9"/>
        <v>2.96</v>
      </c>
      <c r="U51" s="5">
        <f t="shared" si="5"/>
        <v>2.2399999999999998</v>
      </c>
      <c r="V51">
        <f t="shared" si="6"/>
        <v>7.3440999999999826E-2</v>
      </c>
    </row>
    <row r="52" spans="3:22" x14ac:dyDescent="0.25">
      <c r="C52" s="5">
        <v>50</v>
      </c>
      <c r="D52" s="5" t="s">
        <v>19</v>
      </c>
      <c r="E52" s="5">
        <v>395.56</v>
      </c>
      <c r="F52" s="5">
        <v>399.26</v>
      </c>
      <c r="G52" s="5">
        <f t="shared" si="0"/>
        <v>43.783783783783917</v>
      </c>
      <c r="H52" s="5">
        <v>2.56</v>
      </c>
      <c r="I52" s="5">
        <v>4.05</v>
      </c>
      <c r="J52" s="5">
        <f t="shared" si="1"/>
        <v>3.3049999999999997</v>
      </c>
      <c r="K52">
        <f t="shared" si="2"/>
        <v>1.6899999999999741E-4</v>
      </c>
      <c r="L52" s="5">
        <v>50</v>
      </c>
      <c r="M52" s="5" t="s">
        <v>19</v>
      </c>
      <c r="N52" s="5">
        <v>436.32</v>
      </c>
      <c r="O52" s="5">
        <v>439.68</v>
      </c>
      <c r="P52" s="5">
        <f t="shared" si="3"/>
        <v>48.214285714285523</v>
      </c>
      <c r="Q52" s="5">
        <v>5.88</v>
      </c>
      <c r="R52" s="5">
        <v>4.4400000000000004</v>
      </c>
      <c r="S52" s="5">
        <f t="shared" si="7"/>
        <v>3.12</v>
      </c>
      <c r="T52" s="5">
        <f t="shared" si="9"/>
        <v>4.5599999999999996</v>
      </c>
      <c r="U52" s="5">
        <f t="shared" si="5"/>
        <v>3.84</v>
      </c>
      <c r="V52">
        <f t="shared" si="6"/>
        <v>3.500640999999999</v>
      </c>
    </row>
    <row r="53" spans="3:22" x14ac:dyDescent="0.25">
      <c r="C53" s="5">
        <v>51</v>
      </c>
      <c r="D53" s="5" t="s">
        <v>19</v>
      </c>
      <c r="E53" s="5">
        <v>396.68</v>
      </c>
      <c r="F53" s="5">
        <v>400.24</v>
      </c>
      <c r="G53" s="5">
        <f t="shared" si="0"/>
        <v>45.505617977528061</v>
      </c>
      <c r="H53" s="5">
        <v>2.79</v>
      </c>
      <c r="I53" s="5">
        <v>4.2</v>
      </c>
      <c r="J53" s="5">
        <f t="shared" si="1"/>
        <v>3.4950000000000001</v>
      </c>
      <c r="K53">
        <f t="shared" si="2"/>
        <v>4.1209000000000121E-2</v>
      </c>
      <c r="L53" s="5">
        <v>51</v>
      </c>
      <c r="M53" s="5" t="s">
        <v>18</v>
      </c>
      <c r="N53" s="5">
        <v>436.76</v>
      </c>
      <c r="O53" s="5">
        <v>440.76</v>
      </c>
      <c r="P53" s="5">
        <f t="shared" si="3"/>
        <v>40.5</v>
      </c>
      <c r="Q53" s="5">
        <v>7.8</v>
      </c>
      <c r="R53" s="5">
        <v>6.4</v>
      </c>
      <c r="S53" s="5">
        <f t="shared" si="7"/>
        <v>1.2000000000000002</v>
      </c>
      <c r="T53" s="5">
        <f t="shared" si="9"/>
        <v>2.5999999999999996</v>
      </c>
      <c r="U53" s="5">
        <f t="shared" si="5"/>
        <v>1.9</v>
      </c>
      <c r="V53">
        <f t="shared" si="6"/>
        <v>4.7610000000000239E-3</v>
      </c>
    </row>
    <row r="54" spans="3:22" x14ac:dyDescent="0.25">
      <c r="C54" s="5">
        <v>52</v>
      </c>
      <c r="D54" s="5" t="s">
        <v>20</v>
      </c>
      <c r="E54" s="5">
        <v>398.16</v>
      </c>
      <c r="F54" s="5">
        <v>402.1</v>
      </c>
      <c r="G54" s="5">
        <f t="shared" si="0"/>
        <v>41.116751269035561</v>
      </c>
      <c r="H54" s="5">
        <v>1.76</v>
      </c>
      <c r="I54" s="5">
        <v>1.76</v>
      </c>
      <c r="J54" s="5">
        <f t="shared" si="1"/>
        <v>1.76</v>
      </c>
      <c r="K54">
        <f t="shared" si="2"/>
        <v>2.3470239999999993</v>
      </c>
      <c r="L54" s="5">
        <v>52</v>
      </c>
      <c r="M54" s="5" t="s">
        <v>19</v>
      </c>
      <c r="N54" s="5">
        <v>438.32</v>
      </c>
      <c r="O54" s="5">
        <v>441.72</v>
      </c>
      <c r="P54" s="5">
        <f t="shared" si="3"/>
        <v>47.647058823528937</v>
      </c>
      <c r="Q54" s="5">
        <v>8.09</v>
      </c>
      <c r="R54" s="5">
        <v>6.65</v>
      </c>
      <c r="S54" s="5">
        <f t="shared" si="7"/>
        <v>0.91000000000000014</v>
      </c>
      <c r="T54" s="5">
        <f t="shared" si="9"/>
        <v>2.3499999999999996</v>
      </c>
      <c r="U54" s="5">
        <f t="shared" si="5"/>
        <v>1.63</v>
      </c>
      <c r="V54">
        <f t="shared" si="6"/>
        <v>0.11492100000000013</v>
      </c>
    </row>
    <row r="55" spans="3:22" x14ac:dyDescent="0.25">
      <c r="C55" s="5">
        <v>53</v>
      </c>
      <c r="D55" s="5" t="s">
        <v>20</v>
      </c>
      <c r="E55" s="5">
        <v>398.28</v>
      </c>
      <c r="F55" s="5">
        <v>402</v>
      </c>
      <c r="G55" s="5">
        <f t="shared" si="0"/>
        <v>43.54838709677388</v>
      </c>
      <c r="H55" s="5">
        <v>3.19</v>
      </c>
      <c r="I55" s="5">
        <v>3.19</v>
      </c>
      <c r="J55" s="5">
        <f t="shared" si="1"/>
        <v>3.19</v>
      </c>
      <c r="K55">
        <f t="shared" si="2"/>
        <v>1.0403999999999974E-2</v>
      </c>
      <c r="L55" s="5">
        <v>53</v>
      </c>
      <c r="M55" s="5" t="s">
        <v>20</v>
      </c>
      <c r="N55" s="5">
        <v>439.66</v>
      </c>
      <c r="O55" s="5">
        <v>442.52</v>
      </c>
      <c r="P55" s="5">
        <f t="shared" si="3"/>
        <v>56.6433566433575</v>
      </c>
      <c r="Q55" s="5">
        <v>6.1</v>
      </c>
      <c r="R55" s="5">
        <v>6.1</v>
      </c>
      <c r="S55" s="5">
        <f t="shared" si="7"/>
        <v>2.9000000000000004</v>
      </c>
      <c r="T55" s="5">
        <f t="shared" si="9"/>
        <v>2.9000000000000004</v>
      </c>
      <c r="U55" s="5">
        <f t="shared" si="5"/>
        <v>2.9000000000000004</v>
      </c>
      <c r="V55">
        <f t="shared" si="6"/>
        <v>0.86676100000000056</v>
      </c>
    </row>
    <row r="56" spans="3:22" x14ac:dyDescent="0.25">
      <c r="C56" s="5">
        <v>54</v>
      </c>
      <c r="D56" s="5" t="s">
        <v>19</v>
      </c>
      <c r="E56" s="5">
        <v>399.12</v>
      </c>
      <c r="F56" s="5">
        <v>402.56</v>
      </c>
      <c r="G56" s="5">
        <f t="shared" si="0"/>
        <v>47.093023255813982</v>
      </c>
      <c r="H56" s="5">
        <v>3.13</v>
      </c>
      <c r="I56" s="5">
        <v>4.43</v>
      </c>
      <c r="J56" s="5">
        <f t="shared" si="1"/>
        <v>3.78</v>
      </c>
      <c r="K56">
        <f t="shared" si="2"/>
        <v>0.23814399999999999</v>
      </c>
      <c r="L56" s="5">
        <v>54</v>
      </c>
      <c r="M56" s="5" t="s">
        <v>20</v>
      </c>
      <c r="N56" s="5">
        <v>440.16</v>
      </c>
      <c r="O56" s="5">
        <v>444.08</v>
      </c>
      <c r="P56" s="5">
        <f t="shared" si="3"/>
        <v>41.326530612245328</v>
      </c>
      <c r="Q56" s="5">
        <v>7.73</v>
      </c>
      <c r="R56" s="5">
        <v>7.73</v>
      </c>
      <c r="S56" s="5">
        <f t="shared" si="7"/>
        <v>1.2699999999999996</v>
      </c>
      <c r="T56" s="5">
        <f t="shared" si="9"/>
        <v>1.2699999999999996</v>
      </c>
      <c r="U56" s="5">
        <f t="shared" si="5"/>
        <v>1.2699999999999996</v>
      </c>
      <c r="V56">
        <f t="shared" si="6"/>
        <v>0.48860100000000073</v>
      </c>
    </row>
    <row r="57" spans="3:22" x14ac:dyDescent="0.25">
      <c r="C57" s="5">
        <v>55</v>
      </c>
      <c r="D57" s="5" t="s">
        <v>20</v>
      </c>
      <c r="E57" s="5">
        <v>399.4</v>
      </c>
      <c r="F57" s="5">
        <v>403.32</v>
      </c>
      <c r="G57" s="5">
        <f t="shared" si="0"/>
        <v>41.326530612244731</v>
      </c>
      <c r="H57" s="5">
        <v>2.5</v>
      </c>
      <c r="I57" s="5">
        <v>2.5</v>
      </c>
      <c r="J57" s="5">
        <f t="shared" si="1"/>
        <v>2.5</v>
      </c>
      <c r="K57">
        <f t="shared" si="2"/>
        <v>0.62726399999999971</v>
      </c>
      <c r="L57" s="5">
        <v>55</v>
      </c>
      <c r="M57" s="5" t="s">
        <v>20</v>
      </c>
      <c r="N57" s="5">
        <v>441.84</v>
      </c>
      <c r="O57" s="5">
        <v>445.64</v>
      </c>
      <c r="P57" s="5">
        <f t="shared" si="3"/>
        <v>42.631578947368297</v>
      </c>
      <c r="Q57" s="5">
        <v>7.48</v>
      </c>
      <c r="R57" s="5">
        <v>7.48</v>
      </c>
      <c r="S57" s="5">
        <f t="shared" si="7"/>
        <v>1.5199999999999996</v>
      </c>
      <c r="T57" s="5">
        <f t="shared" si="9"/>
        <v>1.5199999999999996</v>
      </c>
      <c r="U57" s="5">
        <f t="shared" si="5"/>
        <v>1.5199999999999996</v>
      </c>
      <c r="V57">
        <f t="shared" si="6"/>
        <v>0.20160100000000045</v>
      </c>
    </row>
    <row r="58" spans="3:22" x14ac:dyDescent="0.25">
      <c r="C58" s="5">
        <v>56</v>
      </c>
      <c r="D58" s="5" t="s">
        <v>20</v>
      </c>
      <c r="E58" s="5">
        <v>400.08</v>
      </c>
      <c r="F58" s="5">
        <v>404.52</v>
      </c>
      <c r="G58" s="5">
        <f t="shared" si="0"/>
        <v>36.486486486486505</v>
      </c>
      <c r="H58" s="5">
        <v>2.2000000000000002</v>
      </c>
      <c r="I58" s="5">
        <v>2.2000000000000002</v>
      </c>
      <c r="J58" s="5">
        <f t="shared" si="1"/>
        <v>2.2000000000000002</v>
      </c>
      <c r="K58">
        <f t="shared" si="2"/>
        <v>1.1924639999999993</v>
      </c>
      <c r="L58" s="5">
        <v>56</v>
      </c>
      <c r="M58" s="5" t="s">
        <v>19</v>
      </c>
      <c r="N58" s="5">
        <v>449.56</v>
      </c>
      <c r="O58" s="5">
        <v>453.44</v>
      </c>
      <c r="P58" s="5">
        <f t="shared" si="3"/>
        <v>41.752577319587679</v>
      </c>
      <c r="Q58" s="5">
        <v>7.85</v>
      </c>
      <c r="R58" s="5">
        <v>6.41</v>
      </c>
      <c r="S58" s="5">
        <f t="shared" si="7"/>
        <v>1.1500000000000004</v>
      </c>
      <c r="T58" s="5">
        <f t="shared" si="9"/>
        <v>2.59</v>
      </c>
      <c r="U58" s="5">
        <f t="shared" si="5"/>
        <v>1.87</v>
      </c>
      <c r="V58">
        <f t="shared" si="6"/>
        <v>9.8009999999999955E-3</v>
      </c>
    </row>
    <row r="59" spans="3:22" x14ac:dyDescent="0.25">
      <c r="C59" s="5">
        <v>57</v>
      </c>
      <c r="D59" s="5" t="s">
        <v>19</v>
      </c>
      <c r="E59" s="5">
        <v>403.96</v>
      </c>
      <c r="F59" s="5">
        <v>407.76</v>
      </c>
      <c r="G59" s="5">
        <f t="shared" si="0"/>
        <v>42.631578947368297</v>
      </c>
      <c r="H59" s="5">
        <v>3.17</v>
      </c>
      <c r="I59" s="5">
        <v>4.53</v>
      </c>
      <c r="J59" s="5">
        <f t="shared" si="1"/>
        <v>3.85</v>
      </c>
      <c r="K59">
        <f t="shared" si="2"/>
        <v>0.31136400000000031</v>
      </c>
      <c r="L59" s="5">
        <v>57</v>
      </c>
      <c r="M59" s="5" t="s">
        <v>20</v>
      </c>
      <c r="N59" s="5">
        <v>459.24</v>
      </c>
      <c r="O59" s="5">
        <v>462.52</v>
      </c>
      <c r="P59" s="5">
        <f t="shared" si="3"/>
        <v>49.390243902439437</v>
      </c>
      <c r="Q59" s="5">
        <v>6.42</v>
      </c>
      <c r="R59" s="5">
        <v>6.42</v>
      </c>
      <c r="S59" s="5">
        <f t="shared" si="7"/>
        <v>2.58</v>
      </c>
      <c r="T59" s="5">
        <f t="shared" si="9"/>
        <v>2.58</v>
      </c>
      <c r="U59" s="5">
        <f t="shared" si="5"/>
        <v>2.58</v>
      </c>
      <c r="V59">
        <f t="shared" si="6"/>
        <v>0.37332099999999996</v>
      </c>
    </row>
    <row r="60" spans="3:22" x14ac:dyDescent="0.25">
      <c r="C60" s="5">
        <v>58</v>
      </c>
      <c r="D60" s="5" t="s">
        <v>20</v>
      </c>
      <c r="E60" s="5">
        <v>404.92</v>
      </c>
      <c r="F60" s="5">
        <v>409.44</v>
      </c>
      <c r="G60" s="5">
        <f t="shared" si="0"/>
        <v>35.840707964601911</v>
      </c>
      <c r="H60" s="5">
        <v>3.04</v>
      </c>
      <c r="I60" s="5">
        <v>3.04</v>
      </c>
      <c r="J60" s="5">
        <f t="shared" si="1"/>
        <v>3.04</v>
      </c>
      <c r="K60">
        <f t="shared" si="2"/>
        <v>6.3503999999999894E-2</v>
      </c>
      <c r="L60" s="5">
        <v>58</v>
      </c>
      <c r="M60" s="5" t="s">
        <v>22</v>
      </c>
      <c r="N60" s="5">
        <v>465.12</v>
      </c>
      <c r="O60" s="5">
        <v>468.92</v>
      </c>
      <c r="P60" s="5">
        <f t="shared" si="3"/>
        <v>42.631578947368297</v>
      </c>
      <c r="Q60" s="5">
        <v>8.3000000000000007</v>
      </c>
      <c r="R60" s="5">
        <v>5.87</v>
      </c>
      <c r="S60" s="5">
        <f t="shared" si="7"/>
        <v>0.69999999999999929</v>
      </c>
      <c r="T60" s="5">
        <f t="shared" si="9"/>
        <v>3.13</v>
      </c>
      <c r="U60" s="5">
        <f t="shared" si="5"/>
        <v>1.9149999999999996</v>
      </c>
      <c r="V60">
        <f t="shared" si="6"/>
        <v>2.9160000000000531E-3</v>
      </c>
    </row>
    <row r="61" spans="3:22" x14ac:dyDescent="0.25">
      <c r="C61" s="5">
        <v>59</v>
      </c>
      <c r="D61" s="5" t="s">
        <v>19</v>
      </c>
      <c r="E61" s="5">
        <v>405.96</v>
      </c>
      <c r="F61" s="5">
        <v>410.1</v>
      </c>
      <c r="G61" s="5">
        <f t="shared" si="0"/>
        <v>39.13043478260829</v>
      </c>
      <c r="H61" s="5">
        <v>3.44</v>
      </c>
      <c r="I61" s="5">
        <v>4.82</v>
      </c>
      <c r="J61" s="5">
        <f t="shared" si="1"/>
        <v>4.13</v>
      </c>
      <c r="K61">
        <f t="shared" si="2"/>
        <v>0.70224400000000009</v>
      </c>
      <c r="L61" s="5">
        <v>59</v>
      </c>
      <c r="M61" s="5" t="s">
        <v>20</v>
      </c>
      <c r="N61" s="5">
        <v>466.52</v>
      </c>
      <c r="O61" s="5">
        <v>470.76</v>
      </c>
      <c r="P61" s="5">
        <f t="shared" si="3"/>
        <v>38.207547169811235</v>
      </c>
      <c r="Q61" s="5">
        <v>5.6</v>
      </c>
      <c r="R61" s="5">
        <v>5.6</v>
      </c>
      <c r="S61" s="5">
        <f t="shared" si="7"/>
        <v>3.4000000000000004</v>
      </c>
      <c r="T61" s="5">
        <f t="shared" si="9"/>
        <v>3.4000000000000004</v>
      </c>
      <c r="U61" s="5">
        <f t="shared" si="5"/>
        <v>3.4000000000000004</v>
      </c>
      <c r="V61">
        <f t="shared" si="6"/>
        <v>2.0477610000000008</v>
      </c>
    </row>
    <row r="62" spans="3:22" x14ac:dyDescent="0.25">
      <c r="C62" s="5">
        <v>60</v>
      </c>
      <c r="D62" s="5" t="s">
        <v>20</v>
      </c>
      <c r="E62" s="5">
        <v>406.28</v>
      </c>
      <c r="F62" s="5">
        <v>411.16</v>
      </c>
      <c r="G62" s="5">
        <f t="shared" si="0"/>
        <v>33.196721311475052</v>
      </c>
      <c r="H62" s="5">
        <v>3</v>
      </c>
      <c r="I62" s="5">
        <v>3</v>
      </c>
      <c r="J62" s="5">
        <f t="shared" si="1"/>
        <v>3</v>
      </c>
      <c r="K62">
        <f t="shared" si="2"/>
        <v>8.5263999999999895E-2</v>
      </c>
      <c r="L62" s="5">
        <v>60</v>
      </c>
      <c r="M62" s="5" t="s">
        <v>19</v>
      </c>
      <c r="N62" s="5">
        <v>467.08</v>
      </c>
      <c r="O62" s="5">
        <v>470.84</v>
      </c>
      <c r="P62" s="5">
        <f t="shared" si="3"/>
        <v>43.085106382978829</v>
      </c>
      <c r="Q62" s="5">
        <v>7.66</v>
      </c>
      <c r="R62" s="5">
        <v>6.22</v>
      </c>
      <c r="S62" s="5">
        <f t="shared" si="7"/>
        <v>1.3399999999999999</v>
      </c>
      <c r="T62" s="5">
        <f t="shared" si="9"/>
        <v>2.7800000000000002</v>
      </c>
      <c r="U62" s="5">
        <f t="shared" si="5"/>
        <v>2.06</v>
      </c>
      <c r="V62">
        <f t="shared" si="6"/>
        <v>8.280999999999995E-3</v>
      </c>
    </row>
    <row r="63" spans="3:22" x14ac:dyDescent="0.25">
      <c r="C63" s="5">
        <v>61</v>
      </c>
      <c r="D63" s="5" t="s">
        <v>19</v>
      </c>
      <c r="E63" s="5">
        <v>408.04</v>
      </c>
      <c r="F63" s="5">
        <v>412.44</v>
      </c>
      <c r="G63" s="5">
        <f t="shared" si="0"/>
        <v>36.818181818182012</v>
      </c>
      <c r="H63" s="5">
        <v>3.48</v>
      </c>
      <c r="I63" s="5">
        <v>4.97</v>
      </c>
      <c r="J63" s="5">
        <f t="shared" si="1"/>
        <v>4.2249999999999996</v>
      </c>
      <c r="K63">
        <f t="shared" si="2"/>
        <v>0.87048899999999974</v>
      </c>
      <c r="L63" s="5">
        <v>61</v>
      </c>
      <c r="M63" s="5" t="s">
        <v>19</v>
      </c>
      <c r="N63" s="5">
        <v>471.24</v>
      </c>
      <c r="O63" s="5">
        <v>475.2</v>
      </c>
      <c r="P63" s="5">
        <f t="shared" si="3"/>
        <v>40.90909090909112</v>
      </c>
      <c r="Q63" s="5">
        <v>7.25</v>
      </c>
      <c r="R63" s="5">
        <v>5.81</v>
      </c>
      <c r="S63" s="5">
        <f t="shared" si="7"/>
        <v>1.75</v>
      </c>
      <c r="T63" s="5">
        <f t="shared" si="9"/>
        <v>3.1900000000000004</v>
      </c>
      <c r="U63" s="5">
        <f t="shared" si="5"/>
        <v>2.4700000000000002</v>
      </c>
      <c r="V63">
        <f t="shared" si="6"/>
        <v>0.25100100000000009</v>
      </c>
    </row>
    <row r="64" spans="3:22" x14ac:dyDescent="0.25">
      <c r="C64" s="5">
        <v>62</v>
      </c>
      <c r="D64" s="5" t="s">
        <v>19</v>
      </c>
      <c r="E64" s="5">
        <v>409.56</v>
      </c>
      <c r="F64" s="5">
        <v>413.72</v>
      </c>
      <c r="G64" s="5">
        <f t="shared" si="0"/>
        <v>38.942307692307459</v>
      </c>
      <c r="H64" s="5">
        <v>3.46</v>
      </c>
      <c r="I64" s="5">
        <v>4.97</v>
      </c>
      <c r="J64" s="5">
        <f t="shared" si="1"/>
        <v>4.2149999999999999</v>
      </c>
      <c r="K64">
        <f t="shared" si="2"/>
        <v>0.85192900000000005</v>
      </c>
      <c r="L64" s="5">
        <v>62</v>
      </c>
      <c r="M64" s="5" t="s">
        <v>19</v>
      </c>
      <c r="N64" s="5">
        <v>471.28</v>
      </c>
      <c r="O64" s="5">
        <v>474.24</v>
      </c>
      <c r="P64" s="5">
        <f t="shared" si="3"/>
        <v>54.729729729729058</v>
      </c>
      <c r="Q64" s="5">
        <v>4.17</v>
      </c>
      <c r="R64" s="5">
        <v>2.73</v>
      </c>
      <c r="S64" s="5">
        <f t="shared" si="7"/>
        <v>4.83</v>
      </c>
      <c r="T64" s="5">
        <f t="shared" si="9"/>
        <v>6.27</v>
      </c>
      <c r="U64" s="5">
        <f t="shared" si="5"/>
        <v>5.55</v>
      </c>
      <c r="V64">
        <f t="shared" si="6"/>
        <v>12.823560999999996</v>
      </c>
    </row>
    <row r="65" spans="3:22" x14ac:dyDescent="0.25">
      <c r="C65" s="5">
        <v>63</v>
      </c>
      <c r="D65" s="5" t="s">
        <v>20</v>
      </c>
      <c r="E65" s="5">
        <v>410.84</v>
      </c>
      <c r="F65" s="5">
        <v>415.48</v>
      </c>
      <c r="G65" s="5">
        <f t="shared" si="0"/>
        <v>34.913793103447951</v>
      </c>
      <c r="H65" s="5">
        <v>2.1800000000000002</v>
      </c>
      <c r="I65" s="5">
        <v>2.1800000000000002</v>
      </c>
      <c r="J65" s="5">
        <f t="shared" si="1"/>
        <v>2.1800000000000002</v>
      </c>
      <c r="K65">
        <f t="shared" si="2"/>
        <v>1.2365439999999992</v>
      </c>
      <c r="L65" s="5">
        <v>63</v>
      </c>
      <c r="M65" s="5" t="s">
        <v>24</v>
      </c>
      <c r="N65" s="5">
        <v>471.36</v>
      </c>
      <c r="O65" s="5">
        <v>481.88</v>
      </c>
      <c r="P65" s="5">
        <f t="shared" si="3"/>
        <v>15.399239543726262</v>
      </c>
      <c r="Q65" s="5">
        <v>8.6199999999999992</v>
      </c>
      <c r="R65" s="5">
        <v>8.6199999999999992</v>
      </c>
      <c r="S65" s="5">
        <f t="shared" si="7"/>
        <v>0.38000000000000078</v>
      </c>
      <c r="T65" s="5">
        <f t="shared" si="9"/>
        <v>0.38000000000000078</v>
      </c>
      <c r="U65" s="5">
        <f t="shared" si="5"/>
        <v>0.38000000000000078</v>
      </c>
      <c r="V65">
        <f t="shared" si="6"/>
        <v>2.5249209999999978</v>
      </c>
    </row>
    <row r="66" spans="3:22" x14ac:dyDescent="0.25">
      <c r="C66" s="5">
        <v>64</v>
      </c>
      <c r="D66" s="5" t="s">
        <v>19</v>
      </c>
      <c r="E66" s="5">
        <v>411.24</v>
      </c>
      <c r="F66" s="5">
        <v>414.58</v>
      </c>
      <c r="G66" s="5">
        <f t="shared" si="0"/>
        <v>48.502994011976412</v>
      </c>
      <c r="H66" s="5">
        <v>3.42</v>
      </c>
      <c r="I66" s="5">
        <v>4.8899999999999997</v>
      </c>
      <c r="J66" s="5">
        <f t="shared" si="1"/>
        <v>4.1549999999999994</v>
      </c>
      <c r="K66">
        <f t="shared" si="2"/>
        <v>0.74476899999999924</v>
      </c>
      <c r="L66" s="5">
        <v>64</v>
      </c>
      <c r="M66" s="5" t="s">
        <v>19</v>
      </c>
      <c r="N66" s="5">
        <v>474.36</v>
      </c>
      <c r="O66" s="5">
        <v>478.04</v>
      </c>
      <c r="P66" s="5">
        <f t="shared" si="3"/>
        <v>44.021739130434703</v>
      </c>
      <c r="Q66" s="5">
        <v>7.01</v>
      </c>
      <c r="R66" s="5">
        <v>5.57</v>
      </c>
      <c r="S66" s="5">
        <f t="shared" si="7"/>
        <v>1.9900000000000002</v>
      </c>
      <c r="T66" s="5">
        <f t="shared" si="9"/>
        <v>3.4299999999999997</v>
      </c>
      <c r="U66" s="5">
        <f t="shared" si="5"/>
        <v>2.71</v>
      </c>
      <c r="V66">
        <f t="shared" si="6"/>
        <v>0.54908099999999982</v>
      </c>
    </row>
    <row r="67" spans="3:22" x14ac:dyDescent="0.25">
      <c r="C67" s="5">
        <v>65</v>
      </c>
      <c r="D67" s="5" t="s">
        <v>20</v>
      </c>
      <c r="E67" s="5">
        <v>414</v>
      </c>
      <c r="F67" s="5">
        <v>417.94</v>
      </c>
      <c r="G67" s="5">
        <f t="shared" si="0"/>
        <v>41.116751269035561</v>
      </c>
      <c r="H67" s="5">
        <v>2.44</v>
      </c>
      <c r="I67" s="5">
        <v>2.44</v>
      </c>
      <c r="J67" s="5">
        <f t="shared" si="1"/>
        <v>2.44</v>
      </c>
      <c r="K67">
        <f t="shared" si="2"/>
        <v>0.72590399999999977</v>
      </c>
      <c r="L67" s="5">
        <v>65</v>
      </c>
      <c r="M67" s="5" t="s">
        <v>20</v>
      </c>
      <c r="N67" s="5">
        <v>476.36</v>
      </c>
      <c r="O67" s="5">
        <v>481.04</v>
      </c>
      <c r="P67" s="5">
        <f t="shared" si="3"/>
        <v>34.615384615384563</v>
      </c>
      <c r="Q67" s="5">
        <v>7.49</v>
      </c>
      <c r="R67" s="5">
        <v>7.49</v>
      </c>
      <c r="S67" s="5">
        <f t="shared" si="7"/>
        <v>1.5099999999999998</v>
      </c>
      <c r="T67" s="5">
        <f t="shared" si="9"/>
        <v>1.5099999999999998</v>
      </c>
      <c r="U67" s="5">
        <f t="shared" si="5"/>
        <v>1.5099999999999998</v>
      </c>
      <c r="V67">
        <f t="shared" si="6"/>
        <v>0.21068100000000028</v>
      </c>
    </row>
    <row r="68" spans="3:22" x14ac:dyDescent="0.25">
      <c r="C68" s="5">
        <v>66</v>
      </c>
      <c r="D68" s="5" t="s">
        <v>19</v>
      </c>
      <c r="E68" s="5">
        <v>415.16</v>
      </c>
      <c r="F68" s="5">
        <v>418.59</v>
      </c>
      <c r="G68" s="5">
        <f t="shared" ref="G68:G131" si="10">$A$3/(F68-E68)*3.6</f>
        <v>47.230320699709139</v>
      </c>
      <c r="H68" s="5">
        <v>3.38</v>
      </c>
      <c r="I68" s="5">
        <v>4.93</v>
      </c>
      <c r="J68" s="5">
        <f t="shared" ref="J68:J131" si="11">(H68+I68)/2</f>
        <v>4.1549999999999994</v>
      </c>
      <c r="K68">
        <f t="shared" ref="K68:K131" si="12">(J68-3.292)^2</f>
        <v>0.74476899999999924</v>
      </c>
      <c r="L68" s="5">
        <v>66</v>
      </c>
      <c r="M68" s="5" t="s">
        <v>20</v>
      </c>
      <c r="N68" s="5">
        <v>480.6</v>
      </c>
      <c r="O68" s="5">
        <v>483.92</v>
      </c>
      <c r="P68" s="5">
        <f t="shared" ref="P68:P99" si="13">$A$3/(O68-N68)*3.6</f>
        <v>48.795180722891672</v>
      </c>
      <c r="Q68" s="5">
        <v>7.87</v>
      </c>
      <c r="R68" s="5">
        <v>7.87</v>
      </c>
      <c r="S68" s="5">
        <f t="shared" si="7"/>
        <v>1.1299999999999999</v>
      </c>
      <c r="T68" s="5">
        <f t="shared" si="9"/>
        <v>1.1299999999999999</v>
      </c>
      <c r="U68" s="5">
        <f t="shared" ref="U68:U99" si="14">(S68+T68)/2</f>
        <v>1.1299999999999999</v>
      </c>
      <c r="V68">
        <f t="shared" ref="V68:V99" si="15">(U68-1.969)^2</f>
        <v>0.70392100000000035</v>
      </c>
    </row>
    <row r="69" spans="3:22" x14ac:dyDescent="0.25">
      <c r="C69" s="5">
        <v>67</v>
      </c>
      <c r="D69" s="5" t="s">
        <v>20</v>
      </c>
      <c r="E69" s="5">
        <v>421.68</v>
      </c>
      <c r="F69" s="5">
        <v>424.62</v>
      </c>
      <c r="G69" s="5">
        <f t="shared" si="10"/>
        <v>55.102040816326578</v>
      </c>
      <c r="H69" s="5">
        <v>2.44</v>
      </c>
      <c r="I69" s="5">
        <v>2.44</v>
      </c>
      <c r="J69" s="5">
        <f t="shared" si="11"/>
        <v>2.44</v>
      </c>
      <c r="K69">
        <f t="shared" si="12"/>
        <v>0.72590399999999977</v>
      </c>
      <c r="L69" s="5">
        <v>67</v>
      </c>
      <c r="M69" s="5" t="s">
        <v>19</v>
      </c>
      <c r="N69" s="5">
        <v>496.64</v>
      </c>
      <c r="O69" s="5">
        <v>500.56</v>
      </c>
      <c r="P69" s="5">
        <f t="shared" si="13"/>
        <v>41.326530612244731</v>
      </c>
      <c r="Q69" s="5">
        <v>8.15</v>
      </c>
      <c r="R69" s="5">
        <v>6.71</v>
      </c>
      <c r="S69" s="5">
        <f t="shared" si="7"/>
        <v>0.84999999999999964</v>
      </c>
      <c r="T69" s="5">
        <f t="shared" si="9"/>
        <v>2.29</v>
      </c>
      <c r="U69" s="5">
        <f t="shared" si="14"/>
        <v>1.5699999999999998</v>
      </c>
      <c r="V69">
        <f t="shared" si="15"/>
        <v>0.1592010000000002</v>
      </c>
    </row>
    <row r="70" spans="3:22" x14ac:dyDescent="0.25">
      <c r="C70" s="5">
        <v>68</v>
      </c>
      <c r="D70" s="5" t="s">
        <v>19</v>
      </c>
      <c r="E70" s="5">
        <v>421.84</v>
      </c>
      <c r="F70" s="5">
        <v>425.12</v>
      </c>
      <c r="G70" s="5">
        <f t="shared" si="10"/>
        <v>49.390243902438584</v>
      </c>
      <c r="H70" s="5">
        <v>3.98</v>
      </c>
      <c r="I70" s="5">
        <v>5.48</v>
      </c>
      <c r="J70" s="5">
        <f t="shared" si="11"/>
        <v>4.7300000000000004</v>
      </c>
      <c r="K70">
        <f t="shared" si="12"/>
        <v>2.0678440000000018</v>
      </c>
      <c r="L70" s="5">
        <v>68</v>
      </c>
      <c r="M70" s="5" t="s">
        <v>20</v>
      </c>
      <c r="N70" s="5">
        <v>497.44</v>
      </c>
      <c r="O70" s="5">
        <v>501.44</v>
      </c>
      <c r="P70" s="5">
        <f t="shared" si="13"/>
        <v>40.5</v>
      </c>
      <c r="Q70" s="5">
        <v>6.75</v>
      </c>
      <c r="R70" s="5">
        <v>6.75</v>
      </c>
      <c r="S70" s="5">
        <f t="shared" si="7"/>
        <v>2.25</v>
      </c>
      <c r="T70" s="5">
        <f t="shared" si="9"/>
        <v>2.25</v>
      </c>
      <c r="U70" s="5">
        <f t="shared" si="14"/>
        <v>2.25</v>
      </c>
      <c r="V70">
        <f t="shared" si="15"/>
        <v>7.8960999999999948E-2</v>
      </c>
    </row>
    <row r="71" spans="3:22" x14ac:dyDescent="0.25">
      <c r="C71" s="5">
        <v>69</v>
      </c>
      <c r="D71" s="5" t="s">
        <v>20</v>
      </c>
      <c r="E71" s="5">
        <v>421.88</v>
      </c>
      <c r="F71" s="5">
        <v>425.48</v>
      </c>
      <c r="G71" s="5">
        <f t="shared" si="10"/>
        <v>44.999999999999723</v>
      </c>
      <c r="H71" s="5">
        <v>2.48</v>
      </c>
      <c r="I71" s="5">
        <v>2.48</v>
      </c>
      <c r="J71" s="5">
        <f t="shared" si="11"/>
        <v>2.48</v>
      </c>
      <c r="K71">
        <f t="shared" si="12"/>
        <v>0.65934399999999971</v>
      </c>
      <c r="L71" s="5">
        <v>69</v>
      </c>
      <c r="M71" s="5" t="s">
        <v>20</v>
      </c>
      <c r="N71" s="5">
        <v>498.56</v>
      </c>
      <c r="O71" s="5">
        <v>502.28</v>
      </c>
      <c r="P71" s="5">
        <f t="shared" si="13"/>
        <v>43.54838709677454</v>
      </c>
      <c r="Q71" s="5">
        <v>7.69</v>
      </c>
      <c r="R71" s="5">
        <v>7.69</v>
      </c>
      <c r="S71" s="5">
        <f t="shared" si="7"/>
        <v>1.3099999999999996</v>
      </c>
      <c r="T71" s="5">
        <f t="shared" si="9"/>
        <v>1.3099999999999996</v>
      </c>
      <c r="U71" s="5">
        <f t="shared" si="14"/>
        <v>1.3099999999999996</v>
      </c>
      <c r="V71">
        <f t="shared" si="15"/>
        <v>0.43428100000000064</v>
      </c>
    </row>
    <row r="72" spans="3:22" x14ac:dyDescent="0.25">
      <c r="C72" s="5">
        <v>70</v>
      </c>
      <c r="D72" s="5" t="s">
        <v>20</v>
      </c>
      <c r="E72" s="5">
        <v>424.24</v>
      </c>
      <c r="F72" s="5">
        <v>426.9</v>
      </c>
      <c r="G72" s="5">
        <f t="shared" si="10"/>
        <v>60.90225563909847</v>
      </c>
      <c r="H72" s="5">
        <v>4.41</v>
      </c>
      <c r="I72" s="5">
        <v>4.41</v>
      </c>
      <c r="J72" s="5">
        <f t="shared" si="11"/>
        <v>4.41</v>
      </c>
      <c r="K72">
        <f t="shared" si="12"/>
        <v>1.2499240000000007</v>
      </c>
      <c r="L72" s="5">
        <v>70</v>
      </c>
      <c r="M72" s="5" t="s">
        <v>20</v>
      </c>
      <c r="N72" s="5">
        <v>499.68</v>
      </c>
      <c r="O72" s="5">
        <v>504.04</v>
      </c>
      <c r="P72" s="5">
        <f t="shared" si="13"/>
        <v>37.155963302752177</v>
      </c>
      <c r="Q72" s="5">
        <v>8.24</v>
      </c>
      <c r="R72" s="5">
        <v>8.24</v>
      </c>
      <c r="S72" s="5">
        <f t="shared" si="7"/>
        <v>0.75999999999999979</v>
      </c>
      <c r="T72" s="5">
        <f t="shared" si="9"/>
        <v>0.75999999999999979</v>
      </c>
      <c r="U72" s="5">
        <f t="shared" si="14"/>
        <v>0.75999999999999979</v>
      </c>
      <c r="V72">
        <f t="shared" si="15"/>
        <v>1.4616810000000007</v>
      </c>
    </row>
    <row r="73" spans="3:22" x14ac:dyDescent="0.25">
      <c r="C73" s="5">
        <v>71</v>
      </c>
      <c r="D73" s="5" t="s">
        <v>20</v>
      </c>
      <c r="E73" s="5">
        <v>425.16</v>
      </c>
      <c r="F73" s="5">
        <v>429.64</v>
      </c>
      <c r="G73" s="5">
        <f t="shared" si="10"/>
        <v>36.160714285714604</v>
      </c>
      <c r="H73" s="5">
        <v>2.33</v>
      </c>
      <c r="I73" s="5">
        <v>2.33</v>
      </c>
      <c r="J73" s="5">
        <f t="shared" si="11"/>
        <v>2.33</v>
      </c>
      <c r="K73">
        <f t="shared" si="12"/>
        <v>0.92544399999999949</v>
      </c>
      <c r="L73" s="5">
        <v>71</v>
      </c>
      <c r="M73" s="5" t="s">
        <v>19</v>
      </c>
      <c r="N73" s="5">
        <v>499.88</v>
      </c>
      <c r="O73" s="5">
        <v>503.52</v>
      </c>
      <c r="P73" s="5">
        <f t="shared" si="13"/>
        <v>44.505494505494674</v>
      </c>
      <c r="Q73" s="5">
        <v>7.64</v>
      </c>
      <c r="R73" s="5">
        <v>6.2</v>
      </c>
      <c r="S73" s="5">
        <f t="shared" si="7"/>
        <v>1.3600000000000003</v>
      </c>
      <c r="T73" s="5">
        <f t="shared" si="9"/>
        <v>2.8</v>
      </c>
      <c r="U73" s="5">
        <f t="shared" si="14"/>
        <v>2.08</v>
      </c>
      <c r="V73">
        <f t="shared" si="15"/>
        <v>1.2320999999999997E-2</v>
      </c>
    </row>
    <row r="74" spans="3:22" x14ac:dyDescent="0.25">
      <c r="C74" s="5">
        <v>72</v>
      </c>
      <c r="D74" s="5" t="s">
        <v>20</v>
      </c>
      <c r="E74" s="5">
        <v>428.48</v>
      </c>
      <c r="F74" s="5">
        <v>432.72</v>
      </c>
      <c r="G74" s="5">
        <f t="shared" si="10"/>
        <v>38.207547169811235</v>
      </c>
      <c r="H74" s="5">
        <v>2.5</v>
      </c>
      <c r="I74" s="5">
        <v>2.5</v>
      </c>
      <c r="J74" s="5">
        <f t="shared" si="11"/>
        <v>2.5</v>
      </c>
      <c r="K74">
        <f t="shared" si="12"/>
        <v>0.62726399999999971</v>
      </c>
      <c r="L74" s="5">
        <v>72</v>
      </c>
      <c r="M74" s="5" t="s">
        <v>20</v>
      </c>
      <c r="N74" s="5">
        <v>502.4</v>
      </c>
      <c r="O74" s="5">
        <v>506.76</v>
      </c>
      <c r="P74" s="5">
        <f t="shared" si="13"/>
        <v>37.155963302752177</v>
      </c>
      <c r="Q74" s="5">
        <f>IF(M74="Car", R74 + 1.44, R74)</f>
        <v>7.68</v>
      </c>
      <c r="R74" s="5">
        <v>7.68</v>
      </c>
      <c r="S74" s="5">
        <f t="shared" si="7"/>
        <v>1.3200000000000003</v>
      </c>
      <c r="T74" s="5">
        <f t="shared" si="9"/>
        <v>1.3200000000000003</v>
      </c>
      <c r="U74" s="5">
        <f t="shared" si="14"/>
        <v>1.3200000000000003</v>
      </c>
      <c r="V74">
        <f t="shared" si="15"/>
        <v>0.42120099999999971</v>
      </c>
    </row>
    <row r="75" spans="3:22" x14ac:dyDescent="0.25">
      <c r="C75" s="5">
        <v>73</v>
      </c>
      <c r="D75" s="5" t="s">
        <v>20</v>
      </c>
      <c r="E75" s="5">
        <v>433.68</v>
      </c>
      <c r="F75" s="5">
        <v>437.06</v>
      </c>
      <c r="G75" s="5">
        <f t="shared" si="10"/>
        <v>47.928994082840305</v>
      </c>
      <c r="H75" s="5">
        <v>2.33</v>
      </c>
      <c r="I75" s="5">
        <v>2.33</v>
      </c>
      <c r="J75" s="5">
        <f t="shared" si="11"/>
        <v>2.33</v>
      </c>
      <c r="K75">
        <f t="shared" si="12"/>
        <v>0.92544399999999949</v>
      </c>
      <c r="L75" s="5">
        <v>73</v>
      </c>
      <c r="M75" s="5" t="s">
        <v>19</v>
      </c>
      <c r="N75" s="5">
        <v>503.6</v>
      </c>
      <c r="O75" s="5">
        <v>508.12</v>
      </c>
      <c r="P75" s="5">
        <f t="shared" si="13"/>
        <v>35.840707964601911</v>
      </c>
      <c r="Q75" s="5">
        <f t="shared" ref="Q75:Q94" si="16">IF(M75="Car", R75 + 1.44, R75)</f>
        <v>8.35</v>
      </c>
      <c r="R75" s="5">
        <v>6.91</v>
      </c>
      <c r="S75" s="5">
        <f t="shared" si="7"/>
        <v>0.65000000000000036</v>
      </c>
      <c r="T75" s="5">
        <f t="shared" si="9"/>
        <v>2.09</v>
      </c>
      <c r="U75" s="5">
        <f t="shared" si="14"/>
        <v>1.37</v>
      </c>
      <c r="V75">
        <f t="shared" si="15"/>
        <v>0.35880099999999998</v>
      </c>
    </row>
    <row r="76" spans="3:22" x14ac:dyDescent="0.25">
      <c r="C76" s="5">
        <v>74</v>
      </c>
      <c r="D76" s="5" t="s">
        <v>20</v>
      </c>
      <c r="E76" s="5">
        <v>434.32</v>
      </c>
      <c r="F76" s="5">
        <v>438.06</v>
      </c>
      <c r="G76" s="5">
        <f t="shared" si="10"/>
        <v>43.315508021390272</v>
      </c>
      <c r="H76" s="5">
        <v>1.28</v>
      </c>
      <c r="I76" s="5">
        <v>1.28</v>
      </c>
      <c r="J76" s="5">
        <f t="shared" si="11"/>
        <v>1.28</v>
      </c>
      <c r="K76">
        <f t="shared" si="12"/>
        <v>4.048143999999998</v>
      </c>
      <c r="L76" s="5">
        <v>74</v>
      </c>
      <c r="M76" s="5" t="s">
        <v>20</v>
      </c>
      <c r="N76" s="5">
        <v>513.72</v>
      </c>
      <c r="O76" s="5">
        <v>519.04</v>
      </c>
      <c r="P76" s="5">
        <f t="shared" si="13"/>
        <v>30.451127819549235</v>
      </c>
      <c r="Q76" s="5">
        <f t="shared" si="16"/>
        <v>7.91</v>
      </c>
      <c r="R76" s="5">
        <v>7.91</v>
      </c>
      <c r="S76" s="5">
        <f t="shared" si="7"/>
        <v>1.0899999999999999</v>
      </c>
      <c r="T76" s="5">
        <f t="shared" si="9"/>
        <v>1.0899999999999999</v>
      </c>
      <c r="U76" s="5">
        <f t="shared" si="14"/>
        <v>1.0899999999999999</v>
      </c>
      <c r="V76">
        <f t="shared" si="15"/>
        <v>0.77264100000000036</v>
      </c>
    </row>
    <row r="77" spans="3:22" x14ac:dyDescent="0.25">
      <c r="C77" s="5">
        <v>75</v>
      </c>
      <c r="D77" s="5" t="s">
        <v>19</v>
      </c>
      <c r="E77" s="5">
        <v>435.8</v>
      </c>
      <c r="F77" s="5">
        <v>438.72</v>
      </c>
      <c r="G77" s="5">
        <f t="shared" si="10"/>
        <v>55.479452054794216</v>
      </c>
      <c r="H77" s="5">
        <v>3.06</v>
      </c>
      <c r="I77" s="5">
        <v>4.41</v>
      </c>
      <c r="J77" s="5">
        <f t="shared" si="11"/>
        <v>3.7350000000000003</v>
      </c>
      <c r="K77">
        <f t="shared" si="12"/>
        <v>0.19624900000000045</v>
      </c>
      <c r="L77" s="5">
        <v>75</v>
      </c>
      <c r="M77" s="5" t="s">
        <v>19</v>
      </c>
      <c r="N77" s="5">
        <v>517.70000000000005</v>
      </c>
      <c r="O77" s="5">
        <v>520.4</v>
      </c>
      <c r="P77" s="5">
        <f t="shared" si="13"/>
        <v>60.000000000001513</v>
      </c>
      <c r="Q77" s="5">
        <f t="shared" si="16"/>
        <v>8.33</v>
      </c>
      <c r="R77" s="5">
        <v>6.89</v>
      </c>
      <c r="S77" s="5">
        <f t="shared" si="7"/>
        <v>0.66999999999999993</v>
      </c>
      <c r="T77" s="5">
        <f t="shared" si="9"/>
        <v>2.1100000000000003</v>
      </c>
      <c r="U77" s="5">
        <f t="shared" si="14"/>
        <v>1.3900000000000001</v>
      </c>
      <c r="V77">
        <f t="shared" si="15"/>
        <v>0.33524099999999996</v>
      </c>
    </row>
    <row r="78" spans="3:22" x14ac:dyDescent="0.25">
      <c r="C78" s="5">
        <v>76</v>
      </c>
      <c r="D78" s="5" t="s">
        <v>20</v>
      </c>
      <c r="E78" s="5">
        <v>436.96</v>
      </c>
      <c r="F78" s="5">
        <v>440</v>
      </c>
      <c r="G78" s="5">
        <f t="shared" si="10"/>
        <v>53.289473684210165</v>
      </c>
      <c r="H78" s="5">
        <v>2.48</v>
      </c>
      <c r="I78" s="5">
        <v>2.48</v>
      </c>
      <c r="J78" s="5">
        <f t="shared" si="11"/>
        <v>2.48</v>
      </c>
      <c r="K78">
        <f t="shared" si="12"/>
        <v>0.65934399999999971</v>
      </c>
      <c r="L78" s="5">
        <v>76</v>
      </c>
      <c r="M78" s="5" t="s">
        <v>20</v>
      </c>
      <c r="N78" s="5">
        <v>532.64</v>
      </c>
      <c r="O78" s="5">
        <v>538.12</v>
      </c>
      <c r="P78" s="5">
        <f t="shared" si="13"/>
        <v>29.562043795620337</v>
      </c>
      <c r="Q78" s="5">
        <f t="shared" si="16"/>
        <v>8.49</v>
      </c>
      <c r="R78" s="5">
        <v>8.49</v>
      </c>
      <c r="S78" s="5">
        <f t="shared" si="7"/>
        <v>0.50999999999999979</v>
      </c>
      <c r="T78" s="5">
        <f t="shared" si="9"/>
        <v>0.50999999999999979</v>
      </c>
      <c r="U78" s="5">
        <f t="shared" si="14"/>
        <v>0.50999999999999979</v>
      </c>
      <c r="V78">
        <f t="shared" si="15"/>
        <v>2.1286810000000007</v>
      </c>
    </row>
    <row r="79" spans="3:22" x14ac:dyDescent="0.25">
      <c r="C79" s="5">
        <v>77</v>
      </c>
      <c r="D79" s="5" t="s">
        <v>19</v>
      </c>
      <c r="E79" s="5">
        <v>437.4</v>
      </c>
      <c r="F79" s="5">
        <v>441.72</v>
      </c>
      <c r="G79" s="5">
        <f t="shared" si="10"/>
        <v>37.499999999999567</v>
      </c>
      <c r="H79" s="5">
        <v>1.8</v>
      </c>
      <c r="I79" s="5">
        <v>3.31</v>
      </c>
      <c r="J79" s="5">
        <f t="shared" si="11"/>
        <v>2.5550000000000002</v>
      </c>
      <c r="K79">
        <f t="shared" si="12"/>
        <v>0.54316899999999946</v>
      </c>
      <c r="L79" s="5">
        <v>77</v>
      </c>
      <c r="M79" s="5" t="s">
        <v>19</v>
      </c>
      <c r="N79" s="5">
        <v>540.44000000000005</v>
      </c>
      <c r="O79" s="5">
        <v>544</v>
      </c>
      <c r="P79" s="5">
        <f t="shared" si="13"/>
        <v>45.505617977528793</v>
      </c>
      <c r="Q79" s="5">
        <f t="shared" si="16"/>
        <v>7.8800000000000008</v>
      </c>
      <c r="R79" s="5">
        <v>6.44</v>
      </c>
      <c r="S79" s="5">
        <f t="shared" si="7"/>
        <v>1.1199999999999992</v>
      </c>
      <c r="T79" s="5">
        <f t="shared" si="9"/>
        <v>2.5599999999999996</v>
      </c>
      <c r="U79" s="5">
        <f t="shared" si="14"/>
        <v>1.8399999999999994</v>
      </c>
      <c r="V79">
        <f t="shared" si="15"/>
        <v>1.6641000000000173E-2</v>
      </c>
    </row>
    <row r="80" spans="3:22" x14ac:dyDescent="0.25">
      <c r="C80" s="5">
        <v>78</v>
      </c>
      <c r="D80" s="5" t="s">
        <v>20</v>
      </c>
      <c r="E80" s="5">
        <v>443.96</v>
      </c>
      <c r="F80" s="5">
        <v>446.56</v>
      </c>
      <c r="G80" s="5">
        <f t="shared" si="10"/>
        <v>62.307692307691767</v>
      </c>
      <c r="H80" s="5">
        <v>3.29</v>
      </c>
      <c r="I80" s="5">
        <v>3.29</v>
      </c>
      <c r="J80" s="5">
        <f t="shared" si="11"/>
        <v>3.29</v>
      </c>
      <c r="K80">
        <f t="shared" si="12"/>
        <v>3.9999999999991189E-6</v>
      </c>
      <c r="L80" s="5">
        <v>78</v>
      </c>
      <c r="M80" s="5" t="s">
        <v>22</v>
      </c>
      <c r="N80" s="5">
        <v>545.96</v>
      </c>
      <c r="O80" s="5">
        <v>549.84</v>
      </c>
      <c r="P80" s="5">
        <f t="shared" si="13"/>
        <v>41.752577319587679</v>
      </c>
      <c r="Q80" s="5">
        <v>8.59</v>
      </c>
      <c r="R80" s="5">
        <v>6.16</v>
      </c>
      <c r="S80" s="5">
        <f t="shared" si="7"/>
        <v>0.41000000000000014</v>
      </c>
      <c r="T80" s="5">
        <f t="shared" si="9"/>
        <v>2.84</v>
      </c>
      <c r="U80" s="5">
        <f t="shared" si="14"/>
        <v>1.625</v>
      </c>
      <c r="V80">
        <f t="shared" si="15"/>
        <v>0.11833600000000005</v>
      </c>
    </row>
    <row r="81" spans="3:22" x14ac:dyDescent="0.25">
      <c r="C81" s="5">
        <v>79</v>
      </c>
      <c r="D81" s="5" t="s">
        <v>20</v>
      </c>
      <c r="E81" s="5">
        <v>444.92</v>
      </c>
      <c r="F81" s="5">
        <v>448.96</v>
      </c>
      <c r="G81" s="5">
        <f t="shared" si="10"/>
        <v>40.09900990099046</v>
      </c>
      <c r="H81" s="5">
        <v>2.1</v>
      </c>
      <c r="I81" s="5">
        <v>2.1</v>
      </c>
      <c r="J81" s="5">
        <f t="shared" si="11"/>
        <v>2.1</v>
      </c>
      <c r="K81">
        <f t="shared" si="12"/>
        <v>1.4208639999999992</v>
      </c>
      <c r="L81" s="5">
        <v>79</v>
      </c>
      <c r="M81" s="5" t="s">
        <v>20</v>
      </c>
      <c r="N81" s="5">
        <v>547.28</v>
      </c>
      <c r="O81" s="5">
        <v>551.12</v>
      </c>
      <c r="P81" s="5">
        <f t="shared" si="13"/>
        <v>42.187499999999652</v>
      </c>
      <c r="Q81" s="5">
        <f t="shared" si="16"/>
        <v>6.14</v>
      </c>
      <c r="R81" s="5">
        <v>6.14</v>
      </c>
      <c r="S81" s="5">
        <f t="shared" si="7"/>
        <v>2.8600000000000003</v>
      </c>
      <c r="T81" s="5">
        <f t="shared" si="9"/>
        <v>2.8600000000000003</v>
      </c>
      <c r="U81" s="5">
        <f t="shared" si="14"/>
        <v>2.8600000000000003</v>
      </c>
      <c r="V81">
        <f t="shared" si="15"/>
        <v>0.79388100000000039</v>
      </c>
    </row>
    <row r="82" spans="3:22" x14ac:dyDescent="0.25">
      <c r="C82" s="5">
        <v>80</v>
      </c>
      <c r="D82" s="5" t="s">
        <v>20</v>
      </c>
      <c r="E82" s="5">
        <v>447.12</v>
      </c>
      <c r="F82" s="5">
        <v>450.78</v>
      </c>
      <c r="G82" s="5">
        <f t="shared" si="10"/>
        <v>44.262295081967601</v>
      </c>
      <c r="H82" s="5">
        <v>2.5</v>
      </c>
      <c r="I82" s="5">
        <v>2.5</v>
      </c>
      <c r="J82" s="5">
        <f t="shared" si="11"/>
        <v>2.5</v>
      </c>
      <c r="K82">
        <f t="shared" si="12"/>
        <v>0.62726399999999971</v>
      </c>
      <c r="L82" s="5">
        <v>80</v>
      </c>
      <c r="M82" s="5" t="s">
        <v>20</v>
      </c>
      <c r="N82" s="5">
        <v>548.36</v>
      </c>
      <c r="O82" s="5">
        <v>552.52</v>
      </c>
      <c r="P82" s="5">
        <f t="shared" si="13"/>
        <v>38.942307692307992</v>
      </c>
      <c r="Q82" s="5">
        <f t="shared" si="16"/>
        <v>8.91</v>
      </c>
      <c r="R82" s="5">
        <v>8.91</v>
      </c>
      <c r="S82" s="5">
        <f t="shared" si="7"/>
        <v>8.9999999999999858E-2</v>
      </c>
      <c r="T82" s="5">
        <f t="shared" si="9"/>
        <v>8.9999999999999858E-2</v>
      </c>
      <c r="U82" s="5">
        <f t="shared" si="14"/>
        <v>8.9999999999999858E-2</v>
      </c>
      <c r="V82">
        <f t="shared" si="15"/>
        <v>3.530641000000001</v>
      </c>
    </row>
    <row r="83" spans="3:22" x14ac:dyDescent="0.25">
      <c r="C83" s="5">
        <v>81</v>
      </c>
      <c r="D83" s="5" t="s">
        <v>20</v>
      </c>
      <c r="E83" s="5">
        <v>449.36</v>
      </c>
      <c r="F83" s="5">
        <v>452.42</v>
      </c>
      <c r="G83" s="5">
        <f t="shared" si="10"/>
        <v>52.941176470588196</v>
      </c>
      <c r="H83" s="5">
        <v>2.48</v>
      </c>
      <c r="I83" s="5">
        <v>2.48</v>
      </c>
      <c r="J83" s="5">
        <f t="shared" si="11"/>
        <v>2.48</v>
      </c>
      <c r="K83">
        <f t="shared" si="12"/>
        <v>0.65934399999999971</v>
      </c>
      <c r="L83" s="5">
        <v>81</v>
      </c>
      <c r="M83" s="5" t="s">
        <v>19</v>
      </c>
      <c r="N83" s="5">
        <v>549.55999999999995</v>
      </c>
      <c r="O83" s="5">
        <v>553.67999999999995</v>
      </c>
      <c r="P83" s="5">
        <f t="shared" si="13"/>
        <v>39.320388349514516</v>
      </c>
      <c r="Q83" s="5">
        <f t="shared" si="16"/>
        <v>7.8599999999999994</v>
      </c>
      <c r="R83" s="5">
        <v>6.42</v>
      </c>
      <c r="S83" s="5">
        <f t="shared" si="7"/>
        <v>1.1400000000000006</v>
      </c>
      <c r="T83" s="5">
        <f t="shared" si="9"/>
        <v>2.58</v>
      </c>
      <c r="U83" s="5">
        <f t="shared" si="14"/>
        <v>1.8600000000000003</v>
      </c>
      <c r="V83">
        <f t="shared" si="15"/>
        <v>1.1880999999999949E-2</v>
      </c>
    </row>
    <row r="84" spans="3:22" x14ac:dyDescent="0.25">
      <c r="C84" s="5">
        <v>82</v>
      </c>
      <c r="D84" s="5" t="s">
        <v>19</v>
      </c>
      <c r="E84" s="5">
        <v>473.64</v>
      </c>
      <c r="F84" s="5">
        <v>476.8</v>
      </c>
      <c r="G84" s="5">
        <f t="shared" si="10"/>
        <v>51.265822784809721</v>
      </c>
      <c r="H84" s="5">
        <v>2.06</v>
      </c>
      <c r="I84" s="5">
        <v>3.53</v>
      </c>
      <c r="J84" s="5">
        <f t="shared" si="11"/>
        <v>2.7949999999999999</v>
      </c>
      <c r="K84">
        <f t="shared" si="12"/>
        <v>0.2470089999999999</v>
      </c>
      <c r="L84" s="5">
        <v>82</v>
      </c>
      <c r="M84" s="5" t="s">
        <v>19</v>
      </c>
      <c r="N84" s="5">
        <v>550.64</v>
      </c>
      <c r="O84" s="5">
        <v>555.08000000000004</v>
      </c>
      <c r="P84" s="5">
        <f t="shared" si="13"/>
        <v>36.486486486486037</v>
      </c>
      <c r="Q84" s="5">
        <f t="shared" si="16"/>
        <v>7.4399999999999995</v>
      </c>
      <c r="R84" s="5">
        <v>6</v>
      </c>
      <c r="S84" s="5">
        <f t="shared" si="7"/>
        <v>1.5600000000000005</v>
      </c>
      <c r="T84" s="5">
        <f t="shared" si="9"/>
        <v>3</v>
      </c>
      <c r="U84" s="5">
        <f t="shared" si="14"/>
        <v>2.2800000000000002</v>
      </c>
      <c r="V84">
        <f t="shared" si="15"/>
        <v>9.6721000000000099E-2</v>
      </c>
    </row>
    <row r="85" spans="3:22" x14ac:dyDescent="0.25">
      <c r="C85" s="5">
        <v>83</v>
      </c>
      <c r="D85" s="5" t="s">
        <v>20</v>
      </c>
      <c r="E85" s="5">
        <v>475.28</v>
      </c>
      <c r="F85" s="5">
        <v>478.48</v>
      </c>
      <c r="G85" s="5">
        <f t="shared" si="10"/>
        <v>50.624999999999282</v>
      </c>
      <c r="H85" s="5">
        <v>2.62</v>
      </c>
      <c r="I85" s="5">
        <v>2.62</v>
      </c>
      <c r="J85" s="5">
        <f t="shared" si="11"/>
        <v>2.62</v>
      </c>
      <c r="K85">
        <f t="shared" si="12"/>
        <v>0.4515839999999996</v>
      </c>
      <c r="L85" s="5">
        <v>83</v>
      </c>
      <c r="M85" s="5" t="s">
        <v>19</v>
      </c>
      <c r="N85" s="5">
        <v>552.28</v>
      </c>
      <c r="O85" s="5">
        <v>556.84</v>
      </c>
      <c r="P85" s="5">
        <f t="shared" si="13"/>
        <v>35.526315789473223</v>
      </c>
      <c r="Q85" s="5">
        <f t="shared" si="16"/>
        <v>7.42</v>
      </c>
      <c r="R85" s="5">
        <v>5.98</v>
      </c>
      <c r="S85" s="5">
        <f t="shared" ref="S85:S99" si="17">$A$5-Q85</f>
        <v>1.58</v>
      </c>
      <c r="T85" s="5">
        <f t="shared" si="9"/>
        <v>3.0199999999999996</v>
      </c>
      <c r="U85" s="5">
        <f t="shared" si="14"/>
        <v>2.2999999999999998</v>
      </c>
      <c r="V85">
        <f t="shared" si="15"/>
        <v>0.10956099999999983</v>
      </c>
    </row>
    <row r="86" spans="3:22" x14ac:dyDescent="0.25">
      <c r="C86" s="5">
        <v>84</v>
      </c>
      <c r="D86" s="5" t="s">
        <v>20</v>
      </c>
      <c r="E86" s="5">
        <v>476.56</v>
      </c>
      <c r="F86" s="5">
        <v>480.74</v>
      </c>
      <c r="G86" s="5">
        <f t="shared" si="10"/>
        <v>38.755980861243955</v>
      </c>
      <c r="H86" s="5">
        <v>1.99</v>
      </c>
      <c r="I86" s="5">
        <v>1.99</v>
      </c>
      <c r="J86" s="5">
        <f t="shared" si="11"/>
        <v>1.99</v>
      </c>
      <c r="K86">
        <f t="shared" si="12"/>
        <v>1.6952039999999995</v>
      </c>
      <c r="L86" s="5">
        <v>84</v>
      </c>
      <c r="M86" s="5" t="s">
        <v>20</v>
      </c>
      <c r="N86" s="5">
        <v>553.08000000000004</v>
      </c>
      <c r="O86" s="5">
        <v>557.76</v>
      </c>
      <c r="P86" s="5">
        <f t="shared" si="13"/>
        <v>34.615384615384983</v>
      </c>
      <c r="Q86" s="5">
        <f t="shared" si="16"/>
        <v>5.83</v>
      </c>
      <c r="R86" s="5">
        <v>5.83</v>
      </c>
      <c r="S86" s="5">
        <f t="shared" si="17"/>
        <v>3.17</v>
      </c>
      <c r="T86" s="5">
        <f t="shared" si="9"/>
        <v>3.17</v>
      </c>
      <c r="U86" s="5">
        <f t="shared" si="14"/>
        <v>3.17</v>
      </c>
      <c r="V86">
        <f t="shared" si="15"/>
        <v>1.4424009999999996</v>
      </c>
    </row>
    <row r="87" spans="3:22" x14ac:dyDescent="0.25">
      <c r="C87" s="5">
        <v>85</v>
      </c>
      <c r="D87" s="5" t="s">
        <v>20</v>
      </c>
      <c r="E87" s="5">
        <v>477.28</v>
      </c>
      <c r="F87" s="5">
        <v>481.32</v>
      </c>
      <c r="G87" s="5">
        <f t="shared" si="10"/>
        <v>40.099009900989898</v>
      </c>
      <c r="H87" s="5">
        <v>4.24</v>
      </c>
      <c r="I87" s="5">
        <v>4.24</v>
      </c>
      <c r="J87" s="5">
        <f t="shared" si="11"/>
        <v>4.24</v>
      </c>
      <c r="K87">
        <f t="shared" si="12"/>
        <v>0.89870400000000072</v>
      </c>
      <c r="L87" s="5">
        <v>85</v>
      </c>
      <c r="M87" s="5" t="s">
        <v>20</v>
      </c>
      <c r="N87" s="5">
        <v>553.72</v>
      </c>
      <c r="O87" s="5">
        <v>558.04</v>
      </c>
      <c r="P87" s="5">
        <f t="shared" si="13"/>
        <v>37.500000000000554</v>
      </c>
      <c r="Q87" s="5">
        <f t="shared" si="16"/>
        <v>8.58</v>
      </c>
      <c r="R87" s="5">
        <v>8.58</v>
      </c>
      <c r="S87" s="5">
        <f t="shared" si="17"/>
        <v>0.41999999999999993</v>
      </c>
      <c r="T87" s="5">
        <f t="shared" si="9"/>
        <v>0.41999999999999993</v>
      </c>
      <c r="U87" s="5">
        <f t="shared" si="14"/>
        <v>0.41999999999999993</v>
      </c>
      <c r="V87">
        <f t="shared" si="15"/>
        <v>2.3994010000000006</v>
      </c>
    </row>
    <row r="88" spans="3:22" x14ac:dyDescent="0.25">
      <c r="C88" s="5">
        <v>86</v>
      </c>
      <c r="D88" s="5" t="s">
        <v>20</v>
      </c>
      <c r="E88" s="5">
        <v>477.68</v>
      </c>
      <c r="F88" s="5">
        <v>480.82</v>
      </c>
      <c r="G88" s="5">
        <f t="shared" si="10"/>
        <v>51.592356687898317</v>
      </c>
      <c r="H88" s="5">
        <v>3.31</v>
      </c>
      <c r="I88" s="5">
        <v>3.31</v>
      </c>
      <c r="J88" s="5">
        <f t="shared" si="11"/>
        <v>3.31</v>
      </c>
      <c r="K88">
        <f t="shared" si="12"/>
        <v>3.2400000000000858E-4</v>
      </c>
      <c r="L88" s="5">
        <v>86</v>
      </c>
      <c r="M88" s="5" t="s">
        <v>18</v>
      </c>
      <c r="N88" s="5">
        <v>554.16</v>
      </c>
      <c r="O88" s="5">
        <v>558.28</v>
      </c>
      <c r="P88" s="5">
        <f t="shared" si="13"/>
        <v>39.320388349514516</v>
      </c>
      <c r="Q88" s="5">
        <v>8.19</v>
      </c>
      <c r="R88" s="5">
        <v>6.79</v>
      </c>
      <c r="S88" s="5">
        <f t="shared" si="17"/>
        <v>0.8100000000000005</v>
      </c>
      <c r="T88" s="5">
        <f t="shared" si="9"/>
        <v>2.21</v>
      </c>
      <c r="U88" s="5">
        <f t="shared" si="14"/>
        <v>1.5100000000000002</v>
      </c>
      <c r="V88">
        <f t="shared" si="15"/>
        <v>0.21068099999999987</v>
      </c>
    </row>
    <row r="89" spans="3:22" x14ac:dyDescent="0.25">
      <c r="C89" s="5">
        <v>87</v>
      </c>
      <c r="D89" s="5" t="s">
        <v>19</v>
      </c>
      <c r="E89" s="5">
        <v>480.16</v>
      </c>
      <c r="F89" s="5">
        <v>483.84</v>
      </c>
      <c r="G89" s="5">
        <f t="shared" si="10"/>
        <v>44.021739130435385</v>
      </c>
      <c r="H89" s="5">
        <v>2.65</v>
      </c>
      <c r="I89" s="5">
        <v>4.1500000000000004</v>
      </c>
      <c r="J89" s="5">
        <f t="shared" si="11"/>
        <v>3.4000000000000004</v>
      </c>
      <c r="K89">
        <f t="shared" si="12"/>
        <v>1.1664000000000117E-2</v>
      </c>
      <c r="L89" s="5">
        <v>87</v>
      </c>
      <c r="M89" s="5" t="s">
        <v>19</v>
      </c>
      <c r="N89" s="5">
        <v>555.84</v>
      </c>
      <c r="O89" s="5">
        <v>559.64</v>
      </c>
      <c r="P89" s="5">
        <f t="shared" si="13"/>
        <v>42.631578947368929</v>
      </c>
      <c r="Q89" s="5">
        <f t="shared" si="16"/>
        <v>8.0299999999999994</v>
      </c>
      <c r="R89" s="5">
        <v>6.59</v>
      </c>
      <c r="S89" s="5">
        <f t="shared" si="17"/>
        <v>0.97000000000000064</v>
      </c>
      <c r="T89" s="5">
        <f t="shared" si="9"/>
        <v>2.41</v>
      </c>
      <c r="U89" s="5">
        <f t="shared" si="14"/>
        <v>1.6900000000000004</v>
      </c>
      <c r="V89">
        <f t="shared" si="15"/>
        <v>7.7840999999999827E-2</v>
      </c>
    </row>
    <row r="90" spans="3:22" x14ac:dyDescent="0.25">
      <c r="C90" s="5">
        <v>88</v>
      </c>
      <c r="D90" s="5" t="s">
        <v>20</v>
      </c>
      <c r="E90" s="5">
        <v>486</v>
      </c>
      <c r="F90" s="5">
        <v>490</v>
      </c>
      <c r="G90" s="5">
        <f t="shared" si="10"/>
        <v>40.5</v>
      </c>
      <c r="H90" s="5">
        <v>1.66</v>
      </c>
      <c r="I90" s="5">
        <v>1.66</v>
      </c>
      <c r="J90" s="5">
        <f t="shared" si="11"/>
        <v>1.66</v>
      </c>
      <c r="K90">
        <f t="shared" si="12"/>
        <v>2.6634239999999996</v>
      </c>
      <c r="L90" s="5">
        <v>88</v>
      </c>
      <c r="M90" s="5" t="s">
        <v>19</v>
      </c>
      <c r="N90" s="5">
        <v>556.28</v>
      </c>
      <c r="O90" s="5">
        <v>559.24</v>
      </c>
      <c r="P90" s="5">
        <f t="shared" si="13"/>
        <v>54.729729729729058</v>
      </c>
      <c r="Q90" s="5">
        <f t="shared" si="16"/>
        <v>5.76</v>
      </c>
      <c r="R90" s="5">
        <v>4.32</v>
      </c>
      <c r="S90" s="5">
        <f t="shared" si="17"/>
        <v>3.24</v>
      </c>
      <c r="T90" s="5">
        <f t="shared" si="9"/>
        <v>4.68</v>
      </c>
      <c r="U90" s="5">
        <f t="shared" si="14"/>
        <v>3.96</v>
      </c>
      <c r="V90">
        <f t="shared" si="15"/>
        <v>3.9640809999999997</v>
      </c>
    </row>
    <row r="91" spans="3:22" x14ac:dyDescent="0.25">
      <c r="C91" s="5">
        <v>89</v>
      </c>
      <c r="D91" s="5" t="s">
        <v>20</v>
      </c>
      <c r="E91" s="5">
        <v>486.12</v>
      </c>
      <c r="F91" s="5">
        <v>489.88</v>
      </c>
      <c r="G91" s="5">
        <f t="shared" si="10"/>
        <v>43.085106382978829</v>
      </c>
      <c r="H91" s="5">
        <v>3.15</v>
      </c>
      <c r="I91" s="5">
        <v>3.15</v>
      </c>
      <c r="J91" s="5">
        <f t="shared" si="11"/>
        <v>3.15</v>
      </c>
      <c r="K91">
        <f t="shared" si="12"/>
        <v>2.0163999999999974E-2</v>
      </c>
      <c r="L91" s="5">
        <v>89</v>
      </c>
      <c r="M91" s="5" t="s">
        <v>19</v>
      </c>
      <c r="N91" s="5">
        <v>558.4</v>
      </c>
      <c r="O91" s="5">
        <v>561.67999999999995</v>
      </c>
      <c r="P91" s="5">
        <f t="shared" si="13"/>
        <v>49.390243902439437</v>
      </c>
      <c r="Q91" s="5">
        <f t="shared" si="16"/>
        <v>7.59</v>
      </c>
      <c r="R91" s="5">
        <v>6.15</v>
      </c>
      <c r="S91" s="5">
        <f t="shared" si="17"/>
        <v>1.4100000000000001</v>
      </c>
      <c r="T91" s="5">
        <f t="shared" si="9"/>
        <v>2.8499999999999996</v>
      </c>
      <c r="U91" s="5">
        <f t="shared" si="14"/>
        <v>2.13</v>
      </c>
      <c r="V91">
        <f t="shared" si="15"/>
        <v>2.5920999999999937E-2</v>
      </c>
    </row>
    <row r="92" spans="3:22" x14ac:dyDescent="0.25">
      <c r="C92" s="5">
        <v>90</v>
      </c>
      <c r="D92" s="5" t="s">
        <v>20</v>
      </c>
      <c r="E92" s="5">
        <v>486.76</v>
      </c>
      <c r="F92" s="5">
        <v>490.62</v>
      </c>
      <c r="G92" s="5">
        <f t="shared" si="10"/>
        <v>41.968911917098296</v>
      </c>
      <c r="H92" s="5">
        <v>3.32</v>
      </c>
      <c r="I92" s="5">
        <v>3.32</v>
      </c>
      <c r="J92" s="5">
        <f t="shared" si="11"/>
        <v>3.32</v>
      </c>
      <c r="K92">
        <f t="shared" si="12"/>
        <v>7.8400000000000138E-4</v>
      </c>
      <c r="L92" s="5">
        <v>90</v>
      </c>
      <c r="M92" s="5" t="s">
        <v>19</v>
      </c>
      <c r="N92" s="5">
        <v>568.16</v>
      </c>
      <c r="O92" s="5">
        <v>571.67999999999995</v>
      </c>
      <c r="P92" s="5">
        <f t="shared" si="13"/>
        <v>46.022727272727515</v>
      </c>
      <c r="Q92" s="5">
        <f t="shared" si="16"/>
        <v>8.33</v>
      </c>
      <c r="R92" s="5">
        <v>6.89</v>
      </c>
      <c r="S92" s="5">
        <f t="shared" si="17"/>
        <v>0.66999999999999993</v>
      </c>
      <c r="T92" s="5">
        <f t="shared" si="9"/>
        <v>2.1100000000000003</v>
      </c>
      <c r="U92" s="5">
        <f t="shared" si="14"/>
        <v>1.3900000000000001</v>
      </c>
      <c r="V92">
        <f t="shared" si="15"/>
        <v>0.33524099999999996</v>
      </c>
    </row>
    <row r="93" spans="3:22" x14ac:dyDescent="0.25">
      <c r="C93" s="5">
        <v>91</v>
      </c>
      <c r="D93" s="5" t="s">
        <v>19</v>
      </c>
      <c r="E93" s="5">
        <v>487.64</v>
      </c>
      <c r="F93" s="5">
        <v>491.19</v>
      </c>
      <c r="G93" s="5">
        <f t="shared" si="10"/>
        <v>45.633802816901266</v>
      </c>
      <c r="H93" s="5">
        <v>4.09</v>
      </c>
      <c r="I93" s="5">
        <v>5.6</v>
      </c>
      <c r="J93" s="5">
        <f t="shared" si="11"/>
        <v>4.8449999999999998</v>
      </c>
      <c r="K93">
        <f t="shared" si="12"/>
        <v>2.4118089999999999</v>
      </c>
      <c r="L93" s="5">
        <v>91</v>
      </c>
      <c r="M93" s="5" t="s">
        <v>19</v>
      </c>
      <c r="N93" s="5">
        <v>569.64</v>
      </c>
      <c r="O93" s="5">
        <v>573.24</v>
      </c>
      <c r="P93" s="5">
        <f t="shared" si="13"/>
        <v>44.999999999999723</v>
      </c>
      <c r="Q93" s="5">
        <f t="shared" si="16"/>
        <v>8.51</v>
      </c>
      <c r="R93" s="5">
        <v>7.07</v>
      </c>
      <c r="S93" s="5">
        <f t="shared" si="17"/>
        <v>0.49000000000000021</v>
      </c>
      <c r="T93" s="5">
        <f t="shared" si="9"/>
        <v>1.9299999999999997</v>
      </c>
      <c r="U93" s="5">
        <f t="shared" si="14"/>
        <v>1.21</v>
      </c>
      <c r="V93">
        <f t="shared" si="15"/>
        <v>0.57608100000000018</v>
      </c>
    </row>
    <row r="94" spans="3:22" x14ac:dyDescent="0.25">
      <c r="C94" s="5">
        <v>92</v>
      </c>
      <c r="D94" s="5" t="s">
        <v>20</v>
      </c>
      <c r="E94" s="5">
        <v>488.56</v>
      </c>
      <c r="F94" s="5">
        <v>492.6</v>
      </c>
      <c r="G94" s="5">
        <f t="shared" si="10"/>
        <v>40.099009900989898</v>
      </c>
      <c r="H94" s="5">
        <v>2.2400000000000002</v>
      </c>
      <c r="I94" s="5">
        <v>2.2400000000000002</v>
      </c>
      <c r="J94" s="5">
        <f t="shared" si="11"/>
        <v>2.2400000000000002</v>
      </c>
      <c r="K94">
        <f t="shared" si="12"/>
        <v>1.1067039999999992</v>
      </c>
      <c r="L94" s="5">
        <v>92</v>
      </c>
      <c r="M94" s="5" t="s">
        <v>20</v>
      </c>
      <c r="N94" s="5">
        <v>581.16</v>
      </c>
      <c r="O94" s="5">
        <v>583.88</v>
      </c>
      <c r="P94" s="5">
        <f t="shared" si="13"/>
        <v>59.558823529411171</v>
      </c>
      <c r="Q94" s="5">
        <f t="shared" si="16"/>
        <v>7.59</v>
      </c>
      <c r="R94" s="5">
        <v>7.59</v>
      </c>
      <c r="S94" s="5">
        <f t="shared" si="17"/>
        <v>1.4100000000000001</v>
      </c>
      <c r="T94" s="5">
        <f t="shared" si="9"/>
        <v>1.4100000000000001</v>
      </c>
      <c r="U94" s="5">
        <f t="shared" si="14"/>
        <v>1.4100000000000001</v>
      </c>
      <c r="V94">
        <f t="shared" si="15"/>
        <v>0.31248099999999995</v>
      </c>
    </row>
    <row r="95" spans="3:22" x14ac:dyDescent="0.25">
      <c r="C95" s="5">
        <v>93</v>
      </c>
      <c r="D95" s="5" t="s">
        <v>20</v>
      </c>
      <c r="E95" s="5">
        <v>489.12</v>
      </c>
      <c r="F95" s="5">
        <v>493.54</v>
      </c>
      <c r="G95" s="5">
        <f t="shared" si="10"/>
        <v>36.65158371040711</v>
      </c>
      <c r="H95" s="5">
        <v>2.23</v>
      </c>
      <c r="I95" s="5">
        <v>2.23</v>
      </c>
      <c r="J95" s="5">
        <f t="shared" si="11"/>
        <v>2.23</v>
      </c>
      <c r="K95">
        <f t="shared" si="12"/>
        <v>1.1278439999999996</v>
      </c>
      <c r="L95" s="5">
        <v>93</v>
      </c>
      <c r="M95" s="5" t="s">
        <v>18</v>
      </c>
      <c r="N95" s="5">
        <v>589.96</v>
      </c>
      <c r="O95" s="5">
        <v>593.44000000000005</v>
      </c>
      <c r="P95" s="5">
        <f t="shared" si="13"/>
        <v>46.55172413793079</v>
      </c>
      <c r="Q95" s="5">
        <v>6.86</v>
      </c>
      <c r="R95" s="5">
        <v>5.46</v>
      </c>
      <c r="S95" s="5">
        <f t="shared" si="17"/>
        <v>2.1399999999999997</v>
      </c>
      <c r="T95" s="5">
        <f t="shared" si="9"/>
        <v>3.54</v>
      </c>
      <c r="U95" s="5">
        <f t="shared" si="14"/>
        <v>2.84</v>
      </c>
      <c r="V95">
        <f t="shared" si="15"/>
        <v>0.75864099999999957</v>
      </c>
    </row>
    <row r="96" spans="3:22" x14ac:dyDescent="0.25">
      <c r="C96" s="5">
        <v>94</v>
      </c>
      <c r="D96" s="5" t="s">
        <v>19</v>
      </c>
      <c r="E96" s="5">
        <v>490.36</v>
      </c>
      <c r="F96" s="5">
        <v>494.72</v>
      </c>
      <c r="G96" s="5">
        <f t="shared" si="10"/>
        <v>37.155963302752177</v>
      </c>
      <c r="H96" s="5">
        <v>2.67</v>
      </c>
      <c r="I96" s="5">
        <v>3.99</v>
      </c>
      <c r="J96" s="5">
        <f t="shared" si="11"/>
        <v>3.33</v>
      </c>
      <c r="K96">
        <f t="shared" si="12"/>
        <v>1.4440000000000195E-3</v>
      </c>
      <c r="L96" s="5">
        <v>94</v>
      </c>
      <c r="M96" s="5" t="s">
        <v>20</v>
      </c>
      <c r="N96" s="5">
        <v>590.32000000000005</v>
      </c>
      <c r="O96" s="5">
        <v>594.44000000000005</v>
      </c>
      <c r="P96" s="5">
        <f t="shared" si="13"/>
        <v>39.320388349514516</v>
      </c>
      <c r="Q96" s="5">
        <v>7.97</v>
      </c>
      <c r="R96" s="5">
        <v>7.97</v>
      </c>
      <c r="S96" s="5">
        <f t="shared" si="17"/>
        <v>1.0300000000000002</v>
      </c>
      <c r="T96" s="5">
        <f t="shared" si="9"/>
        <v>1.0300000000000002</v>
      </c>
      <c r="U96" s="5">
        <f t="shared" si="14"/>
        <v>1.0300000000000002</v>
      </c>
      <c r="V96">
        <f t="shared" si="15"/>
        <v>0.88172099999999964</v>
      </c>
    </row>
    <row r="97" spans="3:22" x14ac:dyDescent="0.25">
      <c r="C97" s="5">
        <v>95</v>
      </c>
      <c r="D97" s="5" t="s">
        <v>19</v>
      </c>
      <c r="E97" s="5">
        <v>490.96</v>
      </c>
      <c r="F97" s="5">
        <v>494.24</v>
      </c>
      <c r="G97" s="5">
        <f t="shared" si="10"/>
        <v>49.390243902438584</v>
      </c>
      <c r="H97" s="5">
        <v>4.8099999999999996</v>
      </c>
      <c r="I97" s="5">
        <v>6.17</v>
      </c>
      <c r="J97" s="5">
        <f t="shared" si="11"/>
        <v>5.49</v>
      </c>
      <c r="K97">
        <f t="shared" si="12"/>
        <v>4.8312040000000014</v>
      </c>
      <c r="L97" s="5">
        <v>95</v>
      </c>
      <c r="M97" s="5" t="s">
        <v>19</v>
      </c>
      <c r="N97" s="5">
        <v>591.08000000000004</v>
      </c>
      <c r="O97" s="5">
        <v>594.64</v>
      </c>
      <c r="P97" s="5">
        <f t="shared" si="13"/>
        <v>45.505617977528793</v>
      </c>
      <c r="Q97" s="5">
        <v>6.9</v>
      </c>
      <c r="R97" s="5">
        <v>5.56</v>
      </c>
      <c r="S97" s="5">
        <f t="shared" si="17"/>
        <v>2.0999999999999996</v>
      </c>
      <c r="T97" s="5">
        <f t="shared" si="9"/>
        <v>3.4400000000000004</v>
      </c>
      <c r="U97" s="5">
        <f t="shared" si="14"/>
        <v>2.77</v>
      </c>
      <c r="V97">
        <f t="shared" si="15"/>
        <v>0.64160099999999987</v>
      </c>
    </row>
    <row r="98" spans="3:22" x14ac:dyDescent="0.25">
      <c r="C98" s="5">
        <v>96</v>
      </c>
      <c r="D98" s="5" t="s">
        <v>19</v>
      </c>
      <c r="E98" s="5">
        <v>491.96</v>
      </c>
      <c r="F98" s="5">
        <v>495.68</v>
      </c>
      <c r="G98" s="5">
        <f t="shared" si="10"/>
        <v>43.54838709677388</v>
      </c>
      <c r="H98" s="5">
        <v>3.32</v>
      </c>
      <c r="I98" s="5">
        <v>4.7</v>
      </c>
      <c r="J98" s="5">
        <f t="shared" si="11"/>
        <v>4.01</v>
      </c>
      <c r="K98">
        <f t="shared" si="12"/>
        <v>0.51552399999999998</v>
      </c>
      <c r="L98" s="5">
        <v>96</v>
      </c>
      <c r="M98" s="5" t="s">
        <v>19</v>
      </c>
      <c r="N98" s="5">
        <v>593.36</v>
      </c>
      <c r="O98" s="5">
        <v>596.88</v>
      </c>
      <c r="P98" s="5">
        <f t="shared" si="13"/>
        <v>46.022727272727515</v>
      </c>
      <c r="Q98" s="5">
        <v>7.41</v>
      </c>
      <c r="R98" s="5">
        <v>5.97</v>
      </c>
      <c r="S98" s="5">
        <f t="shared" si="17"/>
        <v>1.5899999999999999</v>
      </c>
      <c r="T98" s="5">
        <f t="shared" si="9"/>
        <v>3.0300000000000002</v>
      </c>
      <c r="U98" s="5">
        <f t="shared" si="14"/>
        <v>2.31</v>
      </c>
      <c r="V98">
        <f t="shared" si="15"/>
        <v>0.11628099999999998</v>
      </c>
    </row>
    <row r="99" spans="3:22" x14ac:dyDescent="0.25">
      <c r="C99" s="5">
        <v>97</v>
      </c>
      <c r="D99" s="5" t="s">
        <v>20</v>
      </c>
      <c r="E99" s="5">
        <v>492.44</v>
      </c>
      <c r="F99" s="5">
        <v>497.64</v>
      </c>
      <c r="G99" s="5">
        <f t="shared" si="10"/>
        <v>31.153846153846224</v>
      </c>
      <c r="H99" s="5">
        <v>1.53</v>
      </c>
      <c r="I99" s="5">
        <v>1.53</v>
      </c>
      <c r="J99" s="5">
        <f t="shared" si="11"/>
        <v>1.53</v>
      </c>
      <c r="K99">
        <f t="shared" si="12"/>
        <v>3.1046439999999991</v>
      </c>
      <c r="L99" s="5">
        <v>97</v>
      </c>
      <c r="M99" s="5" t="s">
        <v>20</v>
      </c>
      <c r="N99" s="5">
        <v>596.76</v>
      </c>
      <c r="O99" s="5">
        <v>599.72</v>
      </c>
      <c r="P99" s="5">
        <f t="shared" si="13"/>
        <v>54.729729729729058</v>
      </c>
      <c r="Q99" s="5">
        <v>7.22</v>
      </c>
      <c r="R99" s="5">
        <v>7.22</v>
      </c>
      <c r="S99" s="5">
        <f t="shared" si="17"/>
        <v>1.7800000000000002</v>
      </c>
      <c r="T99" s="5">
        <f t="shared" ref="T99" si="18">$A$5-R99</f>
        <v>1.7800000000000002</v>
      </c>
      <c r="U99" s="5">
        <f t="shared" si="14"/>
        <v>1.7800000000000002</v>
      </c>
      <c r="V99">
        <f t="shared" si="15"/>
        <v>3.572099999999994E-2</v>
      </c>
    </row>
    <row r="100" spans="3:22" x14ac:dyDescent="0.25">
      <c r="C100" s="5">
        <v>98</v>
      </c>
      <c r="D100" s="5" t="s">
        <v>19</v>
      </c>
      <c r="E100" s="5">
        <v>494.2</v>
      </c>
      <c r="F100" s="5">
        <v>497.92</v>
      </c>
      <c r="G100" s="5">
        <f t="shared" si="10"/>
        <v>43.54838709677388</v>
      </c>
      <c r="H100" s="5">
        <v>3.99</v>
      </c>
      <c r="I100" s="5">
        <v>5.16</v>
      </c>
      <c r="J100" s="5">
        <f t="shared" si="11"/>
        <v>4.5750000000000002</v>
      </c>
      <c r="K100">
        <f t="shared" si="12"/>
        <v>1.646089000000001</v>
      </c>
    </row>
    <row r="101" spans="3:22" x14ac:dyDescent="0.25">
      <c r="C101" s="5">
        <v>99</v>
      </c>
      <c r="D101" s="5" t="s">
        <v>20</v>
      </c>
      <c r="E101" s="5">
        <v>494.48</v>
      </c>
      <c r="F101" s="5">
        <v>498.28</v>
      </c>
      <c r="G101" s="5">
        <f t="shared" si="10"/>
        <v>42.631578947368929</v>
      </c>
      <c r="H101" s="5">
        <v>2.98</v>
      </c>
      <c r="I101" s="5">
        <v>2.98</v>
      </c>
      <c r="J101" s="5">
        <f t="shared" si="11"/>
        <v>2.98</v>
      </c>
      <c r="K101">
        <f t="shared" si="12"/>
        <v>9.7343999999999889E-2</v>
      </c>
    </row>
    <row r="102" spans="3:22" x14ac:dyDescent="0.25">
      <c r="C102" s="5">
        <v>100</v>
      </c>
      <c r="D102" s="5" t="s">
        <v>20</v>
      </c>
      <c r="E102" s="5">
        <v>495.52</v>
      </c>
      <c r="F102" s="5">
        <v>498.72</v>
      </c>
      <c r="G102" s="5">
        <f t="shared" si="10"/>
        <v>50.624999999999282</v>
      </c>
      <c r="H102" s="5">
        <v>4.43</v>
      </c>
      <c r="I102" s="5">
        <v>4.43</v>
      </c>
      <c r="J102" s="5">
        <f t="shared" si="11"/>
        <v>4.43</v>
      </c>
      <c r="K102">
        <f t="shared" si="12"/>
        <v>1.2950439999999999</v>
      </c>
    </row>
    <row r="103" spans="3:22" x14ac:dyDescent="0.25">
      <c r="C103" s="5">
        <v>101</v>
      </c>
      <c r="D103" s="5" t="s">
        <v>20</v>
      </c>
      <c r="E103" s="5">
        <v>496.92</v>
      </c>
      <c r="F103" s="5">
        <v>500.76</v>
      </c>
      <c r="G103" s="5">
        <f t="shared" si="10"/>
        <v>42.187500000000277</v>
      </c>
      <c r="H103" s="5">
        <v>2.41</v>
      </c>
      <c r="I103" s="5">
        <v>2.41</v>
      </c>
      <c r="J103" s="5">
        <f t="shared" si="11"/>
        <v>2.41</v>
      </c>
      <c r="K103">
        <f t="shared" si="12"/>
        <v>0.77792399999999939</v>
      </c>
    </row>
    <row r="104" spans="3:22" x14ac:dyDescent="0.25">
      <c r="C104" s="5">
        <v>102</v>
      </c>
      <c r="D104" s="5" t="s">
        <v>19</v>
      </c>
      <c r="E104" s="5">
        <v>498.52</v>
      </c>
      <c r="F104" s="5">
        <v>501.84</v>
      </c>
      <c r="G104" s="5">
        <f t="shared" si="10"/>
        <v>48.795180722891672</v>
      </c>
      <c r="H104" s="5">
        <v>2.98</v>
      </c>
      <c r="I104" s="5">
        <v>4.38</v>
      </c>
      <c r="J104" s="5">
        <f t="shared" si="11"/>
        <v>3.6799999999999997</v>
      </c>
      <c r="K104">
        <f t="shared" si="12"/>
        <v>0.15054399999999993</v>
      </c>
    </row>
    <row r="105" spans="3:22" x14ac:dyDescent="0.25">
      <c r="C105" s="5">
        <v>103</v>
      </c>
      <c r="D105" s="5" t="s">
        <v>19</v>
      </c>
      <c r="E105" s="5">
        <v>499.52</v>
      </c>
      <c r="F105" s="5">
        <v>504.04</v>
      </c>
      <c r="G105" s="5">
        <f t="shared" si="10"/>
        <v>35.840707964601464</v>
      </c>
      <c r="H105" s="5">
        <v>2.14</v>
      </c>
      <c r="I105" s="5">
        <v>3.65</v>
      </c>
      <c r="J105" s="5">
        <f t="shared" si="11"/>
        <v>2.895</v>
      </c>
      <c r="K105">
        <f t="shared" si="12"/>
        <v>0.15760899999999983</v>
      </c>
    </row>
    <row r="106" spans="3:22" x14ac:dyDescent="0.25">
      <c r="C106" s="5">
        <v>104</v>
      </c>
      <c r="D106" s="5" t="s">
        <v>19</v>
      </c>
      <c r="E106" s="5">
        <v>500.48</v>
      </c>
      <c r="F106" s="5">
        <v>504.52</v>
      </c>
      <c r="G106" s="5">
        <f t="shared" si="10"/>
        <v>40.09900990099046</v>
      </c>
      <c r="H106" s="5">
        <v>4.32</v>
      </c>
      <c r="I106" s="5">
        <v>5.44</v>
      </c>
      <c r="J106" s="5">
        <f t="shared" si="11"/>
        <v>4.8800000000000008</v>
      </c>
      <c r="K106">
        <f t="shared" si="12"/>
        <v>2.5217440000000031</v>
      </c>
    </row>
    <row r="107" spans="3:22" x14ac:dyDescent="0.25">
      <c r="C107" s="5">
        <v>105</v>
      </c>
      <c r="D107" s="5" t="s">
        <v>20</v>
      </c>
      <c r="E107" s="5">
        <v>501.56</v>
      </c>
      <c r="F107" s="5">
        <v>505.88</v>
      </c>
      <c r="G107" s="5">
        <f t="shared" si="10"/>
        <v>37.500000000000064</v>
      </c>
      <c r="H107" s="5">
        <v>1.93</v>
      </c>
      <c r="I107" s="5">
        <v>1.93</v>
      </c>
      <c r="J107" s="5">
        <f t="shared" si="11"/>
        <v>1.93</v>
      </c>
      <c r="K107">
        <f t="shared" si="12"/>
        <v>1.8550439999999997</v>
      </c>
    </row>
    <row r="108" spans="3:22" x14ac:dyDescent="0.25">
      <c r="C108" s="5">
        <v>106</v>
      </c>
      <c r="D108" s="5" t="s">
        <v>21</v>
      </c>
      <c r="E108" s="5">
        <v>502.48</v>
      </c>
      <c r="F108" s="5">
        <v>508.68</v>
      </c>
      <c r="G108" s="5">
        <f t="shared" si="10"/>
        <v>26.129032258064562</v>
      </c>
      <c r="H108" s="5">
        <v>3.1</v>
      </c>
      <c r="I108" s="5">
        <v>5.12</v>
      </c>
      <c r="J108" s="5">
        <f t="shared" si="11"/>
        <v>4.1100000000000003</v>
      </c>
      <c r="K108">
        <f t="shared" si="12"/>
        <v>0.66912400000000083</v>
      </c>
      <c r="T108">
        <f>SUM(U3:U99)/97</f>
        <v>1.9694329896907217</v>
      </c>
    </row>
    <row r="109" spans="3:22" x14ac:dyDescent="0.25">
      <c r="C109" s="5">
        <v>107</v>
      </c>
      <c r="D109" s="5" t="s">
        <v>20</v>
      </c>
      <c r="E109" s="5">
        <v>502.6</v>
      </c>
      <c r="F109" s="5">
        <v>507.12</v>
      </c>
      <c r="G109" s="5">
        <f t="shared" si="10"/>
        <v>35.840707964601911</v>
      </c>
      <c r="H109" s="5">
        <v>1.28</v>
      </c>
      <c r="I109" s="5">
        <v>1.28</v>
      </c>
      <c r="J109" s="5">
        <f t="shared" si="11"/>
        <v>1.28</v>
      </c>
      <c r="K109">
        <f t="shared" si="12"/>
        <v>4.048143999999998</v>
      </c>
      <c r="M109" t="s">
        <v>56</v>
      </c>
      <c r="N109">
        <f>SUM(J3:J149)/147</f>
        <v>3.2924149659863948</v>
      </c>
    </row>
    <row r="110" spans="3:22" x14ac:dyDescent="0.25">
      <c r="C110" s="5">
        <v>108</v>
      </c>
      <c r="D110" s="5" t="s">
        <v>19</v>
      </c>
      <c r="E110" s="5">
        <v>504.72</v>
      </c>
      <c r="F110" s="5">
        <v>510.32</v>
      </c>
      <c r="G110" s="5">
        <f t="shared" si="10"/>
        <v>28.928571428571605</v>
      </c>
      <c r="H110" s="5">
        <v>3.29</v>
      </c>
      <c r="I110" s="5">
        <v>4.7</v>
      </c>
      <c r="J110" s="5">
        <f t="shared" si="11"/>
        <v>3.9950000000000001</v>
      </c>
      <c r="K110">
        <f t="shared" si="12"/>
        <v>0.4942090000000004</v>
      </c>
    </row>
    <row r="111" spans="3:22" x14ac:dyDescent="0.25">
      <c r="C111" s="5">
        <v>109</v>
      </c>
      <c r="D111" s="5" t="s">
        <v>20</v>
      </c>
      <c r="E111" s="5">
        <v>506.04</v>
      </c>
      <c r="F111" s="5">
        <v>510.72</v>
      </c>
      <c r="G111" s="5">
        <f t="shared" si="10"/>
        <v>34.615384615384563</v>
      </c>
      <c r="H111" s="5">
        <v>1.32</v>
      </c>
      <c r="I111" s="5">
        <v>1.32</v>
      </c>
      <c r="J111" s="5">
        <f t="shared" si="11"/>
        <v>1.32</v>
      </c>
      <c r="K111">
        <f t="shared" si="12"/>
        <v>3.8887839999999989</v>
      </c>
    </row>
    <row r="112" spans="3:22" x14ac:dyDescent="0.25">
      <c r="C112" s="5">
        <v>110</v>
      </c>
      <c r="D112" s="5" t="s">
        <v>22</v>
      </c>
      <c r="E112" s="5">
        <v>506.56</v>
      </c>
      <c r="F112" s="5">
        <v>512.72</v>
      </c>
      <c r="G112" s="5">
        <f t="shared" si="10"/>
        <v>26.298701298701193</v>
      </c>
      <c r="H112" s="5">
        <v>1.87</v>
      </c>
      <c r="I112" s="5">
        <v>3.25</v>
      </c>
      <c r="J112" s="5">
        <f t="shared" si="11"/>
        <v>2.56</v>
      </c>
      <c r="K112">
        <f t="shared" si="12"/>
        <v>0.53582399999999963</v>
      </c>
      <c r="T112">
        <f>((SUM(V3:V99))/97)^0.5</f>
        <v>0.89238220511168875</v>
      </c>
    </row>
    <row r="113" spans="3:14" x14ac:dyDescent="0.25">
      <c r="C113" s="5">
        <v>111</v>
      </c>
      <c r="D113" s="5" t="s">
        <v>20</v>
      </c>
      <c r="E113" s="5">
        <v>507.4</v>
      </c>
      <c r="F113" s="5">
        <v>513.79999999999995</v>
      </c>
      <c r="G113" s="5">
        <f t="shared" si="10"/>
        <v>25.312500000000089</v>
      </c>
      <c r="H113" s="5">
        <v>1.32</v>
      </c>
      <c r="I113" s="5">
        <v>1.32</v>
      </c>
      <c r="J113" s="5">
        <f t="shared" si="11"/>
        <v>1.32</v>
      </c>
      <c r="K113">
        <f t="shared" si="12"/>
        <v>3.8887839999999989</v>
      </c>
      <c r="N113">
        <f>((SUM(K3:K149))/147)^0.5</f>
        <v>1.1371106809278824</v>
      </c>
    </row>
    <row r="114" spans="3:14" x14ac:dyDescent="0.25">
      <c r="C114" s="5">
        <v>112</v>
      </c>
      <c r="D114" s="5" t="s">
        <v>19</v>
      </c>
      <c r="E114" s="5">
        <v>507.84</v>
      </c>
      <c r="F114" s="5">
        <v>512.16</v>
      </c>
      <c r="G114" s="5">
        <f t="shared" si="10"/>
        <v>37.500000000000064</v>
      </c>
      <c r="H114" s="5">
        <v>4.68</v>
      </c>
      <c r="I114" s="5">
        <v>6.08</v>
      </c>
      <c r="J114" s="5">
        <f t="shared" si="11"/>
        <v>5.38</v>
      </c>
      <c r="K114">
        <f t="shared" si="12"/>
        <v>4.3597440000000001</v>
      </c>
    </row>
    <row r="115" spans="3:14" x14ac:dyDescent="0.25">
      <c r="C115" s="5">
        <v>113</v>
      </c>
      <c r="D115" s="5" t="s">
        <v>19</v>
      </c>
      <c r="E115" s="5">
        <v>508.6</v>
      </c>
      <c r="F115" s="5">
        <v>515.88</v>
      </c>
      <c r="G115" s="5">
        <f t="shared" si="10"/>
        <v>22.252747252747337</v>
      </c>
      <c r="H115" s="5">
        <v>4.8600000000000003</v>
      </c>
      <c r="I115" s="5">
        <v>6.3</v>
      </c>
      <c r="J115" s="5">
        <f t="shared" si="11"/>
        <v>5.58</v>
      </c>
      <c r="K115">
        <f t="shared" si="12"/>
        <v>5.2349440000000014</v>
      </c>
    </row>
    <row r="116" spans="3:14" x14ac:dyDescent="0.25">
      <c r="C116" s="5">
        <v>114</v>
      </c>
      <c r="D116" s="5" t="s">
        <v>19</v>
      </c>
      <c r="E116" s="5">
        <v>511.56</v>
      </c>
      <c r="F116" s="5">
        <v>516.12</v>
      </c>
      <c r="G116" s="5">
        <f t="shared" si="10"/>
        <v>35.526315789473664</v>
      </c>
      <c r="H116" s="5">
        <v>1.93</v>
      </c>
      <c r="I116" s="5">
        <v>3.4</v>
      </c>
      <c r="J116" s="5">
        <f t="shared" si="11"/>
        <v>2.665</v>
      </c>
      <c r="K116">
        <f t="shared" si="12"/>
        <v>0.39312899999999973</v>
      </c>
    </row>
    <row r="117" spans="3:14" x14ac:dyDescent="0.25">
      <c r="C117" s="5">
        <v>115</v>
      </c>
      <c r="D117" s="5" t="s">
        <v>19</v>
      </c>
      <c r="E117" s="5">
        <v>513.24</v>
      </c>
      <c r="F117" s="5">
        <v>518.79999999999995</v>
      </c>
      <c r="G117" s="5">
        <f t="shared" si="10"/>
        <v>29.136690647482304</v>
      </c>
      <c r="H117" s="5">
        <v>2.72</v>
      </c>
      <c r="I117" s="5">
        <v>4.09</v>
      </c>
      <c r="J117" s="5">
        <f t="shared" si="11"/>
        <v>3.4050000000000002</v>
      </c>
      <c r="K117">
        <f t="shared" si="12"/>
        <v>1.2769000000000098E-2</v>
      </c>
    </row>
    <row r="118" spans="3:14" x14ac:dyDescent="0.25">
      <c r="C118" s="5">
        <v>116</v>
      </c>
      <c r="D118" s="5" t="s">
        <v>19</v>
      </c>
      <c r="E118" s="5">
        <v>514.76</v>
      </c>
      <c r="F118" s="5">
        <v>520.08000000000004</v>
      </c>
      <c r="G118" s="5">
        <f t="shared" si="10"/>
        <v>30.451127819548585</v>
      </c>
      <c r="H118" s="5">
        <v>3.49</v>
      </c>
      <c r="I118" s="5">
        <v>4.91</v>
      </c>
      <c r="J118" s="5">
        <f t="shared" si="11"/>
        <v>4.2</v>
      </c>
      <c r="K118">
        <f t="shared" si="12"/>
        <v>0.82446400000000064</v>
      </c>
    </row>
    <row r="119" spans="3:14" x14ac:dyDescent="0.25">
      <c r="C119" s="5">
        <v>117</v>
      </c>
      <c r="D119" s="5" t="s">
        <v>19</v>
      </c>
      <c r="E119" s="5">
        <v>516.20000000000005</v>
      </c>
      <c r="F119" s="5">
        <v>521.16</v>
      </c>
      <c r="G119" s="5">
        <f t="shared" si="10"/>
        <v>32.661290322581159</v>
      </c>
      <c r="H119" s="5">
        <v>3.83</v>
      </c>
      <c r="I119" s="5">
        <v>5.26</v>
      </c>
      <c r="J119" s="5">
        <f t="shared" si="11"/>
        <v>4.5449999999999999</v>
      </c>
      <c r="K119">
        <f t="shared" si="12"/>
        <v>1.5700090000000002</v>
      </c>
    </row>
    <row r="120" spans="3:14" x14ac:dyDescent="0.25">
      <c r="C120" s="5">
        <v>118</v>
      </c>
      <c r="D120" s="5" t="s">
        <v>19</v>
      </c>
      <c r="E120" s="5">
        <v>516.4</v>
      </c>
      <c r="F120" s="5">
        <v>521.67999999999995</v>
      </c>
      <c r="G120" s="5">
        <f t="shared" si="10"/>
        <v>30.68181818181834</v>
      </c>
      <c r="H120" s="5">
        <v>1.56</v>
      </c>
      <c r="I120" s="5">
        <v>2.89</v>
      </c>
      <c r="J120" s="5">
        <f t="shared" si="11"/>
        <v>2.2250000000000001</v>
      </c>
      <c r="K120">
        <f t="shared" si="12"/>
        <v>1.1384889999999994</v>
      </c>
    </row>
    <row r="121" spans="3:14" x14ac:dyDescent="0.25">
      <c r="C121" s="5">
        <v>119</v>
      </c>
      <c r="D121" s="5" t="s">
        <v>19</v>
      </c>
      <c r="E121" s="5">
        <v>518</v>
      </c>
      <c r="F121" s="5">
        <v>523</v>
      </c>
      <c r="G121" s="5">
        <f t="shared" si="10"/>
        <v>32.4</v>
      </c>
      <c r="H121" s="5">
        <v>1.77</v>
      </c>
      <c r="I121" s="5">
        <v>3.05</v>
      </c>
      <c r="J121" s="5">
        <f t="shared" si="11"/>
        <v>2.41</v>
      </c>
      <c r="K121">
        <f t="shared" si="12"/>
        <v>0.77792399999999939</v>
      </c>
    </row>
    <row r="122" spans="3:14" x14ac:dyDescent="0.25">
      <c r="C122" s="5">
        <v>120</v>
      </c>
      <c r="D122" s="5" t="s">
        <v>19</v>
      </c>
      <c r="E122" s="5">
        <v>518.52</v>
      </c>
      <c r="F122" s="5">
        <v>522.98</v>
      </c>
      <c r="G122" s="5">
        <f t="shared" si="10"/>
        <v>36.322869955156655</v>
      </c>
      <c r="H122" s="5">
        <v>4.4400000000000004</v>
      </c>
      <c r="I122" s="5">
        <v>5.72</v>
      </c>
      <c r="J122" s="5">
        <f t="shared" si="11"/>
        <v>5.08</v>
      </c>
      <c r="K122">
        <f t="shared" si="12"/>
        <v>3.1969440000000011</v>
      </c>
    </row>
    <row r="123" spans="3:14" x14ac:dyDescent="0.25">
      <c r="C123" s="5">
        <v>121</v>
      </c>
      <c r="D123" s="5" t="s">
        <v>19</v>
      </c>
      <c r="E123" s="5">
        <v>519.36</v>
      </c>
      <c r="F123" s="5">
        <v>524.4</v>
      </c>
      <c r="G123" s="5">
        <f t="shared" si="10"/>
        <v>32.142857142857373</v>
      </c>
      <c r="H123" s="5">
        <v>2</v>
      </c>
      <c r="I123" s="5">
        <v>3.26</v>
      </c>
      <c r="J123" s="5">
        <f t="shared" si="11"/>
        <v>2.63</v>
      </c>
      <c r="K123">
        <f t="shared" si="12"/>
        <v>0.43824399999999991</v>
      </c>
    </row>
    <row r="124" spans="3:14" x14ac:dyDescent="0.25">
      <c r="C124" s="5">
        <v>122</v>
      </c>
      <c r="D124" s="5" t="s">
        <v>19</v>
      </c>
      <c r="E124" s="5">
        <v>520.52</v>
      </c>
      <c r="F124" s="5">
        <v>525.4</v>
      </c>
      <c r="G124" s="5">
        <f t="shared" si="10"/>
        <v>33.196721311475443</v>
      </c>
      <c r="H124" s="5">
        <v>2.68</v>
      </c>
      <c r="I124" s="5">
        <v>4.07</v>
      </c>
      <c r="J124" s="5">
        <f t="shared" si="11"/>
        <v>3.375</v>
      </c>
      <c r="K124">
        <f t="shared" si="12"/>
        <v>6.8890000000000305E-3</v>
      </c>
    </row>
    <row r="125" spans="3:14" x14ac:dyDescent="0.25">
      <c r="C125" s="5">
        <v>123</v>
      </c>
      <c r="D125" s="5" t="s">
        <v>19</v>
      </c>
      <c r="E125" s="5">
        <v>521.48</v>
      </c>
      <c r="F125" s="5">
        <v>526.4</v>
      </c>
      <c r="G125" s="5">
        <f t="shared" si="10"/>
        <v>32.926829268292963</v>
      </c>
      <c r="H125" s="5">
        <v>1.23</v>
      </c>
      <c r="I125" s="5">
        <v>2.63</v>
      </c>
      <c r="J125" s="5">
        <f t="shared" si="11"/>
        <v>1.93</v>
      </c>
      <c r="K125">
        <f t="shared" si="12"/>
        <v>1.8550439999999997</v>
      </c>
    </row>
    <row r="126" spans="3:14" x14ac:dyDescent="0.25">
      <c r="C126" s="5">
        <v>124</v>
      </c>
      <c r="D126" s="5" t="s">
        <v>19</v>
      </c>
      <c r="E126" s="5">
        <v>522.44000000000005</v>
      </c>
      <c r="F126" s="5">
        <v>526.5</v>
      </c>
      <c r="G126" s="5">
        <f t="shared" si="10"/>
        <v>39.901477832512853</v>
      </c>
      <c r="H126" s="5">
        <v>4.16</v>
      </c>
      <c r="I126" s="5">
        <v>5.35</v>
      </c>
      <c r="J126" s="5">
        <f t="shared" si="11"/>
        <v>4.7549999999999999</v>
      </c>
      <c r="K126">
        <f t="shared" si="12"/>
        <v>2.1403690000000002</v>
      </c>
    </row>
    <row r="127" spans="3:14" x14ac:dyDescent="0.25">
      <c r="C127" s="5">
        <v>125</v>
      </c>
      <c r="D127" s="5" t="s">
        <v>19</v>
      </c>
      <c r="E127" s="5">
        <v>524.28</v>
      </c>
      <c r="F127" s="5">
        <v>528.16</v>
      </c>
      <c r="G127" s="5">
        <f t="shared" si="10"/>
        <v>41.752577319587679</v>
      </c>
      <c r="H127" s="5">
        <v>3.56</v>
      </c>
      <c r="I127" s="5">
        <v>4.82</v>
      </c>
      <c r="J127" s="5">
        <f t="shared" si="11"/>
        <v>4.1900000000000004</v>
      </c>
      <c r="K127">
        <f t="shared" si="12"/>
        <v>0.80640400000000101</v>
      </c>
    </row>
    <row r="128" spans="3:14" x14ac:dyDescent="0.25">
      <c r="C128" s="5">
        <v>126</v>
      </c>
      <c r="D128" s="5" t="s">
        <v>19</v>
      </c>
      <c r="E128" s="5">
        <v>525.28</v>
      </c>
      <c r="F128" s="5">
        <v>529.24</v>
      </c>
      <c r="G128" s="5">
        <f t="shared" si="10"/>
        <v>40.90909090909053</v>
      </c>
      <c r="H128" s="5">
        <v>3.19</v>
      </c>
      <c r="I128" s="5">
        <v>4.5599999999999996</v>
      </c>
      <c r="J128" s="5">
        <f t="shared" si="11"/>
        <v>3.875</v>
      </c>
      <c r="K128">
        <f t="shared" si="12"/>
        <v>0.33988900000000022</v>
      </c>
    </row>
    <row r="129" spans="3:11" x14ac:dyDescent="0.25">
      <c r="C129" s="5">
        <v>127</v>
      </c>
      <c r="D129" s="5" t="s">
        <v>19</v>
      </c>
      <c r="E129" s="5">
        <v>526.6</v>
      </c>
      <c r="F129" s="5">
        <v>530.16</v>
      </c>
      <c r="G129" s="5">
        <f t="shared" si="10"/>
        <v>45.505617977528793</v>
      </c>
      <c r="H129" s="5">
        <v>3.97</v>
      </c>
      <c r="I129" s="5">
        <v>5.35</v>
      </c>
      <c r="J129" s="5">
        <f t="shared" si="11"/>
        <v>4.66</v>
      </c>
      <c r="K129">
        <f t="shared" si="12"/>
        <v>1.8714240000000009</v>
      </c>
    </row>
    <row r="130" spans="3:11" x14ac:dyDescent="0.25">
      <c r="C130" s="5">
        <v>128</v>
      </c>
      <c r="D130" s="5" t="s">
        <v>19</v>
      </c>
      <c r="E130" s="5">
        <v>533.55999999999995</v>
      </c>
      <c r="F130" s="5">
        <v>537.04</v>
      </c>
      <c r="G130" s="5">
        <f t="shared" si="10"/>
        <v>46.55172413793079</v>
      </c>
      <c r="H130" s="5">
        <v>2.79</v>
      </c>
      <c r="I130" s="5">
        <v>4.25</v>
      </c>
      <c r="J130" s="5">
        <f t="shared" si="11"/>
        <v>3.52</v>
      </c>
      <c r="K130">
        <f t="shared" si="12"/>
        <v>5.1984000000000093E-2</v>
      </c>
    </row>
    <row r="131" spans="3:11" x14ac:dyDescent="0.25">
      <c r="C131" s="5">
        <v>129</v>
      </c>
      <c r="D131" s="5" t="s">
        <v>19</v>
      </c>
      <c r="E131" s="5">
        <v>537.48</v>
      </c>
      <c r="F131" s="5">
        <v>540.5</v>
      </c>
      <c r="G131" s="5">
        <f t="shared" si="10"/>
        <v>53.642384105960588</v>
      </c>
      <c r="H131" s="5">
        <v>3.28</v>
      </c>
      <c r="I131" s="5">
        <v>4.51</v>
      </c>
      <c r="J131" s="5">
        <f t="shared" si="11"/>
        <v>3.8949999999999996</v>
      </c>
      <c r="K131">
        <f t="shared" si="12"/>
        <v>0.36360899999999968</v>
      </c>
    </row>
    <row r="132" spans="3:11" x14ac:dyDescent="0.25">
      <c r="C132" s="5">
        <v>130</v>
      </c>
      <c r="D132" s="5" t="s">
        <v>19</v>
      </c>
      <c r="E132" s="5">
        <v>544.84</v>
      </c>
      <c r="F132" s="5">
        <v>548.58000000000004</v>
      </c>
      <c r="G132" s="5">
        <f t="shared" ref="G132:G149" si="19">$A$3/(F132-E132)*3.6</f>
        <v>43.315508021390272</v>
      </c>
      <c r="H132" s="5">
        <v>2.56</v>
      </c>
      <c r="I132" s="5">
        <v>4.09</v>
      </c>
      <c r="J132" s="5">
        <f t="shared" ref="J132:J149" si="20">(H132+I132)/2</f>
        <v>3.3250000000000002</v>
      </c>
      <c r="K132">
        <f t="shared" ref="K132:K150" si="21">(J132-3.292)^2</f>
        <v>1.089000000000024E-3</v>
      </c>
    </row>
    <row r="133" spans="3:11" x14ac:dyDescent="0.25">
      <c r="C133" s="5">
        <v>131</v>
      </c>
      <c r="D133" s="5" t="s">
        <v>19</v>
      </c>
      <c r="E133" s="5">
        <v>546.08000000000004</v>
      </c>
      <c r="F133" s="5">
        <v>549.72</v>
      </c>
      <c r="G133" s="5">
        <f t="shared" si="19"/>
        <v>44.505494505494674</v>
      </c>
      <c r="H133" s="5">
        <v>2.79</v>
      </c>
      <c r="I133" s="5">
        <v>4.07</v>
      </c>
      <c r="J133" s="5">
        <f t="shared" si="20"/>
        <v>3.43</v>
      </c>
      <c r="K133">
        <f t="shared" si="21"/>
        <v>1.9044000000000096E-2</v>
      </c>
    </row>
    <row r="134" spans="3:11" x14ac:dyDescent="0.25">
      <c r="C134" s="5">
        <v>132</v>
      </c>
      <c r="D134" s="5" t="s">
        <v>19</v>
      </c>
      <c r="E134" s="5">
        <v>547.52</v>
      </c>
      <c r="F134" s="5">
        <v>551.02</v>
      </c>
      <c r="G134" s="5">
        <f t="shared" si="19"/>
        <v>46.285714285714292</v>
      </c>
      <c r="H134" s="5">
        <v>2.56</v>
      </c>
      <c r="I134" s="5">
        <v>4.1100000000000003</v>
      </c>
      <c r="J134" s="5">
        <f t="shared" si="20"/>
        <v>3.335</v>
      </c>
      <c r="K134">
        <f t="shared" si="21"/>
        <v>1.8490000000000127E-3</v>
      </c>
    </row>
    <row r="135" spans="3:11" x14ac:dyDescent="0.25">
      <c r="C135" s="5">
        <v>133</v>
      </c>
      <c r="D135" s="5" t="s">
        <v>19</v>
      </c>
      <c r="E135" s="5">
        <v>550.36</v>
      </c>
      <c r="F135" s="5">
        <v>553.96</v>
      </c>
      <c r="G135" s="5">
        <f t="shared" si="19"/>
        <v>44.999999999999723</v>
      </c>
      <c r="H135" s="5">
        <v>2.58</v>
      </c>
      <c r="I135" s="5">
        <v>4.05</v>
      </c>
      <c r="J135" s="5">
        <f t="shared" si="20"/>
        <v>3.3149999999999999</v>
      </c>
      <c r="K135">
        <f t="shared" si="21"/>
        <v>5.2900000000000603E-4</v>
      </c>
    </row>
    <row r="136" spans="3:11" x14ac:dyDescent="0.25">
      <c r="C136" s="5">
        <v>134</v>
      </c>
      <c r="D136" s="5" t="s">
        <v>19</v>
      </c>
      <c r="E136" s="5">
        <v>560.76</v>
      </c>
      <c r="F136" s="5">
        <v>563.74</v>
      </c>
      <c r="G136" s="5">
        <f t="shared" si="19"/>
        <v>54.362416107382224</v>
      </c>
      <c r="H136" s="5">
        <v>2.65</v>
      </c>
      <c r="I136" s="5">
        <v>4.03</v>
      </c>
      <c r="J136" s="5">
        <f t="shared" si="20"/>
        <v>3.34</v>
      </c>
      <c r="K136">
        <f t="shared" si="21"/>
        <v>2.304000000000004E-3</v>
      </c>
    </row>
    <row r="137" spans="3:11" x14ac:dyDescent="0.25">
      <c r="C137" s="5">
        <v>135</v>
      </c>
      <c r="D137" s="5" t="s">
        <v>19</v>
      </c>
      <c r="E137" s="5">
        <v>562.79999999999995</v>
      </c>
      <c r="F137" s="5">
        <v>566.24</v>
      </c>
      <c r="G137" s="5">
        <f t="shared" si="19"/>
        <v>47.093023255813208</v>
      </c>
      <c r="H137" s="5">
        <v>2.4900000000000002</v>
      </c>
      <c r="I137" s="5">
        <v>3.98</v>
      </c>
      <c r="J137" s="5">
        <f t="shared" si="20"/>
        <v>3.2350000000000003</v>
      </c>
      <c r="K137">
        <f t="shared" si="21"/>
        <v>3.2489999999999425E-3</v>
      </c>
    </row>
    <row r="138" spans="3:11" x14ac:dyDescent="0.25">
      <c r="C138" s="5">
        <v>136</v>
      </c>
      <c r="D138" s="5" t="s">
        <v>19</v>
      </c>
      <c r="E138" s="5">
        <v>563.28</v>
      </c>
      <c r="F138" s="5">
        <v>566.44000000000005</v>
      </c>
      <c r="G138" s="5">
        <f t="shared" si="19"/>
        <v>51.265822784808805</v>
      </c>
      <c r="H138" s="5">
        <v>4.7</v>
      </c>
      <c r="I138" s="5">
        <v>5.63</v>
      </c>
      <c r="J138" s="5">
        <f t="shared" si="20"/>
        <v>5.165</v>
      </c>
      <c r="K138">
        <f t="shared" si="21"/>
        <v>3.5081290000000007</v>
      </c>
    </row>
    <row r="139" spans="3:11" x14ac:dyDescent="0.25">
      <c r="C139" s="5">
        <v>137</v>
      </c>
      <c r="D139" s="5" t="s">
        <v>19</v>
      </c>
      <c r="E139" s="5">
        <v>564.76</v>
      </c>
      <c r="F139" s="5">
        <v>568.02</v>
      </c>
      <c r="G139" s="5">
        <f t="shared" si="19"/>
        <v>49.693251533742469</v>
      </c>
      <c r="H139" s="5">
        <v>3.39</v>
      </c>
      <c r="I139" s="5">
        <v>4.79</v>
      </c>
      <c r="J139" s="5">
        <f t="shared" si="20"/>
        <v>4.09</v>
      </c>
      <c r="K139">
        <f t="shared" si="21"/>
        <v>0.63680400000000004</v>
      </c>
    </row>
    <row r="140" spans="3:11" x14ac:dyDescent="0.25">
      <c r="C140" s="5">
        <v>138</v>
      </c>
      <c r="D140" s="5" t="s">
        <v>19</v>
      </c>
      <c r="E140" s="5">
        <v>566.76</v>
      </c>
      <c r="F140" s="5">
        <v>569.82000000000005</v>
      </c>
      <c r="G140" s="5">
        <f t="shared" si="19"/>
        <v>52.941176470587209</v>
      </c>
      <c r="H140" s="5">
        <v>2.95</v>
      </c>
      <c r="I140" s="5">
        <v>4.49</v>
      </c>
      <c r="J140" s="5">
        <f t="shared" si="20"/>
        <v>3.72</v>
      </c>
      <c r="K140">
        <f t="shared" si="21"/>
        <v>0.18318400000000032</v>
      </c>
    </row>
    <row r="141" spans="3:11" x14ac:dyDescent="0.25">
      <c r="C141" s="5">
        <v>139</v>
      </c>
      <c r="D141" s="5" t="s">
        <v>20</v>
      </c>
      <c r="E141" s="5">
        <v>569.79999999999995</v>
      </c>
      <c r="F141" s="5">
        <v>573.74</v>
      </c>
      <c r="G141" s="5">
        <f t="shared" si="19"/>
        <v>41.116751269034964</v>
      </c>
      <c r="H141" s="5">
        <v>2.13</v>
      </c>
      <c r="I141" s="5">
        <v>2.13</v>
      </c>
      <c r="J141" s="5">
        <f t="shared" si="20"/>
        <v>2.13</v>
      </c>
      <c r="K141">
        <f t="shared" si="21"/>
        <v>1.3502439999999998</v>
      </c>
    </row>
    <row r="142" spans="3:11" x14ac:dyDescent="0.25">
      <c r="C142" s="5">
        <v>140</v>
      </c>
      <c r="D142" s="5" t="s">
        <v>19</v>
      </c>
      <c r="E142" s="5">
        <v>571.4</v>
      </c>
      <c r="F142" s="5">
        <v>574.82000000000005</v>
      </c>
      <c r="G142" s="5">
        <f t="shared" si="19"/>
        <v>47.368421052630573</v>
      </c>
      <c r="H142" s="5">
        <v>3.03</v>
      </c>
      <c r="I142" s="5">
        <v>4.4000000000000004</v>
      </c>
      <c r="J142" s="5">
        <f t="shared" si="20"/>
        <v>3.7149999999999999</v>
      </c>
      <c r="K142">
        <f t="shared" si="21"/>
        <v>0.17892900000000003</v>
      </c>
    </row>
    <row r="143" spans="3:11" x14ac:dyDescent="0.25">
      <c r="C143" s="5">
        <v>141</v>
      </c>
      <c r="D143" s="5" t="s">
        <v>19</v>
      </c>
      <c r="E143" s="5">
        <v>571.76</v>
      </c>
      <c r="F143" s="5">
        <v>574.9</v>
      </c>
      <c r="G143" s="5">
        <f t="shared" si="19"/>
        <v>51.592356687898317</v>
      </c>
      <c r="H143" s="5">
        <v>5.7</v>
      </c>
      <c r="I143" s="5">
        <v>7.06</v>
      </c>
      <c r="J143" s="5">
        <f t="shared" si="20"/>
        <v>6.38</v>
      </c>
      <c r="K143">
        <f t="shared" si="21"/>
        <v>9.5357440000000011</v>
      </c>
    </row>
    <row r="144" spans="3:11" x14ac:dyDescent="0.25">
      <c r="C144" s="5">
        <v>142</v>
      </c>
      <c r="D144" s="5" t="s">
        <v>19</v>
      </c>
      <c r="E144" s="5">
        <v>572.72</v>
      </c>
      <c r="F144" s="5">
        <v>575.74</v>
      </c>
      <c r="G144" s="5">
        <f t="shared" si="19"/>
        <v>53.642384105960588</v>
      </c>
      <c r="H144" s="5">
        <v>3.38</v>
      </c>
      <c r="I144" s="5">
        <v>4.82</v>
      </c>
      <c r="J144" s="5">
        <f t="shared" si="20"/>
        <v>4.0999999999999996</v>
      </c>
      <c r="K144">
        <f t="shared" si="21"/>
        <v>0.65286399999999978</v>
      </c>
    </row>
    <row r="145" spans="3:11" x14ac:dyDescent="0.25">
      <c r="C145" s="5">
        <v>143</v>
      </c>
      <c r="D145" s="5" t="s">
        <v>20</v>
      </c>
      <c r="E145" s="5">
        <v>587.16</v>
      </c>
      <c r="F145" s="5">
        <v>591.02</v>
      </c>
      <c r="G145" s="5">
        <f t="shared" si="19"/>
        <v>41.968911917098296</v>
      </c>
      <c r="H145" s="5">
        <v>1.6</v>
      </c>
      <c r="I145" s="5">
        <v>1.6</v>
      </c>
      <c r="J145" s="5">
        <f t="shared" si="20"/>
        <v>1.6</v>
      </c>
      <c r="K145">
        <f t="shared" si="21"/>
        <v>2.8628639999999992</v>
      </c>
    </row>
    <row r="146" spans="3:11" x14ac:dyDescent="0.25">
      <c r="C146" s="5">
        <v>144</v>
      </c>
      <c r="D146" s="5" t="s">
        <v>19</v>
      </c>
      <c r="E146" s="5">
        <v>590.67999999999995</v>
      </c>
      <c r="F146" s="5">
        <v>594</v>
      </c>
      <c r="G146" s="5">
        <f t="shared" si="19"/>
        <v>48.795180722890834</v>
      </c>
      <c r="H146" s="5">
        <v>2.34</v>
      </c>
      <c r="I146" s="5">
        <v>3.84</v>
      </c>
      <c r="J146" s="5">
        <f t="shared" si="20"/>
        <v>3.09</v>
      </c>
      <c r="K146">
        <f t="shared" si="21"/>
        <v>4.0803999999999986E-2</v>
      </c>
    </row>
    <row r="147" spans="3:11" x14ac:dyDescent="0.25">
      <c r="C147" s="5">
        <v>145</v>
      </c>
      <c r="D147" s="5" t="s">
        <v>19</v>
      </c>
      <c r="E147" s="5">
        <v>593.76</v>
      </c>
      <c r="F147" s="5">
        <v>599.58000000000004</v>
      </c>
      <c r="G147" s="5">
        <f t="shared" si="19"/>
        <v>27.835051546391515</v>
      </c>
      <c r="H147" s="5">
        <v>1.97</v>
      </c>
      <c r="I147" s="5">
        <v>3.38</v>
      </c>
      <c r="J147" s="5">
        <f t="shared" si="20"/>
        <v>2.6749999999999998</v>
      </c>
      <c r="K147">
        <f t="shared" si="21"/>
        <v>0.380689</v>
      </c>
    </row>
    <row r="148" spans="3:11" x14ac:dyDescent="0.25">
      <c r="C148" s="5">
        <v>146</v>
      </c>
      <c r="D148" s="5" t="s">
        <v>20</v>
      </c>
      <c r="E148" s="5">
        <v>593.79999999999995</v>
      </c>
      <c r="F148" s="5">
        <v>596.64</v>
      </c>
      <c r="G148" s="5">
        <f t="shared" si="19"/>
        <v>57.042253521126128</v>
      </c>
      <c r="H148" s="5">
        <v>3.11</v>
      </c>
      <c r="I148" s="5">
        <v>3.11</v>
      </c>
      <c r="J148" s="5">
        <f t="shared" si="20"/>
        <v>3.11</v>
      </c>
      <c r="K148">
        <f t="shared" si="21"/>
        <v>3.312399999999998E-2</v>
      </c>
    </row>
    <row r="149" spans="3:11" x14ac:dyDescent="0.25">
      <c r="C149" s="5">
        <v>147</v>
      </c>
      <c r="D149" s="5" t="s">
        <v>20</v>
      </c>
      <c r="E149" s="5">
        <v>597.04</v>
      </c>
      <c r="F149" s="5">
        <v>601.04</v>
      </c>
      <c r="G149" s="5">
        <f t="shared" si="19"/>
        <v>40.5</v>
      </c>
      <c r="H149" s="5">
        <v>4.3099999999999996</v>
      </c>
      <c r="I149" s="5">
        <v>4.3099999999999996</v>
      </c>
      <c r="J149" s="5">
        <f t="shared" si="20"/>
        <v>4.3099999999999996</v>
      </c>
      <c r="K149">
        <f t="shared" si="21"/>
        <v>1.0363239999999996</v>
      </c>
    </row>
    <row r="151" spans="3:11" ht="15.75" thickBot="1" x14ac:dyDescent="0.3"/>
    <row r="152" spans="3:11" ht="15.75" x14ac:dyDescent="0.25">
      <c r="D152" s="12" t="s">
        <v>28</v>
      </c>
      <c r="E152" s="13" t="s">
        <v>29</v>
      </c>
      <c r="F152" s="13" t="s">
        <v>30</v>
      </c>
      <c r="G152" s="13" t="s">
        <v>31</v>
      </c>
      <c r="H152" s="13" t="s">
        <v>32</v>
      </c>
      <c r="I152" s="14" t="s">
        <v>33</v>
      </c>
    </row>
    <row r="153" spans="3:11" x14ac:dyDescent="0.25">
      <c r="D153" s="15" t="s">
        <v>20</v>
      </c>
      <c r="E153" s="2">
        <f>COUNTIF(D3:D149,"TW")/147</f>
        <v>0.42176870748299322</v>
      </c>
      <c r="F153" s="2">
        <v>0.25</v>
      </c>
      <c r="G153" s="2">
        <f>(F153*F153)</f>
        <v>6.25E-2</v>
      </c>
      <c r="H153" s="2">
        <f>E153*F153</f>
        <v>0.10544217687074831</v>
      </c>
      <c r="I153" s="16">
        <f>E153*G153</f>
        <v>2.6360544217687076E-2</v>
      </c>
    </row>
    <row r="154" spans="3:11" x14ac:dyDescent="0.25">
      <c r="D154" s="15" t="s">
        <v>41</v>
      </c>
      <c r="E154" s="2">
        <f>COUNTIF(D3:D149,"Cycle Rikshaw")/147</f>
        <v>0</v>
      </c>
      <c r="F154" s="2">
        <v>2.1</v>
      </c>
      <c r="G154" s="2">
        <f>(F154*F154)</f>
        <v>4.41</v>
      </c>
      <c r="H154" s="2">
        <f>E154*F154</f>
        <v>0</v>
      </c>
      <c r="I154" s="16">
        <f>E154*G154</f>
        <v>0</v>
      </c>
    </row>
    <row r="155" spans="3:11" x14ac:dyDescent="0.25">
      <c r="D155" s="15" t="s">
        <v>24</v>
      </c>
      <c r="E155" s="2">
        <f>COUNTIF(D3:D149,"Cycle")/147</f>
        <v>1.3605442176870748E-2</v>
      </c>
      <c r="F155" s="2">
        <v>0.4</v>
      </c>
      <c r="G155" s="2">
        <f t="shared" ref="G155:G159" si="22">(F155*F155)</f>
        <v>0.16000000000000003</v>
      </c>
      <c r="H155" s="2">
        <f t="shared" ref="H155:H159" si="23">E155*F155</f>
        <v>5.4421768707482998E-3</v>
      </c>
      <c r="I155" s="16">
        <f t="shared" ref="I155:I159" si="24">E155*G155</f>
        <v>2.1768707482993201E-3</v>
      </c>
    </row>
    <row r="156" spans="3:11" x14ac:dyDescent="0.25">
      <c r="D156" s="15" t="s">
        <v>19</v>
      </c>
      <c r="E156" s="2">
        <f>COUNTIF(D3:D149,"Car")/147</f>
        <v>0.50340136054421769</v>
      </c>
      <c r="F156" s="2">
        <v>1</v>
      </c>
      <c r="G156" s="2">
        <f t="shared" si="22"/>
        <v>1</v>
      </c>
      <c r="H156" s="2">
        <f t="shared" si="23"/>
        <v>0.50340136054421769</v>
      </c>
      <c r="I156" s="16">
        <f t="shared" si="24"/>
        <v>0.50340136054421769</v>
      </c>
    </row>
    <row r="157" spans="3:11" x14ac:dyDescent="0.25">
      <c r="D157" s="15" t="s">
        <v>18</v>
      </c>
      <c r="E157" s="2">
        <f>COUNTIF(D3:D149,"Auto")/147</f>
        <v>2.0408163265306121E-2</v>
      </c>
      <c r="F157" s="2">
        <v>1.2</v>
      </c>
      <c r="G157" s="2">
        <f t="shared" si="22"/>
        <v>1.44</v>
      </c>
      <c r="H157" s="2">
        <f t="shared" si="23"/>
        <v>2.4489795918367346E-2</v>
      </c>
      <c r="I157" s="16">
        <f t="shared" si="24"/>
        <v>2.9387755102040811E-2</v>
      </c>
    </row>
    <row r="158" spans="3:11" x14ac:dyDescent="0.25">
      <c r="D158" s="15" t="s">
        <v>22</v>
      </c>
      <c r="E158" s="2">
        <f>COUNTIF(D3:D149,"Bus")/147</f>
        <v>1.3605442176870748E-2</v>
      </c>
      <c r="F158" s="2">
        <v>4.5</v>
      </c>
      <c r="G158" s="2">
        <f t="shared" si="22"/>
        <v>20.25</v>
      </c>
      <c r="H158" s="2">
        <f t="shared" si="23"/>
        <v>6.1224489795918366E-2</v>
      </c>
      <c r="I158" s="16">
        <f t="shared" si="24"/>
        <v>0.27551020408163263</v>
      </c>
    </row>
    <row r="159" spans="3:11" x14ac:dyDescent="0.25">
      <c r="D159" s="15" t="s">
        <v>21</v>
      </c>
      <c r="E159" s="2">
        <f>COUNTIF(D3:D149,"TAT")/147</f>
        <v>2.0408163265306121E-2</v>
      </c>
      <c r="F159" s="2">
        <v>4.8</v>
      </c>
      <c r="G159" s="2">
        <f t="shared" si="22"/>
        <v>23.04</v>
      </c>
      <c r="H159" s="2">
        <f t="shared" si="23"/>
        <v>9.7959183673469383E-2</v>
      </c>
      <c r="I159" s="16">
        <f t="shared" si="24"/>
        <v>0.47020408163265298</v>
      </c>
    </row>
    <row r="160" spans="3:11" x14ac:dyDescent="0.25">
      <c r="D160" s="15"/>
      <c r="E160" s="2"/>
      <c r="F160" s="2"/>
      <c r="G160" s="11" t="s">
        <v>34</v>
      </c>
      <c r="H160" s="2">
        <f>SUM(H153:H159)</f>
        <v>0.7979591836734693</v>
      </c>
      <c r="I160" s="16">
        <f>SUM(I153:I159)</f>
        <v>1.3070408163265306</v>
      </c>
    </row>
    <row r="161" spans="1:9" x14ac:dyDescent="0.25">
      <c r="D161" s="15"/>
      <c r="E161" s="2"/>
      <c r="F161" s="2"/>
      <c r="G161" s="11" t="s">
        <v>37</v>
      </c>
      <c r="H161" s="2">
        <f>H160*H160</f>
        <v>0.63673885880882952</v>
      </c>
      <c r="I161" s="16"/>
    </row>
    <row r="162" spans="1:9" ht="19.5" thickBot="1" x14ac:dyDescent="0.35">
      <c r="D162" s="56" t="s">
        <v>35</v>
      </c>
      <c r="E162" s="57"/>
      <c r="F162" s="57"/>
      <c r="G162" s="57"/>
      <c r="H162" s="18">
        <f>(((I160-H161)^(1/2))/H160)*100</f>
        <v>102.6017023266234</v>
      </c>
      <c r="I162" s="17"/>
    </row>
    <row r="165" spans="1:9" ht="15.75" thickBot="1" x14ac:dyDescent="0.3"/>
    <row r="166" spans="1:9" ht="15.75" x14ac:dyDescent="0.25">
      <c r="D166" s="12" t="s">
        <v>28</v>
      </c>
      <c r="E166" s="13" t="s">
        <v>29</v>
      </c>
      <c r="F166" s="13" t="s">
        <v>30</v>
      </c>
      <c r="G166" s="13" t="s">
        <v>31</v>
      </c>
      <c r="H166" s="13" t="s">
        <v>32</v>
      </c>
      <c r="I166" s="14" t="s">
        <v>33</v>
      </c>
    </row>
    <row r="167" spans="1:9" x14ac:dyDescent="0.25">
      <c r="D167" s="15" t="s">
        <v>20</v>
      </c>
      <c r="E167" s="2">
        <f>COUNTIF(M3:M99,"TW")/97</f>
        <v>0.39175257731958762</v>
      </c>
      <c r="F167" s="2">
        <v>0.25</v>
      </c>
      <c r="G167" s="2">
        <f>(F167*F167)</f>
        <v>6.25E-2</v>
      </c>
      <c r="H167" s="2">
        <f>E167*F167</f>
        <v>9.7938144329896906E-2</v>
      </c>
      <c r="I167" s="16">
        <f>E167*G167</f>
        <v>2.4484536082474227E-2</v>
      </c>
    </row>
    <row r="168" spans="1:9" x14ac:dyDescent="0.25">
      <c r="A168" t="s">
        <v>25</v>
      </c>
      <c r="D168" s="15" t="s">
        <v>41</v>
      </c>
      <c r="E168" s="2">
        <f>COUNTIF(M3:M99,"Cycle Rikshaw")/97</f>
        <v>0</v>
      </c>
      <c r="F168" s="2">
        <v>2.1</v>
      </c>
      <c r="G168" s="2">
        <f>(F168*F168)</f>
        <v>4.41</v>
      </c>
      <c r="H168" s="2">
        <f t="shared" ref="H168:H169" si="25">E168*F168</f>
        <v>0</v>
      </c>
      <c r="I168" s="16">
        <f t="shared" ref="I168:I169" si="26">E168*G168</f>
        <v>0</v>
      </c>
    </row>
    <row r="169" spans="1:9" x14ac:dyDescent="0.25">
      <c r="D169" s="15" t="s">
        <v>24</v>
      </c>
      <c r="E169" s="2">
        <f>COUNTIF(M3:M99,"Cycle")/97</f>
        <v>1.0309278350515464E-2</v>
      </c>
      <c r="F169" s="2">
        <v>0.4</v>
      </c>
      <c r="G169" s="2">
        <f t="shared" ref="G169:G173" si="27">(F169*F169)</f>
        <v>0.16000000000000003</v>
      </c>
      <c r="H169" s="2">
        <f t="shared" si="25"/>
        <v>4.1237113402061857E-3</v>
      </c>
      <c r="I169" s="16">
        <f t="shared" si="26"/>
        <v>1.6494845360824745E-3</v>
      </c>
    </row>
    <row r="170" spans="1:9" x14ac:dyDescent="0.25">
      <c r="D170" s="15" t="s">
        <v>19</v>
      </c>
      <c r="E170" s="2">
        <f>COUNTIF(M3:M99,"Car")/97</f>
        <v>0.49484536082474229</v>
      </c>
      <c r="F170" s="2">
        <v>1</v>
      </c>
      <c r="G170" s="2">
        <f t="shared" si="27"/>
        <v>1</v>
      </c>
      <c r="H170" s="2">
        <f t="shared" ref="H170:H173" si="28">E170*F170</f>
        <v>0.49484536082474229</v>
      </c>
      <c r="I170" s="16">
        <f t="shared" ref="I170:I173" si="29">E170*G170</f>
        <v>0.49484536082474229</v>
      </c>
    </row>
    <row r="171" spans="1:9" x14ac:dyDescent="0.25">
      <c r="D171" s="15" t="s">
        <v>18</v>
      </c>
      <c r="E171" s="2">
        <f>COUNTIF(M3:M99,"Auto")/97</f>
        <v>7.2164948453608241E-2</v>
      </c>
      <c r="F171" s="2">
        <v>1.2</v>
      </c>
      <c r="G171" s="2">
        <f t="shared" si="27"/>
        <v>1.44</v>
      </c>
      <c r="H171" s="2">
        <f t="shared" si="28"/>
        <v>8.6597938144329881E-2</v>
      </c>
      <c r="I171" s="16">
        <f t="shared" si="29"/>
        <v>0.10391752577319587</v>
      </c>
    </row>
    <row r="172" spans="1:9" x14ac:dyDescent="0.25">
      <c r="D172" s="15" t="s">
        <v>22</v>
      </c>
      <c r="E172" s="2">
        <f>COUNTIF(M3:M99,"Bus")/97</f>
        <v>2.0618556701030927E-2</v>
      </c>
      <c r="F172" s="2">
        <v>4.5</v>
      </c>
      <c r="G172" s="2">
        <f t="shared" si="27"/>
        <v>20.25</v>
      </c>
      <c r="H172" s="2">
        <f t="shared" si="28"/>
        <v>9.2783505154639179E-2</v>
      </c>
      <c r="I172" s="16">
        <f t="shared" si="29"/>
        <v>0.4175257731958763</v>
      </c>
    </row>
    <row r="173" spans="1:9" x14ac:dyDescent="0.25">
      <c r="D173" s="15" t="s">
        <v>21</v>
      </c>
      <c r="E173" s="2">
        <f>COUNTIF(M3:M99,"TAT")/97</f>
        <v>1.0309278350515464E-2</v>
      </c>
      <c r="F173" s="2">
        <v>4.8</v>
      </c>
      <c r="G173" s="2">
        <f t="shared" si="27"/>
        <v>23.04</v>
      </c>
      <c r="H173" s="2">
        <f t="shared" si="28"/>
        <v>4.9484536082474224E-2</v>
      </c>
      <c r="I173" s="16">
        <f t="shared" si="29"/>
        <v>0.23752577319587628</v>
      </c>
    </row>
    <row r="174" spans="1:9" x14ac:dyDescent="0.25">
      <c r="D174" s="15"/>
      <c r="E174" s="2"/>
      <c r="F174" s="2"/>
      <c r="G174" s="11" t="s">
        <v>34</v>
      </c>
      <c r="H174" s="2">
        <f>SUM(H167:H173)</f>
        <v>0.82577319587628872</v>
      </c>
      <c r="I174" s="16">
        <f>SUM(I167:I173)</f>
        <v>1.2799484536082475</v>
      </c>
    </row>
    <row r="175" spans="1:9" x14ac:dyDescent="0.25">
      <c r="D175" s="15"/>
      <c r="E175" s="2"/>
      <c r="F175" s="2"/>
      <c r="G175" s="11" t="s">
        <v>37</v>
      </c>
      <c r="H175" s="2">
        <f>H174*H174</f>
        <v>0.68190137102773951</v>
      </c>
      <c r="I175" s="16"/>
    </row>
    <row r="176" spans="1:9" ht="19.5" thickBot="1" x14ac:dyDescent="0.35">
      <c r="D176" s="56" t="s">
        <v>35</v>
      </c>
      <c r="E176" s="57"/>
      <c r="F176" s="57"/>
      <c r="G176" s="57"/>
      <c r="H176" s="18">
        <f>(((I174-H175)^(1/2))/H174)*100</f>
        <v>93.649811217501437</v>
      </c>
      <c r="I176" s="17"/>
    </row>
  </sheetData>
  <mergeCells count="4">
    <mergeCell ref="D1:I1"/>
    <mergeCell ref="M1:S1"/>
    <mergeCell ref="D162:G162"/>
    <mergeCell ref="D176:G176"/>
  </mergeCells>
  <conditionalFormatting sqref="A1:J149">
    <cfRule type="containsText" dxfId="182" priority="21" operator="containsText" text="TAT">
      <formula>NOT(ISERROR(SEARCH("TAT",A1)))</formula>
    </cfRule>
    <cfRule type="containsText" dxfId="181" priority="22" operator="containsText" text="Bus">
      <formula>NOT(ISERROR(SEARCH("Bus",A1)))</formula>
    </cfRule>
    <cfRule type="containsText" priority="23" operator="containsText" text="Bus">
      <formula>NOT(ISERROR(SEARCH("Bus",A1)))</formula>
    </cfRule>
    <cfRule type="containsText" dxfId="180" priority="24" operator="containsText" text="Auto">
      <formula>NOT(ISERROR(SEARCH("Auto",A1)))</formula>
    </cfRule>
    <cfRule type="containsText" dxfId="179" priority="25" operator="containsText" text="Cycle">
      <formula>NOT(ISERROR(SEARCH("Cycle",A1)))</formula>
    </cfRule>
    <cfRule type="containsText" dxfId="178" priority="26" operator="containsText" text="LCV">
      <formula>NOT(ISERROR(SEARCH("LCV",A1)))</formula>
    </cfRule>
  </conditionalFormatting>
  <conditionalFormatting sqref="A102:M112 A113:XFD151 A163:XFD1048576 T102:XFD112 A152:C162 J152:XFD162 K4:K150 A1:XFD101">
    <cfRule type="containsText" dxfId="177" priority="27" operator="containsText" text="TW">
      <formula>NOT(ISERROR(SEARCH("TW",A1)))</formula>
    </cfRule>
  </conditionalFormatting>
  <conditionalFormatting sqref="A102:M112 T102:XFD112 A113:XFD151 A152:C162 J152:XFD162 A163:XFD1048576 K4:K150 A1:XFD101">
    <cfRule type="containsText" dxfId="176" priority="28" operator="containsText" text="Car">
      <formula>NOT(ISERROR(SEARCH("Car",A1)))</formula>
    </cfRule>
  </conditionalFormatting>
  <conditionalFormatting sqref="A102:M112 T102:XFD112 A113:XFD1048576 K4:K150 A1:XFD101">
    <cfRule type="containsText" dxfId="175" priority="2" operator="containsText" text="Cycle Rikshaw">
      <formula>NOT(ISERROR(SEARCH("Cycle Rikshaw",A1)))</formula>
    </cfRule>
  </conditionalFormatting>
  <conditionalFormatting sqref="A1:XFD1048576">
    <cfRule type="containsText" dxfId="174" priority="1" operator="containsText" text="TAT">
      <formula>NOT(ISERROR(SEARCH("TAT",A1)))</formula>
    </cfRule>
  </conditionalFormatting>
  <conditionalFormatting sqref="D176 H176:I176">
    <cfRule type="containsText" dxfId="173" priority="4" operator="containsText" text="TAT">
      <formula>NOT(ISERROR(SEARCH("TAT",D176)))</formula>
    </cfRule>
  </conditionalFormatting>
  <conditionalFormatting sqref="D152:I152 D153:H158">
    <cfRule type="containsText" dxfId="172" priority="14" operator="containsText" text="LCV">
      <formula>NOT(ISERROR(SEARCH("LCV",D152)))</formula>
    </cfRule>
    <cfRule type="containsText" dxfId="171" priority="15" operator="containsText" text="TAT">
      <formula>NOT(ISERROR(SEARCH("TAT",D152)))</formula>
    </cfRule>
    <cfRule type="containsText" dxfId="170" priority="16" operator="containsText" text="Bus">
      <formula>NOT(ISERROR(SEARCH("Bus",D152)))</formula>
    </cfRule>
    <cfRule type="containsText" dxfId="169" priority="17" operator="containsText" text="Cycle">
      <formula>NOT(ISERROR(SEARCH("Cycle",D152)))</formula>
    </cfRule>
    <cfRule type="containsText" dxfId="168" priority="18" operator="containsText" text="Auto">
      <formula>NOT(ISERROR(SEARCH("Auto",D152)))</formula>
    </cfRule>
    <cfRule type="containsText" dxfId="167" priority="19" operator="containsText" text="TW">
      <formula>NOT(ISERROR(SEARCH("TW",D152)))</formula>
    </cfRule>
    <cfRule type="containsText" dxfId="166" priority="20" operator="containsText" text="Car">
      <formula>NOT(ISERROR(SEARCH("Car",D152)))</formula>
    </cfRule>
  </conditionalFormatting>
  <conditionalFormatting sqref="D166:I166 D167:H172">
    <cfRule type="containsText" dxfId="165" priority="5" operator="containsText" text="LCV">
      <formula>NOT(ISERROR(SEARCH("LCV",D166)))</formula>
    </cfRule>
    <cfRule type="containsText" dxfId="164" priority="6" operator="containsText" text="TAT">
      <formula>NOT(ISERROR(SEARCH("TAT",D166)))</formula>
    </cfRule>
    <cfRule type="containsText" dxfId="163" priority="7" operator="containsText" text="Bus">
      <formula>NOT(ISERROR(SEARCH("Bus",D166)))</formula>
    </cfRule>
    <cfRule type="containsText" dxfId="162" priority="8" operator="containsText" text="Cycle">
      <formula>NOT(ISERROR(SEARCH("Cycle",D166)))</formula>
    </cfRule>
    <cfRule type="containsText" dxfId="161" priority="9" operator="containsText" text="Auto">
      <formula>NOT(ISERROR(SEARCH("Auto",D166)))</formula>
    </cfRule>
    <cfRule type="containsText" dxfId="160" priority="10" operator="containsText" text="TW">
      <formula>NOT(ISERROR(SEARCH("TW",D166)))</formula>
    </cfRule>
    <cfRule type="containsText" dxfId="159" priority="11" operator="containsText" text="Car">
      <formula>NOT(ISERROR(SEARCH("Car",D166)))</formula>
    </cfRule>
  </conditionalFormatting>
  <conditionalFormatting sqref="D166:I175 D152:I161 D162 H162:I162">
    <cfRule type="containsText" dxfId="158" priority="13" operator="containsText" text="TAT">
      <formula>NOT(ISERROR(SEARCH("TAT",D152)))</formula>
    </cfRule>
  </conditionalFormatting>
  <conditionalFormatting sqref="M1:M1048576">
    <cfRule type="containsText" dxfId="157" priority="30" operator="containsText" text="Bus">
      <formula>NOT(ISERROR(SEARCH("Bus",M1)))</formula>
    </cfRule>
    <cfRule type="containsText" dxfId="156" priority="31" operator="containsText" text="LCV">
      <formula>NOT(ISERROR(SEARCH("LCV",M1)))</formula>
    </cfRule>
    <cfRule type="containsText" dxfId="155" priority="32" operator="containsText" text="Cycle">
      <formula>NOT(ISERROR(SEARCH("Cycle",M1)))</formula>
    </cfRule>
    <cfRule type="containsText" dxfId="154" priority="33" operator="containsText" text="Auto">
      <formula>NOT(ISERROR(SEARCH("Auto",M1)))</formula>
    </cfRule>
    <cfRule type="containsText" dxfId="153" priority="34" operator="containsText" text="TW">
      <formula>NOT(ISERROR(SEARCH("TW",M1)))</formula>
    </cfRule>
    <cfRule type="containsText" dxfId="152" priority="35" operator="containsText" text="Car">
      <formula>NOT(ISERROR(SEARCH("Car",M1)))</formula>
    </cfRule>
  </conditionalFormatting>
  <conditionalFormatting sqref="Q29">
    <cfRule type="containsText" dxfId="151" priority="29" operator="containsText" text="Car">
      <formula>NOT(ISERROR(SEARCH("Car",Q29)))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1658-8655-4A0E-987B-4438711DB690}">
  <dimension ref="A1:V203"/>
  <sheetViews>
    <sheetView topLeftCell="H92" zoomScale="70" zoomScaleNormal="70" workbookViewId="0">
      <selection activeCell="R117" sqref="R117"/>
    </sheetView>
  </sheetViews>
  <sheetFormatPr defaultRowHeight="15" x14ac:dyDescent="0.25"/>
  <cols>
    <col min="2" max="2" width="15.140625" customWidth="1"/>
    <col min="3" max="3" width="17.28515625" customWidth="1"/>
    <col min="4" max="4" width="16.5703125" customWidth="1"/>
    <col min="5" max="5" width="17.5703125" customWidth="1"/>
    <col min="6" max="6" width="14.7109375" customWidth="1"/>
    <col min="7" max="8" width="21.7109375" customWidth="1"/>
    <col min="9" max="9" width="21.85546875" bestFit="1" customWidth="1"/>
    <col min="12" max="12" width="14.28515625" customWidth="1"/>
    <col min="13" max="13" width="16.140625" customWidth="1"/>
    <col min="14" max="14" width="14.28515625" customWidth="1"/>
    <col min="15" max="15" width="17.7109375" customWidth="1"/>
    <col min="16" max="16" width="15.5703125" customWidth="1"/>
    <col min="17" max="18" width="21.85546875" customWidth="1"/>
    <col min="19" max="19" width="25" bestFit="1" customWidth="1"/>
    <col min="20" max="20" width="23" bestFit="1" customWidth="1"/>
  </cols>
  <sheetData>
    <row r="1" spans="1:22" ht="15.75" x14ac:dyDescent="0.3">
      <c r="C1" s="5"/>
      <c r="D1" s="54" t="s">
        <v>6</v>
      </c>
      <c r="E1" s="55"/>
      <c r="F1" s="55"/>
      <c r="G1" s="55"/>
      <c r="H1" s="55"/>
      <c r="I1" s="55"/>
      <c r="J1" s="5"/>
      <c r="L1" s="5"/>
      <c r="M1" s="54" t="s">
        <v>7</v>
      </c>
      <c r="N1" s="55"/>
      <c r="O1" s="55"/>
      <c r="P1" s="55"/>
      <c r="Q1" s="55"/>
      <c r="R1" s="55"/>
      <c r="S1" s="55"/>
      <c r="T1" s="5"/>
      <c r="U1" s="5"/>
    </row>
    <row r="2" spans="1:22" ht="31.5" x14ac:dyDescent="0.25">
      <c r="A2" t="s">
        <v>11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12</v>
      </c>
      <c r="J2" s="6" t="s">
        <v>17</v>
      </c>
      <c r="K2" s="1"/>
      <c r="L2" s="6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15</v>
      </c>
      <c r="R2" s="6" t="s">
        <v>12</v>
      </c>
      <c r="S2" s="6" t="s">
        <v>16</v>
      </c>
      <c r="T2" s="6" t="s">
        <v>13</v>
      </c>
      <c r="U2" s="6" t="s">
        <v>17</v>
      </c>
    </row>
    <row r="3" spans="1:22" x14ac:dyDescent="0.25">
      <c r="A3">
        <v>45</v>
      </c>
      <c r="C3" s="5">
        <v>1</v>
      </c>
      <c r="D3" s="5" t="s">
        <v>18</v>
      </c>
      <c r="E3" s="5">
        <v>614</v>
      </c>
      <c r="F3" s="5">
        <v>617.47</v>
      </c>
      <c r="G3" s="5">
        <f>$A$3/(F3-E3)*3.6</f>
        <v>46.685878962535654</v>
      </c>
      <c r="H3" s="5">
        <v>3.43</v>
      </c>
      <c r="I3" s="5">
        <v>3.43</v>
      </c>
      <c r="J3" s="5">
        <f>(H3+I3)/2</f>
        <v>3.43</v>
      </c>
      <c r="K3">
        <f>(J3-3.37)^2</f>
        <v>3.6000000000000064E-3</v>
      </c>
      <c r="L3" s="5">
        <v>1</v>
      </c>
      <c r="M3" s="5" t="s">
        <v>20</v>
      </c>
      <c r="N3" s="5">
        <v>600.79999999999995</v>
      </c>
      <c r="O3" s="5">
        <v>603.76</v>
      </c>
      <c r="P3" s="5">
        <f>$A$3/(O3-N3)*3.6</f>
        <v>54.729729729729058</v>
      </c>
      <c r="Q3" s="5">
        <f>IF(M3="Car", R3 + 1.44, IF(M3="Bus", R3+2.43,IF(M3="Auto", R3+1.4,IF(M3="LCV",R3+2.1,IF(M3="TAT", R3 + 2.35, R3)))))</f>
        <v>7.54</v>
      </c>
      <c r="R3" s="5">
        <v>7.54</v>
      </c>
      <c r="S3" s="5">
        <f>$A$5-Q3</f>
        <v>1.46</v>
      </c>
      <c r="T3" s="5">
        <f>$A$5-R3</f>
        <v>1.46</v>
      </c>
      <c r="U3" s="5">
        <f>(S3+T3)/2</f>
        <v>1.46</v>
      </c>
      <c r="V3">
        <f>(U3-1.508)^2</f>
        <v>2.304000000000004E-3</v>
      </c>
    </row>
    <row r="4" spans="1:22" x14ac:dyDescent="0.25">
      <c r="A4" t="s">
        <v>14</v>
      </c>
      <c r="C4" s="5">
        <v>2</v>
      </c>
      <c r="D4" s="5" t="s">
        <v>19</v>
      </c>
      <c r="E4" s="5">
        <v>618.52</v>
      </c>
      <c r="F4" s="5">
        <v>621.74</v>
      </c>
      <c r="G4" s="5">
        <f t="shared" ref="G4:G67" si="0">$A$3/(F4-E4)*3.6</f>
        <v>50.310559006210752</v>
      </c>
      <c r="H4" s="5">
        <v>2.59</v>
      </c>
      <c r="I4" s="5">
        <v>4.03</v>
      </c>
      <c r="J4" s="5">
        <f t="shared" ref="J4:J67" si="1">(H4+I4)/2</f>
        <v>3.31</v>
      </c>
      <c r="K4">
        <f t="shared" ref="K4:K67" si="2">(J4-3.37)^2</f>
        <v>3.6000000000000064E-3</v>
      </c>
      <c r="L4" s="5">
        <v>2</v>
      </c>
      <c r="M4" s="5" t="s">
        <v>20</v>
      </c>
      <c r="N4" s="5">
        <v>604.67999999999995</v>
      </c>
      <c r="O4" s="5">
        <v>608.08000000000004</v>
      </c>
      <c r="P4" s="5">
        <f t="shared" ref="P4:P67" si="3">$A$3/(O4-N4)*3.6</f>
        <v>47.647058823528134</v>
      </c>
      <c r="Q4" s="5">
        <f t="shared" ref="Q4:Q67" si="4">IF(M4="Car", R4 + 1.44, IF(M4="Bus", R4+2.43,IF(M4="Auto", R4+1.4,IF(M4="LCV",R4+2.1,IF(M4="TAT", R4 + 2.35, R4)))))</f>
        <v>7.59</v>
      </c>
      <c r="R4" s="5">
        <v>7.59</v>
      </c>
      <c r="S4" s="5">
        <f t="shared" ref="S4:T19" si="5">$A$5-Q4</f>
        <v>1.4100000000000001</v>
      </c>
      <c r="T4" s="5">
        <f t="shared" si="5"/>
        <v>1.4100000000000001</v>
      </c>
      <c r="U4" s="5">
        <f t="shared" ref="U4:U67" si="6">(S4+T4)/2</f>
        <v>1.4100000000000001</v>
      </c>
      <c r="V4">
        <f t="shared" ref="V4:V67" si="7">(U4-1.508)^2</f>
        <v>9.6039999999999737E-3</v>
      </c>
    </row>
    <row r="5" spans="1:22" x14ac:dyDescent="0.25">
      <c r="A5">
        <v>9</v>
      </c>
      <c r="C5" s="5">
        <v>3</v>
      </c>
      <c r="D5" s="5" t="s">
        <v>19</v>
      </c>
      <c r="E5" s="5">
        <v>620.04</v>
      </c>
      <c r="F5" s="5">
        <v>623.04</v>
      </c>
      <c r="G5" s="5">
        <f t="shared" si="0"/>
        <v>54</v>
      </c>
      <c r="H5" s="5">
        <v>3.2</v>
      </c>
      <c r="I5" s="5">
        <v>4.6500000000000004</v>
      </c>
      <c r="J5" s="7">
        <f t="shared" si="1"/>
        <v>3.9250000000000003</v>
      </c>
      <c r="K5">
        <f t="shared" si="2"/>
        <v>0.30802500000000016</v>
      </c>
      <c r="L5" s="5">
        <v>3</v>
      </c>
      <c r="M5" s="5" t="s">
        <v>19</v>
      </c>
      <c r="N5" s="5">
        <v>606.67999999999995</v>
      </c>
      <c r="O5" s="5">
        <v>609.48</v>
      </c>
      <c r="P5" s="5">
        <f t="shared" si="3"/>
        <v>57.857142857141447</v>
      </c>
      <c r="Q5" s="5">
        <f t="shared" si="4"/>
        <v>7.73</v>
      </c>
      <c r="R5" s="5">
        <v>6.29</v>
      </c>
      <c r="S5" s="5">
        <f t="shared" si="5"/>
        <v>1.2699999999999996</v>
      </c>
      <c r="T5" s="5">
        <f t="shared" si="5"/>
        <v>2.71</v>
      </c>
      <c r="U5" s="5">
        <f t="shared" si="6"/>
        <v>1.9899999999999998</v>
      </c>
      <c r="V5">
        <f t="shared" si="7"/>
        <v>0.23232399999999978</v>
      </c>
    </row>
    <row r="6" spans="1:22" x14ac:dyDescent="0.25">
      <c r="C6" s="5">
        <v>4</v>
      </c>
      <c r="D6" s="5" t="s">
        <v>19</v>
      </c>
      <c r="E6" s="5">
        <v>621.6</v>
      </c>
      <c r="F6" s="5">
        <v>624.98</v>
      </c>
      <c r="G6" s="5">
        <f t="shared" si="0"/>
        <v>47.928994082840305</v>
      </c>
      <c r="H6" s="5">
        <v>2.71</v>
      </c>
      <c r="I6" s="5">
        <v>3.98</v>
      </c>
      <c r="J6" s="5">
        <f t="shared" si="1"/>
        <v>3.3449999999999998</v>
      </c>
      <c r="K6">
        <f t="shared" si="2"/>
        <v>6.2500000000001779E-4</v>
      </c>
      <c r="L6" s="5">
        <v>4</v>
      </c>
      <c r="M6" s="5" t="s">
        <v>20</v>
      </c>
      <c r="N6" s="5">
        <v>608.20000000000005</v>
      </c>
      <c r="O6" s="5">
        <v>611.08000000000004</v>
      </c>
      <c r="P6" s="5">
        <f t="shared" si="3"/>
        <v>56.250000000000092</v>
      </c>
      <c r="Q6" s="5">
        <f t="shared" si="4"/>
        <v>7.43</v>
      </c>
      <c r="R6" s="5">
        <v>7.43</v>
      </c>
      <c r="S6" s="5">
        <f t="shared" si="5"/>
        <v>1.5700000000000003</v>
      </c>
      <c r="T6" s="5">
        <f t="shared" si="5"/>
        <v>1.5700000000000003</v>
      </c>
      <c r="U6" s="5">
        <f t="shared" si="6"/>
        <v>1.5700000000000003</v>
      </c>
      <c r="V6">
        <f t="shared" si="7"/>
        <v>3.8440000000000345E-3</v>
      </c>
    </row>
    <row r="7" spans="1:22" x14ac:dyDescent="0.25">
      <c r="C7" s="5">
        <v>5</v>
      </c>
      <c r="D7" s="5" t="s">
        <v>19</v>
      </c>
      <c r="E7" s="5">
        <v>624.08000000000004</v>
      </c>
      <c r="F7" s="5">
        <v>628.74</v>
      </c>
      <c r="G7" s="5">
        <f t="shared" si="0"/>
        <v>34.763948497854315</v>
      </c>
      <c r="H7" s="5">
        <v>1.74</v>
      </c>
      <c r="I7" s="5">
        <v>3.08</v>
      </c>
      <c r="J7" s="5">
        <f t="shared" si="1"/>
        <v>2.41</v>
      </c>
      <c r="K7">
        <f t="shared" si="2"/>
        <v>0.92159999999999997</v>
      </c>
      <c r="L7" s="5">
        <v>5</v>
      </c>
      <c r="M7" s="5" t="s">
        <v>19</v>
      </c>
      <c r="N7" s="5">
        <v>608.79999999999995</v>
      </c>
      <c r="O7" s="5">
        <v>612.08000000000004</v>
      </c>
      <c r="P7" s="5">
        <f t="shared" si="3"/>
        <v>49.390243902437724</v>
      </c>
      <c r="Q7" s="5">
        <f t="shared" si="4"/>
        <v>7.07</v>
      </c>
      <c r="R7" s="5">
        <v>5.63</v>
      </c>
      <c r="S7" s="5">
        <f t="shared" si="5"/>
        <v>1.9299999999999997</v>
      </c>
      <c r="T7" s="5">
        <f t="shared" si="5"/>
        <v>3.37</v>
      </c>
      <c r="U7" s="5">
        <f t="shared" si="6"/>
        <v>2.65</v>
      </c>
      <c r="V7">
        <f t="shared" si="7"/>
        <v>1.3041639999999999</v>
      </c>
    </row>
    <row r="8" spans="1:22" x14ac:dyDescent="0.25">
      <c r="C8" s="5">
        <v>6</v>
      </c>
      <c r="D8" s="5" t="s">
        <v>19</v>
      </c>
      <c r="E8" s="5">
        <v>624.67999999999995</v>
      </c>
      <c r="F8" s="5">
        <v>628.16</v>
      </c>
      <c r="G8" s="5">
        <f t="shared" si="0"/>
        <v>46.55172413793079</v>
      </c>
      <c r="H8" s="5">
        <v>4.0999999999999996</v>
      </c>
      <c r="I8" s="5">
        <v>5.33</v>
      </c>
      <c r="J8" s="5">
        <f t="shared" si="1"/>
        <v>4.7149999999999999</v>
      </c>
      <c r="K8">
        <f t="shared" si="2"/>
        <v>1.8090249999999994</v>
      </c>
      <c r="L8" s="5">
        <v>6</v>
      </c>
      <c r="M8" s="5" t="s">
        <v>19</v>
      </c>
      <c r="N8" s="5">
        <v>617.32000000000005</v>
      </c>
      <c r="O8" s="5">
        <v>620.6</v>
      </c>
      <c r="P8" s="5">
        <f t="shared" si="3"/>
        <v>49.390243902439437</v>
      </c>
      <c r="Q8" s="5">
        <f t="shared" si="4"/>
        <v>7.17</v>
      </c>
      <c r="R8" s="5">
        <v>5.73</v>
      </c>
      <c r="S8" s="5">
        <f t="shared" si="5"/>
        <v>1.83</v>
      </c>
      <c r="T8" s="5">
        <f t="shared" si="5"/>
        <v>3.2699999999999996</v>
      </c>
      <c r="U8" s="5">
        <f t="shared" si="6"/>
        <v>2.5499999999999998</v>
      </c>
      <c r="V8">
        <f t="shared" si="7"/>
        <v>1.0857639999999995</v>
      </c>
    </row>
    <row r="9" spans="1:22" x14ac:dyDescent="0.25">
      <c r="C9" s="5">
        <v>7</v>
      </c>
      <c r="D9" s="5" t="s">
        <v>20</v>
      </c>
      <c r="E9" s="5">
        <v>624.91999999999996</v>
      </c>
      <c r="F9" s="5">
        <v>629.44000000000005</v>
      </c>
      <c r="G9" s="5">
        <f t="shared" si="0"/>
        <v>35.840707964601009</v>
      </c>
      <c r="H9" s="5">
        <v>1.1299999999999999</v>
      </c>
      <c r="I9" s="5">
        <v>1.1299999999999999</v>
      </c>
      <c r="J9" s="7">
        <f t="shared" si="1"/>
        <v>1.1299999999999999</v>
      </c>
      <c r="K9">
        <f t="shared" si="2"/>
        <v>5.0176000000000007</v>
      </c>
      <c r="L9" s="5">
        <v>7</v>
      </c>
      <c r="M9" s="5" t="s">
        <v>19</v>
      </c>
      <c r="N9" s="5">
        <v>618.08000000000004</v>
      </c>
      <c r="O9" s="5">
        <v>621.4</v>
      </c>
      <c r="P9" s="5">
        <f t="shared" si="3"/>
        <v>48.795180722892503</v>
      </c>
      <c r="Q9" s="5">
        <f t="shared" si="4"/>
        <v>6.7200000000000006</v>
      </c>
      <c r="R9" s="5">
        <v>5.28</v>
      </c>
      <c r="S9" s="5">
        <f t="shared" si="5"/>
        <v>2.2799999999999994</v>
      </c>
      <c r="T9" s="5">
        <f t="shared" si="5"/>
        <v>3.7199999999999998</v>
      </c>
      <c r="U9" s="5">
        <f t="shared" si="6"/>
        <v>2.9999999999999996</v>
      </c>
      <c r="V9">
        <f t="shared" si="7"/>
        <v>2.2260639999999987</v>
      </c>
    </row>
    <row r="10" spans="1:22" x14ac:dyDescent="0.25">
      <c r="C10" s="5">
        <v>8</v>
      </c>
      <c r="D10" s="5" t="s">
        <v>19</v>
      </c>
      <c r="E10" s="5">
        <v>626.08000000000004</v>
      </c>
      <c r="F10" s="5">
        <v>630.02</v>
      </c>
      <c r="G10" s="5">
        <f t="shared" si="0"/>
        <v>41.116751269036151</v>
      </c>
      <c r="H10" s="5">
        <v>3.24</v>
      </c>
      <c r="I10" s="5">
        <v>4.63</v>
      </c>
      <c r="J10" s="5">
        <f t="shared" si="1"/>
        <v>3.9350000000000001</v>
      </c>
      <c r="K10">
        <f t="shared" si="2"/>
        <v>0.31922499999999993</v>
      </c>
      <c r="L10" s="5">
        <v>8</v>
      </c>
      <c r="M10" s="5" t="s">
        <v>20</v>
      </c>
      <c r="N10" s="5">
        <v>626.72</v>
      </c>
      <c r="O10" s="5">
        <v>630.32000000000005</v>
      </c>
      <c r="P10" s="5">
        <f t="shared" si="3"/>
        <v>44.999999999999723</v>
      </c>
      <c r="Q10" s="5">
        <f t="shared" si="4"/>
        <v>7.79</v>
      </c>
      <c r="R10" s="5">
        <v>7.79</v>
      </c>
      <c r="S10" s="5">
        <f t="shared" si="5"/>
        <v>1.21</v>
      </c>
      <c r="T10" s="5">
        <f t="shared" si="5"/>
        <v>1.21</v>
      </c>
      <c r="U10" s="5">
        <f t="shared" si="6"/>
        <v>1.21</v>
      </c>
      <c r="V10">
        <f t="shared" si="7"/>
        <v>8.8804000000000022E-2</v>
      </c>
    </row>
    <row r="11" spans="1:22" x14ac:dyDescent="0.25">
      <c r="C11" s="5">
        <v>9</v>
      </c>
      <c r="D11" s="5" t="s">
        <v>19</v>
      </c>
      <c r="E11" s="5">
        <v>627.48</v>
      </c>
      <c r="F11" s="5">
        <v>631.22</v>
      </c>
      <c r="G11" s="5">
        <f t="shared" si="0"/>
        <v>43.315508021390272</v>
      </c>
      <c r="H11" s="5">
        <v>3.54</v>
      </c>
      <c r="I11" s="5">
        <v>4.93</v>
      </c>
      <c r="J11" s="5">
        <f t="shared" si="1"/>
        <v>4.2349999999999994</v>
      </c>
      <c r="K11">
        <f t="shared" si="2"/>
        <v>0.74822499999999881</v>
      </c>
      <c r="L11" s="5">
        <v>9</v>
      </c>
      <c r="M11" s="5" t="s">
        <v>19</v>
      </c>
      <c r="N11" s="5">
        <v>629.55999999999995</v>
      </c>
      <c r="O11" s="5">
        <v>632.08000000000004</v>
      </c>
      <c r="P11" s="5">
        <f t="shared" si="3"/>
        <v>64.285714285711848</v>
      </c>
      <c r="Q11" s="5">
        <f t="shared" si="4"/>
        <v>7.8699999999999992</v>
      </c>
      <c r="R11" s="5">
        <v>6.43</v>
      </c>
      <c r="S11" s="5">
        <f t="shared" si="5"/>
        <v>1.1300000000000008</v>
      </c>
      <c r="T11" s="5">
        <f t="shared" si="5"/>
        <v>2.5700000000000003</v>
      </c>
      <c r="U11" s="5">
        <f t="shared" si="6"/>
        <v>1.8500000000000005</v>
      </c>
      <c r="V11">
        <f t="shared" si="7"/>
        <v>0.11696400000000036</v>
      </c>
    </row>
    <row r="12" spans="1:22" x14ac:dyDescent="0.25">
      <c r="C12" s="5">
        <v>10</v>
      </c>
      <c r="D12" s="5" t="s">
        <v>20</v>
      </c>
      <c r="E12" s="5">
        <v>628.84</v>
      </c>
      <c r="F12" s="5">
        <v>632.99</v>
      </c>
      <c r="G12" s="5">
        <f t="shared" si="0"/>
        <v>39.036144578313468</v>
      </c>
      <c r="H12" s="5">
        <v>1.67</v>
      </c>
      <c r="I12" s="5">
        <v>1.67</v>
      </c>
      <c r="J12" s="5">
        <f t="shared" si="1"/>
        <v>1.67</v>
      </c>
      <c r="K12">
        <f t="shared" si="2"/>
        <v>2.8900000000000006</v>
      </c>
      <c r="L12" s="5">
        <v>10</v>
      </c>
      <c r="M12" s="5" t="s">
        <v>18</v>
      </c>
      <c r="N12" s="5">
        <v>633.55999999999995</v>
      </c>
      <c r="O12" s="5">
        <v>636.96</v>
      </c>
      <c r="P12" s="5">
        <f t="shared" si="3"/>
        <v>47.647058823528134</v>
      </c>
      <c r="Q12" s="5">
        <f t="shared" si="4"/>
        <v>9.09</v>
      </c>
      <c r="R12" s="5">
        <v>7.69</v>
      </c>
      <c r="S12" s="5">
        <f>$A$5-Q12</f>
        <v>-8.9999999999999858E-2</v>
      </c>
      <c r="T12" s="5">
        <f t="shared" si="5"/>
        <v>1.3099999999999996</v>
      </c>
      <c r="U12" s="5">
        <f t="shared" si="6"/>
        <v>0.60999999999999988</v>
      </c>
      <c r="V12">
        <f t="shared" si="7"/>
        <v>0.80640400000000023</v>
      </c>
    </row>
    <row r="13" spans="1:22" x14ac:dyDescent="0.25">
      <c r="C13" s="5">
        <v>11</v>
      </c>
      <c r="D13" s="5" t="s">
        <v>19</v>
      </c>
      <c r="E13" s="5">
        <v>629.6</v>
      </c>
      <c r="F13" s="5">
        <v>633.02</v>
      </c>
      <c r="G13" s="5">
        <f t="shared" si="0"/>
        <v>47.368421052632144</v>
      </c>
      <c r="H13" s="5">
        <v>3.45</v>
      </c>
      <c r="I13" s="5">
        <v>4.6500000000000004</v>
      </c>
      <c r="J13" s="5">
        <f t="shared" si="1"/>
        <v>4.0500000000000007</v>
      </c>
      <c r="K13">
        <f t="shared" si="2"/>
        <v>0.46240000000000081</v>
      </c>
      <c r="L13" s="5">
        <v>11</v>
      </c>
      <c r="M13" s="5" t="s">
        <v>19</v>
      </c>
      <c r="N13" s="5">
        <v>634.72</v>
      </c>
      <c r="O13" s="5">
        <v>638.04</v>
      </c>
      <c r="P13" s="5">
        <f t="shared" si="3"/>
        <v>48.795180722892503</v>
      </c>
      <c r="Q13" s="5">
        <f t="shared" si="4"/>
        <v>8.48</v>
      </c>
      <c r="R13" s="5">
        <v>7.04</v>
      </c>
      <c r="S13" s="5">
        <f t="shared" si="5"/>
        <v>0.51999999999999957</v>
      </c>
      <c r="T13" s="5">
        <f t="shared" si="5"/>
        <v>1.96</v>
      </c>
      <c r="U13" s="5">
        <f t="shared" si="6"/>
        <v>1.2399999999999998</v>
      </c>
      <c r="V13">
        <f t="shared" si="7"/>
        <v>7.1824000000000124E-2</v>
      </c>
    </row>
    <row r="14" spans="1:22" x14ac:dyDescent="0.25">
      <c r="C14" s="5">
        <v>12</v>
      </c>
      <c r="D14" s="5" t="s">
        <v>19</v>
      </c>
      <c r="E14" s="5">
        <v>630.72</v>
      </c>
      <c r="F14" s="5">
        <v>634.16</v>
      </c>
      <c r="G14" s="5">
        <f t="shared" si="0"/>
        <v>47.093023255814764</v>
      </c>
      <c r="H14" s="5">
        <v>3.68</v>
      </c>
      <c r="I14" s="5">
        <v>5.19</v>
      </c>
      <c r="J14" s="5">
        <f t="shared" si="1"/>
        <v>4.4350000000000005</v>
      </c>
      <c r="K14">
        <f t="shared" si="2"/>
        <v>1.1342250000000009</v>
      </c>
      <c r="L14" s="5">
        <v>12</v>
      </c>
      <c r="M14" s="5" t="s">
        <v>20</v>
      </c>
      <c r="N14" s="5">
        <v>643.28</v>
      </c>
      <c r="O14" s="5">
        <v>646.04</v>
      </c>
      <c r="P14" s="5">
        <f t="shared" si="3"/>
        <v>58.695652173913238</v>
      </c>
      <c r="Q14" s="5">
        <f t="shared" si="4"/>
        <v>7.18</v>
      </c>
      <c r="R14" s="5">
        <v>7.18</v>
      </c>
      <c r="S14" s="5">
        <f t="shared" si="5"/>
        <v>1.8200000000000003</v>
      </c>
      <c r="T14" s="5">
        <f t="shared" si="5"/>
        <v>1.8200000000000003</v>
      </c>
      <c r="U14" s="5">
        <f t="shared" si="6"/>
        <v>1.8200000000000003</v>
      </c>
      <c r="V14">
        <f t="shared" si="7"/>
        <v>9.7344000000000167E-2</v>
      </c>
    </row>
    <row r="15" spans="1:22" x14ac:dyDescent="0.25">
      <c r="C15" s="5">
        <v>13</v>
      </c>
      <c r="D15" s="5" t="s">
        <v>19</v>
      </c>
      <c r="E15" s="5">
        <v>631.84</v>
      </c>
      <c r="F15" s="5">
        <v>635.28</v>
      </c>
      <c r="G15" s="5">
        <f t="shared" si="0"/>
        <v>47.093023255814764</v>
      </c>
      <c r="H15" s="5">
        <v>3.8</v>
      </c>
      <c r="I15" s="5">
        <v>5.22</v>
      </c>
      <c r="J15" s="5">
        <f t="shared" si="1"/>
        <v>4.51</v>
      </c>
      <c r="K15">
        <f t="shared" si="2"/>
        <v>1.2995999999999992</v>
      </c>
      <c r="L15" s="5">
        <v>13</v>
      </c>
      <c r="M15" s="7" t="s">
        <v>18</v>
      </c>
      <c r="N15" s="5">
        <v>645.48</v>
      </c>
      <c r="O15" s="5">
        <v>650.48</v>
      </c>
      <c r="P15" s="5">
        <f t="shared" si="3"/>
        <v>32.4</v>
      </c>
      <c r="Q15" s="5">
        <f t="shared" si="4"/>
        <v>8.5299999999999994</v>
      </c>
      <c r="R15" s="5">
        <v>7.13</v>
      </c>
      <c r="S15" s="5">
        <f t="shared" si="5"/>
        <v>0.47000000000000064</v>
      </c>
      <c r="T15" s="5">
        <f t="shared" si="5"/>
        <v>1.87</v>
      </c>
      <c r="U15" s="5">
        <f t="shared" si="6"/>
        <v>1.1700000000000004</v>
      </c>
      <c r="V15">
        <f t="shared" si="7"/>
        <v>0.11424399999999975</v>
      </c>
    </row>
    <row r="16" spans="1:22" x14ac:dyDescent="0.25">
      <c r="C16" s="5">
        <v>14</v>
      </c>
      <c r="D16" s="5" t="s">
        <v>20</v>
      </c>
      <c r="E16" s="5">
        <v>631.84</v>
      </c>
      <c r="F16" s="5">
        <v>635.78</v>
      </c>
      <c r="G16" s="5">
        <f t="shared" si="0"/>
        <v>41.116751269036151</v>
      </c>
      <c r="H16" s="5">
        <v>2.11</v>
      </c>
      <c r="I16" s="5">
        <v>2.11</v>
      </c>
      <c r="J16" s="5">
        <f t="shared" si="1"/>
        <v>2.11</v>
      </c>
      <c r="K16">
        <f t="shared" si="2"/>
        <v>1.5876000000000006</v>
      </c>
      <c r="L16" s="5">
        <v>14</v>
      </c>
      <c r="M16" s="5" t="s">
        <v>27</v>
      </c>
      <c r="N16" s="5">
        <v>648.55999999999995</v>
      </c>
      <c r="O16" s="5">
        <v>652.96</v>
      </c>
      <c r="P16" s="5">
        <f t="shared" si="3"/>
        <v>36.818181818181053</v>
      </c>
      <c r="Q16" s="5">
        <f t="shared" si="4"/>
        <v>8.15</v>
      </c>
      <c r="R16" s="5">
        <v>8.15</v>
      </c>
      <c r="S16" s="5">
        <f t="shared" si="5"/>
        <v>0.84999999999999964</v>
      </c>
      <c r="T16" s="5">
        <f t="shared" si="5"/>
        <v>0.84999999999999964</v>
      </c>
      <c r="U16" s="5">
        <f t="shared" si="6"/>
        <v>0.84999999999999964</v>
      </c>
      <c r="V16">
        <f t="shared" si="7"/>
        <v>0.43296400000000046</v>
      </c>
    </row>
    <row r="17" spans="3:22" x14ac:dyDescent="0.25">
      <c r="C17" s="5">
        <v>15</v>
      </c>
      <c r="D17" s="5" t="s">
        <v>19</v>
      </c>
      <c r="E17" s="5">
        <v>633</v>
      </c>
      <c r="F17" s="5">
        <v>636.24</v>
      </c>
      <c r="G17" s="5">
        <f t="shared" si="0"/>
        <v>49.999999999999865</v>
      </c>
      <c r="H17" s="5">
        <v>3.5</v>
      </c>
      <c r="I17" s="5">
        <v>4.58</v>
      </c>
      <c r="J17" s="5">
        <f t="shared" si="1"/>
        <v>4.04</v>
      </c>
      <c r="K17">
        <f t="shared" si="2"/>
        <v>0.44889999999999991</v>
      </c>
      <c r="L17" s="5">
        <v>15</v>
      </c>
      <c r="M17" s="5" t="s">
        <v>20</v>
      </c>
      <c r="N17" s="5">
        <v>651.4</v>
      </c>
      <c r="O17" s="5">
        <v>655.28</v>
      </c>
      <c r="P17" s="5">
        <f t="shared" si="3"/>
        <v>41.752577319587679</v>
      </c>
      <c r="Q17" s="5">
        <f t="shared" si="4"/>
        <v>7.9</v>
      </c>
      <c r="R17" s="5">
        <v>7.9</v>
      </c>
      <c r="S17" s="5">
        <f t="shared" si="5"/>
        <v>1.0999999999999996</v>
      </c>
      <c r="T17" s="5">
        <f t="shared" si="5"/>
        <v>1.0999999999999996</v>
      </c>
      <c r="U17" s="5">
        <f t="shared" si="6"/>
        <v>1.0999999999999996</v>
      </c>
      <c r="V17">
        <f t="shared" si="7"/>
        <v>0.16646400000000031</v>
      </c>
    </row>
    <row r="18" spans="3:22" x14ac:dyDescent="0.25">
      <c r="C18" s="5">
        <v>16</v>
      </c>
      <c r="D18" s="5" t="s">
        <v>24</v>
      </c>
      <c r="E18" s="5">
        <v>633.48</v>
      </c>
      <c r="F18" s="5">
        <v>645.16</v>
      </c>
      <c r="G18" s="5">
        <f t="shared" si="0"/>
        <v>13.869863013698691</v>
      </c>
      <c r="H18" s="5">
        <v>1.29</v>
      </c>
      <c r="I18" s="5">
        <v>1.29</v>
      </c>
      <c r="J18" s="5">
        <f t="shared" si="1"/>
        <v>1.29</v>
      </c>
      <c r="K18">
        <f t="shared" si="2"/>
        <v>4.3264000000000005</v>
      </c>
      <c r="L18" s="5">
        <v>16</v>
      </c>
      <c r="M18" s="5" t="s">
        <v>18</v>
      </c>
      <c r="N18" s="5">
        <v>657.72</v>
      </c>
      <c r="O18" s="5">
        <v>662.76</v>
      </c>
      <c r="P18" s="5">
        <f t="shared" si="3"/>
        <v>32.142857142857373</v>
      </c>
      <c r="Q18" s="5">
        <f t="shared" si="4"/>
        <v>8.82</v>
      </c>
      <c r="R18" s="5">
        <v>7.42</v>
      </c>
      <c r="S18" s="5">
        <f t="shared" si="5"/>
        <v>0.17999999999999972</v>
      </c>
      <c r="T18" s="5">
        <f t="shared" si="5"/>
        <v>1.58</v>
      </c>
      <c r="U18" s="5">
        <f t="shared" si="6"/>
        <v>0.87999999999999989</v>
      </c>
      <c r="V18">
        <f t="shared" si="7"/>
        <v>0.39438400000000012</v>
      </c>
    </row>
    <row r="19" spans="3:22" x14ac:dyDescent="0.25">
      <c r="C19" s="5">
        <v>17</v>
      </c>
      <c r="D19" s="5" t="s">
        <v>20</v>
      </c>
      <c r="E19" s="5">
        <v>635.72</v>
      </c>
      <c r="F19" s="5">
        <v>638.78</v>
      </c>
      <c r="G19" s="5">
        <f t="shared" si="0"/>
        <v>52.941176470589177</v>
      </c>
      <c r="H19" s="5">
        <v>4.12</v>
      </c>
      <c r="I19" s="5">
        <v>4.12</v>
      </c>
      <c r="J19" s="5">
        <f t="shared" si="1"/>
        <v>4.12</v>
      </c>
      <c r="K19">
        <f t="shared" si="2"/>
        <v>0.5625</v>
      </c>
      <c r="L19" s="5">
        <v>17</v>
      </c>
      <c r="M19" s="5" t="s">
        <v>19</v>
      </c>
      <c r="N19" s="5">
        <v>658.44</v>
      </c>
      <c r="O19" s="5">
        <v>661.76</v>
      </c>
      <c r="P19" s="5">
        <f t="shared" si="3"/>
        <v>48.795180722892503</v>
      </c>
      <c r="Q19" s="5">
        <f t="shared" si="4"/>
        <v>6.9</v>
      </c>
      <c r="R19" s="5">
        <v>5.46</v>
      </c>
      <c r="S19" s="5">
        <f t="shared" si="5"/>
        <v>2.0999999999999996</v>
      </c>
      <c r="T19" s="5">
        <f t="shared" si="5"/>
        <v>3.54</v>
      </c>
      <c r="U19" s="5">
        <f t="shared" si="6"/>
        <v>2.82</v>
      </c>
      <c r="V19">
        <f t="shared" si="7"/>
        <v>1.7213439999999995</v>
      </c>
    </row>
    <row r="20" spans="3:22" x14ac:dyDescent="0.25">
      <c r="C20" s="5">
        <v>18</v>
      </c>
      <c r="D20" s="5" t="s">
        <v>19</v>
      </c>
      <c r="E20" s="5">
        <v>636.4</v>
      </c>
      <c r="F20" s="5">
        <v>639.54</v>
      </c>
      <c r="G20" s="5">
        <f t="shared" si="0"/>
        <v>51.592356687898317</v>
      </c>
      <c r="H20" s="5">
        <v>3.08</v>
      </c>
      <c r="I20" s="5">
        <v>4.33</v>
      </c>
      <c r="J20" s="5">
        <f t="shared" si="1"/>
        <v>3.7050000000000001</v>
      </c>
      <c r="K20">
        <f t="shared" si="2"/>
        <v>0.11222499999999998</v>
      </c>
      <c r="L20" s="5">
        <v>18</v>
      </c>
      <c r="M20" s="5" t="s">
        <v>20</v>
      </c>
      <c r="N20" s="5">
        <v>658.84</v>
      </c>
      <c r="O20" s="5">
        <v>663.88</v>
      </c>
      <c r="P20" s="5">
        <f t="shared" si="3"/>
        <v>32.142857142857373</v>
      </c>
      <c r="Q20" s="5">
        <f t="shared" si="4"/>
        <v>7.93</v>
      </c>
      <c r="R20" s="5">
        <v>7.93</v>
      </c>
      <c r="S20" s="5">
        <f>$A$5-Q20</f>
        <v>1.0700000000000003</v>
      </c>
      <c r="T20" s="5">
        <f>$A$5-R20</f>
        <v>1.0700000000000003</v>
      </c>
      <c r="U20" s="5">
        <f t="shared" si="6"/>
        <v>1.0700000000000003</v>
      </c>
      <c r="V20">
        <f t="shared" si="7"/>
        <v>0.19184399999999976</v>
      </c>
    </row>
    <row r="21" spans="3:22" x14ac:dyDescent="0.25">
      <c r="C21" s="5">
        <v>19</v>
      </c>
      <c r="D21" s="5" t="s">
        <v>20</v>
      </c>
      <c r="E21" s="5">
        <v>639.16</v>
      </c>
      <c r="F21" s="5">
        <v>642.84</v>
      </c>
      <c r="G21" s="5">
        <f t="shared" si="0"/>
        <v>44.021739130434021</v>
      </c>
      <c r="H21" s="5">
        <v>2.89</v>
      </c>
      <c r="I21" s="5">
        <v>2.89</v>
      </c>
      <c r="J21" s="5">
        <f t="shared" si="1"/>
        <v>2.89</v>
      </c>
      <c r="K21">
        <f t="shared" si="2"/>
        <v>0.23039999999999999</v>
      </c>
      <c r="L21" s="5">
        <v>19</v>
      </c>
      <c r="M21" s="5" t="s">
        <v>19</v>
      </c>
      <c r="N21" s="5">
        <v>660.12</v>
      </c>
      <c r="O21" s="5">
        <v>663.72</v>
      </c>
      <c r="P21" s="5">
        <f t="shared" si="3"/>
        <v>44.999999999999723</v>
      </c>
      <c r="Q21" s="5">
        <f t="shared" si="4"/>
        <v>7.51</v>
      </c>
      <c r="R21" s="5">
        <v>6.07</v>
      </c>
      <c r="S21" s="5">
        <f t="shared" ref="S21:T84" si="8">$A$5-Q21</f>
        <v>1.4900000000000002</v>
      </c>
      <c r="T21" s="5">
        <f t="shared" ref="T21:T34" si="9">$A$5-R21</f>
        <v>2.9299999999999997</v>
      </c>
      <c r="U21" s="5">
        <f t="shared" si="6"/>
        <v>2.21</v>
      </c>
      <c r="V21">
        <f t="shared" si="7"/>
        <v>0.49280399999999996</v>
      </c>
    </row>
    <row r="22" spans="3:22" x14ac:dyDescent="0.25">
      <c r="C22" s="5">
        <v>20</v>
      </c>
      <c r="D22" s="5" t="s">
        <v>19</v>
      </c>
      <c r="E22" s="5">
        <v>639.84</v>
      </c>
      <c r="F22" s="5">
        <v>643.28</v>
      </c>
      <c r="G22" s="5">
        <f t="shared" si="0"/>
        <v>47.093023255814764</v>
      </c>
      <c r="H22" s="5">
        <v>3.43</v>
      </c>
      <c r="I22" s="5">
        <v>4.84</v>
      </c>
      <c r="J22" s="5">
        <f t="shared" si="1"/>
        <v>4.1349999999999998</v>
      </c>
      <c r="K22">
        <f t="shared" si="2"/>
        <v>0.58522499999999955</v>
      </c>
      <c r="L22" s="5">
        <v>20</v>
      </c>
      <c r="M22" s="5" t="s">
        <v>20</v>
      </c>
      <c r="N22" s="5">
        <v>670.48</v>
      </c>
      <c r="O22" s="5">
        <v>674.28</v>
      </c>
      <c r="P22" s="5">
        <f t="shared" si="3"/>
        <v>42.631578947368929</v>
      </c>
      <c r="Q22" s="5">
        <f t="shared" si="4"/>
        <v>8.09</v>
      </c>
      <c r="R22" s="5">
        <v>8.09</v>
      </c>
      <c r="S22" s="5">
        <f t="shared" si="8"/>
        <v>0.91000000000000014</v>
      </c>
      <c r="T22" s="5">
        <f t="shared" si="9"/>
        <v>0.91000000000000014</v>
      </c>
      <c r="U22" s="5">
        <f t="shared" si="6"/>
        <v>0.91000000000000014</v>
      </c>
      <c r="V22">
        <f t="shared" si="7"/>
        <v>0.35760399999999981</v>
      </c>
    </row>
    <row r="23" spans="3:22" x14ac:dyDescent="0.25">
      <c r="C23" s="5">
        <v>21</v>
      </c>
      <c r="D23" s="5" t="s">
        <v>19</v>
      </c>
      <c r="E23" s="5">
        <v>640.67999999999995</v>
      </c>
      <c r="F23" s="5">
        <v>644.14</v>
      </c>
      <c r="G23" s="5">
        <f t="shared" si="0"/>
        <v>46.820809248554426</v>
      </c>
      <c r="H23" s="5">
        <v>3.11</v>
      </c>
      <c r="I23" s="5">
        <v>4.3499999999999996</v>
      </c>
      <c r="J23" s="5">
        <f t="shared" si="1"/>
        <v>3.7299999999999995</v>
      </c>
      <c r="K23">
        <f t="shared" si="2"/>
        <v>0.1295999999999996</v>
      </c>
      <c r="L23" s="5">
        <v>21</v>
      </c>
      <c r="M23" s="5" t="s">
        <v>20</v>
      </c>
      <c r="N23" s="5">
        <v>676.52</v>
      </c>
      <c r="O23" s="5">
        <v>679.44</v>
      </c>
      <c r="P23" s="5">
        <f t="shared" si="3"/>
        <v>55.479452054793136</v>
      </c>
      <c r="Q23" s="5">
        <f t="shared" si="4"/>
        <v>7.44</v>
      </c>
      <c r="R23" s="5">
        <v>7.44</v>
      </c>
      <c r="S23" s="5">
        <f t="shared" si="8"/>
        <v>1.5599999999999996</v>
      </c>
      <c r="T23" s="5">
        <f t="shared" si="9"/>
        <v>1.5599999999999996</v>
      </c>
      <c r="U23" s="5">
        <f t="shared" si="6"/>
        <v>1.5599999999999996</v>
      </c>
      <c r="V23">
        <f t="shared" si="7"/>
        <v>2.7039999999999586E-3</v>
      </c>
    </row>
    <row r="24" spans="3:22" x14ac:dyDescent="0.25">
      <c r="C24" s="5">
        <v>22</v>
      </c>
      <c r="D24" s="5" t="s">
        <v>20</v>
      </c>
      <c r="E24" s="5">
        <v>641.36</v>
      </c>
      <c r="F24" s="5">
        <v>646.28</v>
      </c>
      <c r="G24" s="5">
        <f t="shared" si="0"/>
        <v>32.926829268292963</v>
      </c>
      <c r="H24" s="5">
        <v>2.06</v>
      </c>
      <c r="I24" s="5">
        <v>2.06</v>
      </c>
      <c r="J24" s="5">
        <f t="shared" si="1"/>
        <v>2.06</v>
      </c>
      <c r="K24">
        <f t="shared" si="2"/>
        <v>1.7161000000000002</v>
      </c>
      <c r="L24" s="5">
        <v>22</v>
      </c>
      <c r="M24" s="5" t="s">
        <v>20</v>
      </c>
      <c r="N24" s="5">
        <v>676.92</v>
      </c>
      <c r="O24" s="5">
        <v>680.88</v>
      </c>
      <c r="P24" s="5">
        <f t="shared" si="3"/>
        <v>40.90909090909053</v>
      </c>
      <c r="Q24" s="5">
        <f t="shared" si="4"/>
        <v>8.39</v>
      </c>
      <c r="R24" s="5">
        <v>8.39</v>
      </c>
      <c r="S24" s="5">
        <f t="shared" si="8"/>
        <v>0.60999999999999943</v>
      </c>
      <c r="T24" s="5">
        <f t="shared" si="9"/>
        <v>0.60999999999999943</v>
      </c>
      <c r="U24" s="5">
        <f t="shared" si="6"/>
        <v>0.60999999999999943</v>
      </c>
      <c r="V24">
        <f t="shared" si="7"/>
        <v>0.80640400000000101</v>
      </c>
    </row>
    <row r="25" spans="3:22" x14ac:dyDescent="0.25">
      <c r="C25" s="5">
        <v>23</v>
      </c>
      <c r="D25" s="5" t="s">
        <v>19</v>
      </c>
      <c r="E25" s="5">
        <v>642.08000000000004</v>
      </c>
      <c r="F25" s="5">
        <v>645.67999999999995</v>
      </c>
      <c r="G25" s="5">
        <f t="shared" si="0"/>
        <v>45.000000000001137</v>
      </c>
      <c r="H25" s="5">
        <v>3.34</v>
      </c>
      <c r="I25" s="5">
        <v>4.59</v>
      </c>
      <c r="J25" s="5">
        <f t="shared" si="1"/>
        <v>3.9649999999999999</v>
      </c>
      <c r="K25">
        <f t="shared" si="2"/>
        <v>0.3540249999999997</v>
      </c>
      <c r="L25" s="5">
        <v>23</v>
      </c>
      <c r="M25" s="5" t="s">
        <v>18</v>
      </c>
      <c r="N25" s="5">
        <v>980.68</v>
      </c>
      <c r="O25" s="5">
        <v>684.04</v>
      </c>
      <c r="P25" s="5">
        <f t="shared" si="3"/>
        <v>-0.54611650485436902</v>
      </c>
      <c r="Q25" s="5">
        <f t="shared" si="4"/>
        <v>7.85</v>
      </c>
      <c r="R25" s="5">
        <v>6.45</v>
      </c>
      <c r="S25" s="5">
        <f t="shared" si="8"/>
        <v>1.1500000000000004</v>
      </c>
      <c r="T25" s="5">
        <f t="shared" si="9"/>
        <v>2.5499999999999998</v>
      </c>
      <c r="U25" s="5">
        <f t="shared" si="6"/>
        <v>1.85</v>
      </c>
      <c r="V25">
        <f t="shared" si="7"/>
        <v>0.11696400000000005</v>
      </c>
    </row>
    <row r="26" spans="3:22" x14ac:dyDescent="0.25">
      <c r="C26" s="5">
        <v>24</v>
      </c>
      <c r="D26" s="5" t="s">
        <v>19</v>
      </c>
      <c r="E26" s="5">
        <v>643.84</v>
      </c>
      <c r="F26" s="5">
        <v>647.4</v>
      </c>
      <c r="G26" s="5">
        <f t="shared" si="0"/>
        <v>45.505617977528793</v>
      </c>
      <c r="H26" s="5">
        <v>3.92</v>
      </c>
      <c r="I26" s="5">
        <v>5.35</v>
      </c>
      <c r="J26" s="5">
        <f t="shared" si="1"/>
        <v>4.6349999999999998</v>
      </c>
      <c r="K26">
        <f t="shared" si="2"/>
        <v>1.6002249999999991</v>
      </c>
      <c r="L26" s="5">
        <v>24</v>
      </c>
      <c r="M26" s="7" t="s">
        <v>20</v>
      </c>
      <c r="N26" s="5">
        <v>681.92</v>
      </c>
      <c r="O26" s="5">
        <v>686.2</v>
      </c>
      <c r="P26" s="5">
        <f t="shared" si="3"/>
        <v>37.850467289718864</v>
      </c>
      <c r="Q26" s="5">
        <f t="shared" si="4"/>
        <v>8.74</v>
      </c>
      <c r="R26" s="5">
        <v>8.74</v>
      </c>
      <c r="S26" s="5">
        <f t="shared" si="8"/>
        <v>0.25999999999999979</v>
      </c>
      <c r="T26" s="5">
        <f t="shared" si="9"/>
        <v>0.25999999999999979</v>
      </c>
      <c r="U26" s="5">
        <f t="shared" si="6"/>
        <v>0.25999999999999979</v>
      </c>
      <c r="V26">
        <f t="shared" si="7"/>
        <v>1.5575040000000004</v>
      </c>
    </row>
    <row r="27" spans="3:22" x14ac:dyDescent="0.25">
      <c r="C27" s="5">
        <v>25</v>
      </c>
      <c r="D27" s="5" t="s">
        <v>19</v>
      </c>
      <c r="E27" s="5">
        <v>647</v>
      </c>
      <c r="F27" s="5">
        <v>650.32000000000005</v>
      </c>
      <c r="G27" s="5">
        <f t="shared" si="0"/>
        <v>48.795180722890834</v>
      </c>
      <c r="H27" s="5">
        <v>3.2</v>
      </c>
      <c r="I27" s="5">
        <v>4.6100000000000003</v>
      </c>
      <c r="J27" s="5">
        <f t="shared" si="1"/>
        <v>3.9050000000000002</v>
      </c>
      <c r="K27">
        <f t="shared" si="2"/>
        <v>0.28622500000000017</v>
      </c>
      <c r="L27" s="5">
        <v>25</v>
      </c>
      <c r="M27" s="5" t="s">
        <v>20</v>
      </c>
      <c r="N27" s="5">
        <v>683.56</v>
      </c>
      <c r="O27" s="5">
        <v>686.2</v>
      </c>
      <c r="P27" s="5">
        <f t="shared" si="3"/>
        <v>61.363636363634043</v>
      </c>
      <c r="Q27" s="5">
        <f t="shared" si="4"/>
        <v>7.48</v>
      </c>
      <c r="R27" s="5">
        <v>7.48</v>
      </c>
      <c r="S27" s="5">
        <f t="shared" si="8"/>
        <v>1.5199999999999996</v>
      </c>
      <c r="T27" s="5">
        <f t="shared" si="9"/>
        <v>1.5199999999999996</v>
      </c>
      <c r="U27" s="5">
        <f t="shared" si="6"/>
        <v>1.5199999999999996</v>
      </c>
      <c r="V27">
        <f t="shared" si="7"/>
        <v>1.439999999999896E-4</v>
      </c>
    </row>
    <row r="28" spans="3:22" x14ac:dyDescent="0.25">
      <c r="C28" s="5">
        <v>26</v>
      </c>
      <c r="D28" s="5" t="s">
        <v>19</v>
      </c>
      <c r="E28" s="5">
        <v>648.4</v>
      </c>
      <c r="F28" s="5">
        <v>651.88</v>
      </c>
      <c r="G28" s="5">
        <f t="shared" si="0"/>
        <v>46.55172413793079</v>
      </c>
      <c r="H28" s="5">
        <v>3.06</v>
      </c>
      <c r="I28" s="5">
        <v>4.54</v>
      </c>
      <c r="J28" s="5">
        <f t="shared" si="1"/>
        <v>3.8</v>
      </c>
      <c r="K28">
        <f t="shared" si="2"/>
        <v>0.18489999999999976</v>
      </c>
      <c r="L28" s="5">
        <v>26</v>
      </c>
      <c r="M28" s="5" t="s">
        <v>19</v>
      </c>
      <c r="N28" s="5">
        <v>693.88</v>
      </c>
      <c r="O28" s="5">
        <v>696.8</v>
      </c>
      <c r="P28" s="5">
        <f t="shared" si="3"/>
        <v>55.479452054795296</v>
      </c>
      <c r="Q28" s="5">
        <f t="shared" si="4"/>
        <v>7.5600000000000005</v>
      </c>
      <c r="R28" s="5">
        <v>6.12</v>
      </c>
      <c r="S28" s="5">
        <f t="shared" si="8"/>
        <v>1.4399999999999995</v>
      </c>
      <c r="T28" s="5">
        <f t="shared" si="9"/>
        <v>2.88</v>
      </c>
      <c r="U28" s="5">
        <f t="shared" si="6"/>
        <v>2.1599999999999997</v>
      </c>
      <c r="V28">
        <f t="shared" si="7"/>
        <v>0.42510399999999959</v>
      </c>
    </row>
    <row r="29" spans="3:22" x14ac:dyDescent="0.25">
      <c r="C29" s="5">
        <v>27</v>
      </c>
      <c r="D29" s="5" t="s">
        <v>18</v>
      </c>
      <c r="E29" s="5">
        <v>648.79999999999995</v>
      </c>
      <c r="F29" s="5">
        <v>653.41999999999996</v>
      </c>
      <c r="G29" s="5">
        <f t="shared" si="0"/>
        <v>35.064935064935035</v>
      </c>
      <c r="H29" s="5">
        <v>2.04</v>
      </c>
      <c r="I29" s="5">
        <v>2.04</v>
      </c>
      <c r="J29" s="5">
        <f t="shared" si="1"/>
        <v>2.04</v>
      </c>
      <c r="K29">
        <f t="shared" si="2"/>
        <v>1.7689000000000001</v>
      </c>
      <c r="L29" s="5">
        <v>27</v>
      </c>
      <c r="M29" s="5" t="s">
        <v>24</v>
      </c>
      <c r="N29" s="5">
        <v>695.04</v>
      </c>
      <c r="O29" s="5">
        <v>707</v>
      </c>
      <c r="P29" s="5">
        <f t="shared" si="3"/>
        <v>13.545150501672198</v>
      </c>
      <c r="Q29" s="5">
        <f t="shared" si="4"/>
        <v>8.41</v>
      </c>
      <c r="R29" s="5">
        <v>8.41</v>
      </c>
      <c r="S29" s="5">
        <f t="shared" si="8"/>
        <v>0.58999999999999986</v>
      </c>
      <c r="T29" s="5">
        <f t="shared" si="9"/>
        <v>0.58999999999999986</v>
      </c>
      <c r="U29" s="5">
        <f t="shared" si="6"/>
        <v>0.58999999999999986</v>
      </c>
      <c r="V29">
        <f t="shared" si="7"/>
        <v>0.84272400000000025</v>
      </c>
    </row>
    <row r="30" spans="3:22" x14ac:dyDescent="0.25">
      <c r="C30" s="5">
        <v>28</v>
      </c>
      <c r="D30" s="5" t="s">
        <v>19</v>
      </c>
      <c r="E30" s="5">
        <v>649.20000000000005</v>
      </c>
      <c r="F30" s="5">
        <v>652.67999999999995</v>
      </c>
      <c r="G30" s="5">
        <f t="shared" si="0"/>
        <v>46.551724137932318</v>
      </c>
      <c r="H30" s="5">
        <v>3.59</v>
      </c>
      <c r="I30" s="5">
        <v>5.03</v>
      </c>
      <c r="J30" s="5">
        <f t="shared" si="1"/>
        <v>4.3100000000000005</v>
      </c>
      <c r="K30">
        <f t="shared" si="2"/>
        <v>0.88360000000000072</v>
      </c>
      <c r="L30" s="5">
        <v>28</v>
      </c>
      <c r="M30" s="5" t="s">
        <v>20</v>
      </c>
      <c r="N30" s="5">
        <v>695.4</v>
      </c>
      <c r="O30" s="5">
        <v>698.36</v>
      </c>
      <c r="P30" s="5">
        <f t="shared" si="3"/>
        <v>54.729729729729058</v>
      </c>
      <c r="Q30" s="5">
        <f t="shared" si="4"/>
        <v>6.98</v>
      </c>
      <c r="R30" s="5">
        <v>6.98</v>
      </c>
      <c r="S30" s="5">
        <f t="shared" si="8"/>
        <v>2.0199999999999996</v>
      </c>
      <c r="T30" s="5">
        <f t="shared" si="9"/>
        <v>2.0199999999999996</v>
      </c>
      <c r="U30" s="5">
        <f t="shared" si="6"/>
        <v>2.0199999999999996</v>
      </c>
      <c r="V30">
        <f t="shared" si="7"/>
        <v>0.26214399999999954</v>
      </c>
    </row>
    <row r="31" spans="3:22" x14ac:dyDescent="0.25">
      <c r="C31" s="5">
        <v>29</v>
      </c>
      <c r="D31" s="5" t="s">
        <v>18</v>
      </c>
      <c r="E31" s="5">
        <v>651.08000000000004</v>
      </c>
      <c r="F31" s="5">
        <v>655.68</v>
      </c>
      <c r="G31" s="5">
        <f t="shared" si="0"/>
        <v>35.217391304348524</v>
      </c>
      <c r="H31" s="5">
        <v>2.2999999999999998</v>
      </c>
      <c r="I31" s="5">
        <v>2.2999999999999998</v>
      </c>
      <c r="J31" s="5">
        <f t="shared" si="1"/>
        <v>2.2999999999999998</v>
      </c>
      <c r="K31">
        <f t="shared" si="2"/>
        <v>1.1449000000000007</v>
      </c>
      <c r="L31" s="5">
        <v>29</v>
      </c>
      <c r="M31" s="5" t="s">
        <v>20</v>
      </c>
      <c r="N31" s="5">
        <v>696.12</v>
      </c>
      <c r="O31" s="5">
        <v>699.44</v>
      </c>
      <c r="P31" s="5">
        <f t="shared" si="3"/>
        <v>48.795180722890834</v>
      </c>
      <c r="Q31" s="5">
        <f t="shared" si="4"/>
        <v>7.32</v>
      </c>
      <c r="R31" s="5">
        <v>7.32</v>
      </c>
      <c r="S31" s="5">
        <f t="shared" si="8"/>
        <v>1.6799999999999997</v>
      </c>
      <c r="T31" s="5">
        <f t="shared" si="9"/>
        <v>1.6799999999999997</v>
      </c>
      <c r="U31" s="5">
        <f t="shared" si="6"/>
        <v>1.6799999999999997</v>
      </c>
      <c r="V31">
        <f t="shared" si="7"/>
        <v>2.9583999999999899E-2</v>
      </c>
    </row>
    <row r="32" spans="3:22" x14ac:dyDescent="0.25">
      <c r="C32" s="5">
        <v>30</v>
      </c>
      <c r="D32" s="5" t="s">
        <v>20</v>
      </c>
      <c r="E32" s="5">
        <v>651.44000000000005</v>
      </c>
      <c r="F32" s="5">
        <v>654.46</v>
      </c>
      <c r="G32" s="5">
        <f t="shared" si="0"/>
        <v>53.642384105960588</v>
      </c>
      <c r="H32" s="5">
        <v>4.84</v>
      </c>
      <c r="I32" s="5">
        <v>4.84</v>
      </c>
      <c r="J32" s="5">
        <f t="shared" si="1"/>
        <v>4.84</v>
      </c>
      <c r="K32">
        <f t="shared" si="2"/>
        <v>2.1608999999999994</v>
      </c>
      <c r="L32" s="5">
        <v>30</v>
      </c>
      <c r="M32" s="5" t="s">
        <v>20</v>
      </c>
      <c r="N32" s="5">
        <v>696.64</v>
      </c>
      <c r="O32" s="5">
        <v>700.12</v>
      </c>
      <c r="P32" s="5">
        <f t="shared" si="3"/>
        <v>46.55172413793079</v>
      </c>
      <c r="Q32" s="5">
        <f t="shared" si="4"/>
        <v>7.12</v>
      </c>
      <c r="R32" s="5">
        <v>7.12</v>
      </c>
      <c r="S32" s="5">
        <f t="shared" si="8"/>
        <v>1.88</v>
      </c>
      <c r="T32" s="5">
        <f t="shared" si="9"/>
        <v>1.88</v>
      </c>
      <c r="U32" s="5">
        <f t="shared" si="6"/>
        <v>1.88</v>
      </c>
      <c r="V32">
        <f t="shared" si="7"/>
        <v>0.13838399999999992</v>
      </c>
    </row>
    <row r="33" spans="3:22" x14ac:dyDescent="0.25">
      <c r="C33" s="5">
        <v>31</v>
      </c>
      <c r="D33" s="5" t="s">
        <v>19</v>
      </c>
      <c r="E33" s="5">
        <v>660.48</v>
      </c>
      <c r="F33" s="5">
        <v>664.72</v>
      </c>
      <c r="G33" s="5">
        <f t="shared" si="0"/>
        <v>38.207547169811235</v>
      </c>
      <c r="H33" s="5">
        <v>2.74</v>
      </c>
      <c r="I33" s="5">
        <v>4.0599999999999996</v>
      </c>
      <c r="J33" s="5">
        <f t="shared" si="1"/>
        <v>3.4</v>
      </c>
      <c r="K33">
        <f t="shared" si="2"/>
        <v>8.9999999999998827E-4</v>
      </c>
      <c r="L33" s="5">
        <v>31</v>
      </c>
      <c r="M33" s="5" t="s">
        <v>18</v>
      </c>
      <c r="N33" s="5">
        <v>703.44</v>
      </c>
      <c r="O33" s="5">
        <v>706.88</v>
      </c>
      <c r="P33" s="5">
        <f t="shared" si="3"/>
        <v>47.093023255814764</v>
      </c>
      <c r="Q33" s="5">
        <f t="shared" si="4"/>
        <v>7.3599999999999994</v>
      </c>
      <c r="R33" s="5">
        <v>5.96</v>
      </c>
      <c r="S33" s="5">
        <f t="shared" si="8"/>
        <v>1.6400000000000006</v>
      </c>
      <c r="T33" s="5">
        <f t="shared" si="9"/>
        <v>3.04</v>
      </c>
      <c r="U33" s="5">
        <f t="shared" si="6"/>
        <v>2.3400000000000003</v>
      </c>
      <c r="V33">
        <f t="shared" si="7"/>
        <v>0.69222400000000051</v>
      </c>
    </row>
    <row r="34" spans="3:22" x14ac:dyDescent="0.25">
      <c r="C34" s="5">
        <v>32</v>
      </c>
      <c r="D34" s="5" t="s">
        <v>20</v>
      </c>
      <c r="E34" s="5">
        <v>661.2</v>
      </c>
      <c r="F34" s="5">
        <v>664.4</v>
      </c>
      <c r="G34" s="5">
        <f t="shared" si="0"/>
        <v>50.62500000000108</v>
      </c>
      <c r="H34" s="5">
        <v>1.25</v>
      </c>
      <c r="I34" s="5">
        <v>1.25</v>
      </c>
      <c r="J34" s="5">
        <f t="shared" si="1"/>
        <v>1.25</v>
      </c>
      <c r="K34">
        <f t="shared" si="2"/>
        <v>4.4944000000000006</v>
      </c>
      <c r="L34" s="5">
        <v>32</v>
      </c>
      <c r="M34" s="5" t="s">
        <v>19</v>
      </c>
      <c r="N34" s="5">
        <v>704.16</v>
      </c>
      <c r="O34" s="5">
        <v>707.92</v>
      </c>
      <c r="P34" s="5">
        <f t="shared" si="3"/>
        <v>43.085106382978829</v>
      </c>
      <c r="Q34" s="5">
        <f t="shared" si="4"/>
        <v>7.7099999999999991</v>
      </c>
      <c r="R34" s="5">
        <v>6.27</v>
      </c>
      <c r="S34" s="5">
        <f t="shared" si="8"/>
        <v>1.2900000000000009</v>
      </c>
      <c r="T34" s="5">
        <f t="shared" si="9"/>
        <v>2.7300000000000004</v>
      </c>
      <c r="U34" s="5">
        <f t="shared" si="6"/>
        <v>2.0100000000000007</v>
      </c>
      <c r="V34">
        <f t="shared" si="7"/>
        <v>0.25200400000000067</v>
      </c>
    </row>
    <row r="35" spans="3:22" x14ac:dyDescent="0.25">
      <c r="C35" s="5">
        <v>33</v>
      </c>
      <c r="D35" s="5" t="s">
        <v>20</v>
      </c>
      <c r="E35" s="5">
        <v>661.96</v>
      </c>
      <c r="F35" s="5">
        <v>668.19</v>
      </c>
      <c r="G35" s="5">
        <f t="shared" si="0"/>
        <v>26.003210272873119</v>
      </c>
      <c r="H35" s="5">
        <v>2.11</v>
      </c>
      <c r="I35" s="5">
        <v>2.11</v>
      </c>
      <c r="J35" s="5">
        <f t="shared" si="1"/>
        <v>2.11</v>
      </c>
      <c r="K35">
        <f t="shared" si="2"/>
        <v>1.5876000000000006</v>
      </c>
      <c r="L35" s="5">
        <v>33</v>
      </c>
      <c r="M35" s="5" t="s">
        <v>20</v>
      </c>
      <c r="N35" s="5">
        <v>705.2</v>
      </c>
      <c r="O35" s="5">
        <v>709.04</v>
      </c>
      <c r="P35" s="5">
        <f t="shared" si="3"/>
        <v>42.187500000000902</v>
      </c>
      <c r="Q35" s="5">
        <f t="shared" si="4"/>
        <v>6.71</v>
      </c>
      <c r="R35" s="5">
        <v>6.71</v>
      </c>
      <c r="S35" s="5">
        <f t="shared" si="8"/>
        <v>2.29</v>
      </c>
      <c r="T35" s="5">
        <f t="shared" si="8"/>
        <v>2.29</v>
      </c>
      <c r="U35" s="5">
        <f t="shared" si="6"/>
        <v>2.29</v>
      </c>
      <c r="V35">
        <f t="shared" si="7"/>
        <v>0.61152400000000007</v>
      </c>
    </row>
    <row r="36" spans="3:22" x14ac:dyDescent="0.25">
      <c r="C36" s="5">
        <v>34</v>
      </c>
      <c r="D36" s="5" t="s">
        <v>20</v>
      </c>
      <c r="E36" s="5">
        <v>666.24</v>
      </c>
      <c r="F36" s="5">
        <v>669.76</v>
      </c>
      <c r="G36" s="5">
        <f t="shared" si="0"/>
        <v>46.022727272727515</v>
      </c>
      <c r="H36" s="5">
        <v>3.41</v>
      </c>
      <c r="I36" s="5">
        <v>3.41</v>
      </c>
      <c r="J36" s="5">
        <f t="shared" si="1"/>
        <v>3.41</v>
      </c>
      <c r="K36">
        <f t="shared" si="2"/>
        <v>1.6000000000000029E-3</v>
      </c>
      <c r="L36" s="5">
        <v>34</v>
      </c>
      <c r="M36" s="5" t="s">
        <v>20</v>
      </c>
      <c r="N36" s="5">
        <v>706.96</v>
      </c>
      <c r="O36" s="5">
        <v>710.96</v>
      </c>
      <c r="P36" s="5">
        <f t="shared" si="3"/>
        <v>40.5</v>
      </c>
      <c r="Q36" s="5">
        <f t="shared" si="4"/>
        <v>8.0299999999999994</v>
      </c>
      <c r="R36" s="5">
        <v>8.0299999999999994</v>
      </c>
      <c r="S36" s="5">
        <f t="shared" si="8"/>
        <v>0.97000000000000064</v>
      </c>
      <c r="T36" s="5">
        <f t="shared" si="8"/>
        <v>0.97000000000000064</v>
      </c>
      <c r="U36" s="5">
        <f t="shared" si="6"/>
        <v>0.97000000000000064</v>
      </c>
      <c r="V36">
        <f t="shared" si="7"/>
        <v>0.28944399999999931</v>
      </c>
    </row>
    <row r="37" spans="3:22" x14ac:dyDescent="0.25">
      <c r="C37" s="5">
        <v>35</v>
      </c>
      <c r="D37" s="5" t="s">
        <v>20</v>
      </c>
      <c r="E37" s="5">
        <v>669.24</v>
      </c>
      <c r="F37" s="5">
        <v>671.79</v>
      </c>
      <c r="G37" s="5">
        <f t="shared" si="0"/>
        <v>63.529411764707014</v>
      </c>
      <c r="H37" s="5">
        <v>4.24</v>
      </c>
      <c r="I37" s="5">
        <v>4.24</v>
      </c>
      <c r="J37" s="5">
        <f t="shared" si="1"/>
        <v>4.24</v>
      </c>
      <c r="K37">
        <f t="shared" si="2"/>
        <v>0.75690000000000024</v>
      </c>
      <c r="L37" s="5">
        <v>35</v>
      </c>
      <c r="M37" s="5" t="s">
        <v>20</v>
      </c>
      <c r="N37" s="5">
        <v>707.04</v>
      </c>
      <c r="O37" s="5">
        <v>710.52</v>
      </c>
      <c r="P37" s="5">
        <f t="shared" si="3"/>
        <v>46.55172413793079</v>
      </c>
      <c r="Q37" s="5">
        <f t="shared" si="4"/>
        <v>6.82</v>
      </c>
      <c r="R37" s="5">
        <v>6.82</v>
      </c>
      <c r="S37" s="5">
        <f t="shared" si="8"/>
        <v>2.1799999999999997</v>
      </c>
      <c r="T37" s="5">
        <f t="shared" si="8"/>
        <v>2.1799999999999997</v>
      </c>
      <c r="U37" s="5">
        <f t="shared" si="6"/>
        <v>2.1799999999999997</v>
      </c>
      <c r="V37">
        <f t="shared" si="7"/>
        <v>0.4515839999999996</v>
      </c>
    </row>
    <row r="38" spans="3:22" x14ac:dyDescent="0.25">
      <c r="C38" s="5">
        <v>36</v>
      </c>
      <c r="D38" s="5" t="s">
        <v>19</v>
      </c>
      <c r="E38" s="5">
        <v>669.44</v>
      </c>
      <c r="F38" s="5">
        <v>672.76</v>
      </c>
      <c r="G38" s="5">
        <f t="shared" si="0"/>
        <v>48.795180722892503</v>
      </c>
      <c r="H38" s="5">
        <v>3.07</v>
      </c>
      <c r="I38" s="5">
        <v>4.38</v>
      </c>
      <c r="J38" s="5">
        <f t="shared" si="1"/>
        <v>3.7249999999999996</v>
      </c>
      <c r="K38">
        <f t="shared" si="2"/>
        <v>0.12602499999999967</v>
      </c>
      <c r="L38" s="5">
        <v>36</v>
      </c>
      <c r="M38" s="5" t="s">
        <v>20</v>
      </c>
      <c r="N38" s="5">
        <v>711.72</v>
      </c>
      <c r="O38" s="5">
        <v>715.92</v>
      </c>
      <c r="P38" s="5">
        <f t="shared" si="3"/>
        <v>38.571428571429195</v>
      </c>
      <c r="Q38" s="5">
        <f t="shared" si="4"/>
        <v>7.6</v>
      </c>
      <c r="R38" s="5">
        <v>7.6</v>
      </c>
      <c r="S38" s="5">
        <f t="shared" si="8"/>
        <v>1.4000000000000004</v>
      </c>
      <c r="T38" s="5">
        <f t="shared" si="8"/>
        <v>1.4000000000000004</v>
      </c>
      <c r="U38" s="5">
        <f t="shared" si="6"/>
        <v>1.4000000000000004</v>
      </c>
      <c r="V38">
        <f t="shared" si="7"/>
        <v>1.1663999999999924E-2</v>
      </c>
    </row>
    <row r="39" spans="3:22" x14ac:dyDescent="0.25">
      <c r="C39" s="5">
        <v>37</v>
      </c>
      <c r="D39" s="5" t="s">
        <v>20</v>
      </c>
      <c r="E39" s="5">
        <v>670.6</v>
      </c>
      <c r="F39" s="5">
        <v>673.92</v>
      </c>
      <c r="G39" s="5">
        <f t="shared" si="0"/>
        <v>48.795180722892503</v>
      </c>
      <c r="H39" s="5">
        <v>3.32</v>
      </c>
      <c r="I39" s="5">
        <v>3.32</v>
      </c>
      <c r="J39" s="5">
        <f t="shared" si="1"/>
        <v>3.32</v>
      </c>
      <c r="K39">
        <f t="shared" si="2"/>
        <v>2.5000000000000265E-3</v>
      </c>
      <c r="L39" s="5">
        <v>37</v>
      </c>
      <c r="M39" s="5" t="s">
        <v>24</v>
      </c>
      <c r="N39" s="5">
        <v>715.04</v>
      </c>
      <c r="O39" s="5">
        <v>724.4</v>
      </c>
      <c r="P39" s="5">
        <f t="shared" si="3"/>
        <v>17.307692307692282</v>
      </c>
      <c r="Q39" s="5">
        <f t="shared" si="4"/>
        <v>8.59</v>
      </c>
      <c r="R39" s="5">
        <v>8.59</v>
      </c>
      <c r="S39" s="5">
        <f t="shared" si="8"/>
        <v>0.41000000000000014</v>
      </c>
      <c r="T39" s="5">
        <f t="shared" si="8"/>
        <v>0.41000000000000014</v>
      </c>
      <c r="U39" s="5">
        <f t="shared" si="6"/>
        <v>0.41000000000000014</v>
      </c>
      <c r="V39">
        <f t="shared" si="7"/>
        <v>1.2056039999999997</v>
      </c>
    </row>
    <row r="40" spans="3:22" x14ac:dyDescent="0.25">
      <c r="C40" s="5">
        <v>38</v>
      </c>
      <c r="D40" s="5" t="s">
        <v>20</v>
      </c>
      <c r="E40" s="5">
        <v>671.8</v>
      </c>
      <c r="F40" s="5">
        <v>675.32</v>
      </c>
      <c r="G40" s="5">
        <f t="shared" si="0"/>
        <v>46.022727272726023</v>
      </c>
      <c r="H40" s="5">
        <v>3.44</v>
      </c>
      <c r="I40" s="5">
        <v>3.44</v>
      </c>
      <c r="J40" s="5">
        <f t="shared" si="1"/>
        <v>3.44</v>
      </c>
      <c r="K40">
        <f t="shared" si="2"/>
        <v>4.8999999999999773E-3</v>
      </c>
      <c r="L40" s="5">
        <v>38</v>
      </c>
      <c r="M40" s="5" t="s">
        <v>20</v>
      </c>
      <c r="N40" s="5">
        <v>722.04</v>
      </c>
      <c r="O40" s="5">
        <v>726.08</v>
      </c>
      <c r="P40" s="5">
        <f t="shared" si="3"/>
        <v>40.09900990098933</v>
      </c>
      <c r="Q40" s="5">
        <f t="shared" si="4"/>
        <v>7.79</v>
      </c>
      <c r="R40" s="5">
        <v>7.79</v>
      </c>
      <c r="S40" s="5">
        <f t="shared" si="8"/>
        <v>1.21</v>
      </c>
      <c r="T40" s="5">
        <f t="shared" si="8"/>
        <v>1.21</v>
      </c>
      <c r="U40" s="5">
        <f t="shared" si="6"/>
        <v>1.21</v>
      </c>
      <c r="V40">
        <f t="shared" si="7"/>
        <v>8.8804000000000022E-2</v>
      </c>
    </row>
    <row r="41" spans="3:22" x14ac:dyDescent="0.25">
      <c r="C41" s="5">
        <v>39</v>
      </c>
      <c r="D41" s="5" t="s">
        <v>20</v>
      </c>
      <c r="E41" s="5">
        <v>673.24</v>
      </c>
      <c r="F41" s="5">
        <v>676.96</v>
      </c>
      <c r="G41" s="5">
        <f t="shared" si="0"/>
        <v>43.54838709677388</v>
      </c>
      <c r="H41" s="5">
        <v>3.28</v>
      </c>
      <c r="I41" s="5">
        <v>3.28</v>
      </c>
      <c r="J41" s="5">
        <f t="shared" si="1"/>
        <v>3.28</v>
      </c>
      <c r="K41">
        <f t="shared" si="2"/>
        <v>8.1000000000000551E-3</v>
      </c>
      <c r="L41" s="5">
        <v>39</v>
      </c>
      <c r="M41" s="5" t="s">
        <v>20</v>
      </c>
      <c r="N41" s="5">
        <v>723</v>
      </c>
      <c r="O41" s="5">
        <v>728.08</v>
      </c>
      <c r="P41" s="5">
        <f t="shared" si="3"/>
        <v>31.889763779527303</v>
      </c>
      <c r="Q41" s="5">
        <f t="shared" si="4"/>
        <v>8.2899999999999991</v>
      </c>
      <c r="R41" s="5">
        <v>8.2899999999999991</v>
      </c>
      <c r="S41" s="5">
        <f t="shared" si="8"/>
        <v>0.71000000000000085</v>
      </c>
      <c r="T41" s="5">
        <f t="shared" si="8"/>
        <v>0.71000000000000085</v>
      </c>
      <c r="U41" s="5">
        <f t="shared" si="6"/>
        <v>0.71000000000000085</v>
      </c>
      <c r="V41">
        <f t="shared" si="7"/>
        <v>0.6368039999999987</v>
      </c>
    </row>
    <row r="42" spans="3:22" x14ac:dyDescent="0.25">
      <c r="C42" s="5">
        <v>40</v>
      </c>
      <c r="D42" s="5" t="s">
        <v>19</v>
      </c>
      <c r="E42" s="5">
        <v>674.12</v>
      </c>
      <c r="F42" s="5">
        <v>677.88</v>
      </c>
      <c r="G42" s="5">
        <f t="shared" si="0"/>
        <v>43.085106382978829</v>
      </c>
      <c r="H42" s="5">
        <v>3.26</v>
      </c>
      <c r="I42" s="5">
        <v>4.83</v>
      </c>
      <c r="J42" s="5">
        <f t="shared" si="1"/>
        <v>4.0449999999999999</v>
      </c>
      <c r="K42">
        <f t="shared" si="2"/>
        <v>0.45562499999999978</v>
      </c>
      <c r="L42" s="5">
        <v>40</v>
      </c>
      <c r="M42" s="5" t="s">
        <v>20</v>
      </c>
      <c r="N42" s="5">
        <v>726.12</v>
      </c>
      <c r="O42" s="5">
        <v>729.96</v>
      </c>
      <c r="P42" s="5">
        <f t="shared" si="3"/>
        <v>42.187499999999652</v>
      </c>
      <c r="Q42" s="5">
        <f t="shared" si="4"/>
        <v>8.85</v>
      </c>
      <c r="R42" s="5">
        <v>8.85</v>
      </c>
      <c r="S42" s="5">
        <f t="shared" si="8"/>
        <v>0.15000000000000036</v>
      </c>
      <c r="T42" s="5">
        <f t="shared" si="8"/>
        <v>0.15000000000000036</v>
      </c>
      <c r="U42" s="5">
        <f t="shared" si="6"/>
        <v>0.15000000000000036</v>
      </c>
      <c r="V42">
        <f t="shared" si="7"/>
        <v>1.844163999999999</v>
      </c>
    </row>
    <row r="43" spans="3:22" x14ac:dyDescent="0.25">
      <c r="C43" s="5">
        <v>41</v>
      </c>
      <c r="D43" s="5" t="s">
        <v>22</v>
      </c>
      <c r="E43" s="5">
        <v>677.68</v>
      </c>
      <c r="F43" s="5">
        <v>681.6</v>
      </c>
      <c r="G43" s="5">
        <f t="shared" si="0"/>
        <v>41.326530612244127</v>
      </c>
      <c r="H43" s="5">
        <v>2.97</v>
      </c>
      <c r="I43" s="5">
        <v>5.4</v>
      </c>
      <c r="J43" s="5">
        <f t="shared" si="1"/>
        <v>4.1850000000000005</v>
      </c>
      <c r="K43">
        <f t="shared" si="2"/>
        <v>0.66422500000000062</v>
      </c>
      <c r="L43" s="5">
        <v>41</v>
      </c>
      <c r="M43" s="5" t="s">
        <v>21</v>
      </c>
      <c r="N43" s="5">
        <v>727.48</v>
      </c>
      <c r="O43" s="5">
        <v>732.56</v>
      </c>
      <c r="P43" s="5">
        <f t="shared" si="3"/>
        <v>31.889763779528014</v>
      </c>
      <c r="Q43" s="5">
        <f t="shared" si="4"/>
        <v>8.6199999999999992</v>
      </c>
      <c r="R43" s="5">
        <v>6.27</v>
      </c>
      <c r="S43" s="5">
        <f t="shared" si="8"/>
        <v>0.38000000000000078</v>
      </c>
      <c r="T43" s="5">
        <f t="shared" si="8"/>
        <v>2.7300000000000004</v>
      </c>
      <c r="U43" s="5">
        <f t="shared" si="6"/>
        <v>1.5550000000000006</v>
      </c>
      <c r="V43">
        <f t="shared" si="7"/>
        <v>2.209000000000056E-3</v>
      </c>
    </row>
    <row r="44" spans="3:22" x14ac:dyDescent="0.25">
      <c r="C44" s="5">
        <v>42</v>
      </c>
      <c r="D44" s="5" t="s">
        <v>19</v>
      </c>
      <c r="E44" s="5">
        <v>681.04</v>
      </c>
      <c r="F44" s="5">
        <v>684.96</v>
      </c>
      <c r="G44" s="5">
        <f t="shared" si="0"/>
        <v>41.326530612244127</v>
      </c>
      <c r="H44" s="5">
        <v>2.64</v>
      </c>
      <c r="I44" s="5">
        <v>4.16</v>
      </c>
      <c r="J44" s="5">
        <f t="shared" si="1"/>
        <v>3.4000000000000004</v>
      </c>
      <c r="K44">
        <f t="shared" si="2"/>
        <v>9.0000000000001494E-4</v>
      </c>
      <c r="L44" s="5">
        <v>42</v>
      </c>
      <c r="M44" s="5" t="s">
        <v>19</v>
      </c>
      <c r="N44" s="5">
        <v>728.64</v>
      </c>
      <c r="O44" s="5">
        <v>733.64</v>
      </c>
      <c r="P44" s="5">
        <f t="shared" si="3"/>
        <v>32.4</v>
      </c>
      <c r="Q44" s="5">
        <f t="shared" si="4"/>
        <v>8.7200000000000006</v>
      </c>
      <c r="R44" s="5">
        <v>7.28</v>
      </c>
      <c r="S44" s="5">
        <f t="shared" si="8"/>
        <v>0.27999999999999936</v>
      </c>
      <c r="T44" s="5">
        <f t="shared" si="8"/>
        <v>1.7199999999999998</v>
      </c>
      <c r="U44" s="5">
        <f t="shared" si="6"/>
        <v>0.99999999999999956</v>
      </c>
      <c r="V44">
        <f t="shared" si="7"/>
        <v>0.25806400000000046</v>
      </c>
    </row>
    <row r="45" spans="3:22" x14ac:dyDescent="0.25">
      <c r="C45" s="5">
        <v>43</v>
      </c>
      <c r="D45" s="5" t="s">
        <v>20</v>
      </c>
      <c r="E45" s="5">
        <v>682.32</v>
      </c>
      <c r="F45" s="5">
        <v>686.36</v>
      </c>
      <c r="G45" s="5">
        <f t="shared" si="0"/>
        <v>40.09900990099046</v>
      </c>
      <c r="H45" s="5">
        <v>1.74</v>
      </c>
      <c r="I45" s="5">
        <v>1.74</v>
      </c>
      <c r="J45" s="5">
        <f t="shared" si="1"/>
        <v>1.74</v>
      </c>
      <c r="K45">
        <f t="shared" si="2"/>
        <v>2.6569000000000003</v>
      </c>
      <c r="L45" s="5">
        <v>43</v>
      </c>
      <c r="M45" s="5" t="s">
        <v>19</v>
      </c>
      <c r="N45" s="5">
        <v>729.68</v>
      </c>
      <c r="O45" s="5">
        <v>734.48</v>
      </c>
      <c r="P45" s="5">
        <f t="shared" si="3"/>
        <v>33.749999999999524</v>
      </c>
      <c r="Q45" s="5">
        <f t="shared" si="4"/>
        <v>8.68</v>
      </c>
      <c r="R45" s="5">
        <v>7.24</v>
      </c>
      <c r="S45" s="5">
        <f t="shared" si="8"/>
        <v>0.32000000000000028</v>
      </c>
      <c r="T45" s="5">
        <f t="shared" si="8"/>
        <v>1.7599999999999998</v>
      </c>
      <c r="U45" s="5">
        <f t="shared" si="6"/>
        <v>1.04</v>
      </c>
      <c r="V45">
        <f t="shared" si="7"/>
        <v>0.21902399999999997</v>
      </c>
    </row>
    <row r="46" spans="3:22" x14ac:dyDescent="0.25">
      <c r="C46" s="5">
        <v>44</v>
      </c>
      <c r="D46" s="5" t="s">
        <v>22</v>
      </c>
      <c r="E46" s="5">
        <v>685.2</v>
      </c>
      <c r="F46" s="5">
        <v>690.6</v>
      </c>
      <c r="G46" s="5">
        <f t="shared" si="0"/>
        <v>30.000000000000124</v>
      </c>
      <c r="H46" s="5">
        <v>3.28</v>
      </c>
      <c r="I46" s="5">
        <v>5.27</v>
      </c>
      <c r="J46" s="5">
        <f t="shared" si="1"/>
        <v>4.2749999999999995</v>
      </c>
      <c r="K46">
        <f t="shared" si="2"/>
        <v>0.81902499999999889</v>
      </c>
      <c r="L46" s="5">
        <v>44</v>
      </c>
      <c r="M46" s="5" t="s">
        <v>20</v>
      </c>
      <c r="N46" s="5">
        <v>730.24</v>
      </c>
      <c r="O46" s="5">
        <v>735.12</v>
      </c>
      <c r="P46" s="5">
        <f t="shared" si="3"/>
        <v>33.196721311475443</v>
      </c>
      <c r="Q46" s="5">
        <f t="shared" si="4"/>
        <v>8.4499999999999993</v>
      </c>
      <c r="R46" s="5">
        <v>8.4499999999999993</v>
      </c>
      <c r="S46" s="5">
        <f t="shared" si="8"/>
        <v>0.55000000000000071</v>
      </c>
      <c r="T46" s="5">
        <f t="shared" si="8"/>
        <v>0.55000000000000071</v>
      </c>
      <c r="U46" s="5">
        <f t="shared" si="6"/>
        <v>0.55000000000000071</v>
      </c>
      <c r="V46">
        <f t="shared" si="7"/>
        <v>0.91776399999999869</v>
      </c>
    </row>
    <row r="47" spans="3:22" x14ac:dyDescent="0.25">
      <c r="C47" s="5">
        <v>45</v>
      </c>
      <c r="D47" s="5" t="s">
        <v>24</v>
      </c>
      <c r="E47" s="5">
        <v>686</v>
      </c>
      <c r="F47" s="5">
        <v>698.88</v>
      </c>
      <c r="G47" s="5">
        <f t="shared" si="0"/>
        <v>12.5776397515528</v>
      </c>
      <c r="H47" s="5">
        <v>0.9</v>
      </c>
      <c r="I47" s="5">
        <v>0.9</v>
      </c>
      <c r="J47" s="5">
        <f t="shared" si="1"/>
        <v>0.9</v>
      </c>
      <c r="K47">
        <f t="shared" si="2"/>
        <v>6.1009000000000011</v>
      </c>
      <c r="L47" s="5">
        <v>45</v>
      </c>
      <c r="M47" s="5" t="s">
        <v>20</v>
      </c>
      <c r="N47" s="5">
        <v>733.24</v>
      </c>
      <c r="O47" s="5">
        <v>738</v>
      </c>
      <c r="P47" s="5">
        <f t="shared" si="3"/>
        <v>34.033613445378215</v>
      </c>
      <c r="Q47" s="5">
        <f t="shared" si="4"/>
        <v>8.0299999999999994</v>
      </c>
      <c r="R47" s="5">
        <v>8.0299999999999994</v>
      </c>
      <c r="S47" s="5">
        <f t="shared" si="8"/>
        <v>0.97000000000000064</v>
      </c>
      <c r="T47" s="5">
        <f t="shared" si="8"/>
        <v>0.97000000000000064</v>
      </c>
      <c r="U47" s="5">
        <f t="shared" si="6"/>
        <v>0.97000000000000064</v>
      </c>
      <c r="V47">
        <f t="shared" si="7"/>
        <v>0.28944399999999931</v>
      </c>
    </row>
    <row r="48" spans="3:22" x14ac:dyDescent="0.25">
      <c r="C48" s="5">
        <v>46</v>
      </c>
      <c r="D48" s="5" t="s">
        <v>19</v>
      </c>
      <c r="E48" s="5">
        <v>688.36</v>
      </c>
      <c r="F48" s="5">
        <v>692.6</v>
      </c>
      <c r="G48" s="5">
        <f t="shared" si="0"/>
        <v>38.207547169811235</v>
      </c>
      <c r="H48" s="5">
        <v>3.68</v>
      </c>
      <c r="I48" s="5">
        <v>4.96</v>
      </c>
      <c r="J48" s="5">
        <f t="shared" si="1"/>
        <v>4.32</v>
      </c>
      <c r="K48">
        <f t="shared" si="2"/>
        <v>0.9025000000000003</v>
      </c>
      <c r="L48" s="5">
        <v>46</v>
      </c>
      <c r="M48" s="5" t="s">
        <v>20</v>
      </c>
      <c r="N48" s="5">
        <v>734.36</v>
      </c>
      <c r="O48" s="5">
        <v>739.08</v>
      </c>
      <c r="P48" s="5">
        <f t="shared" si="3"/>
        <v>34.322033898304888</v>
      </c>
      <c r="Q48" s="5">
        <f t="shared" si="4"/>
        <v>8</v>
      </c>
      <c r="R48" s="5">
        <v>8</v>
      </c>
      <c r="S48" s="5">
        <f t="shared" si="8"/>
        <v>1</v>
      </c>
      <c r="T48" s="5">
        <f t="shared" si="8"/>
        <v>1</v>
      </c>
      <c r="U48" s="5">
        <f t="shared" si="6"/>
        <v>1</v>
      </c>
      <c r="V48">
        <f t="shared" si="7"/>
        <v>0.25806400000000002</v>
      </c>
    </row>
    <row r="49" spans="3:22" x14ac:dyDescent="0.25">
      <c r="C49" s="5">
        <v>47</v>
      </c>
      <c r="D49" s="5" t="s">
        <v>41</v>
      </c>
      <c r="E49" s="5">
        <v>691.36</v>
      </c>
      <c r="F49" s="5">
        <v>711.4</v>
      </c>
      <c r="G49" s="5">
        <f t="shared" si="0"/>
        <v>8.0838323353293564</v>
      </c>
      <c r="H49" s="5">
        <v>1</v>
      </c>
      <c r="I49" s="5">
        <v>1</v>
      </c>
      <c r="J49" s="5">
        <f t="shared" si="1"/>
        <v>1</v>
      </c>
      <c r="K49">
        <f t="shared" si="2"/>
        <v>5.6169000000000002</v>
      </c>
      <c r="L49" s="5">
        <v>47</v>
      </c>
      <c r="M49" s="5" t="s">
        <v>19</v>
      </c>
      <c r="N49" s="5">
        <v>736.72</v>
      </c>
      <c r="O49" s="5">
        <v>740.2</v>
      </c>
      <c r="P49" s="5">
        <f t="shared" si="3"/>
        <v>46.55172413793079</v>
      </c>
      <c r="Q49" s="5">
        <f t="shared" si="4"/>
        <v>7.15</v>
      </c>
      <c r="R49" s="5">
        <v>5.71</v>
      </c>
      <c r="S49" s="5">
        <f t="shared" si="8"/>
        <v>1.8499999999999996</v>
      </c>
      <c r="T49" s="5">
        <f t="shared" si="8"/>
        <v>3.29</v>
      </c>
      <c r="U49" s="5">
        <f t="shared" si="6"/>
        <v>2.57</v>
      </c>
      <c r="V49">
        <f t="shared" si="7"/>
        <v>1.1278439999999996</v>
      </c>
    </row>
    <row r="50" spans="3:22" x14ac:dyDescent="0.25">
      <c r="C50" s="5">
        <v>48</v>
      </c>
      <c r="D50" s="5" t="s">
        <v>19</v>
      </c>
      <c r="E50" s="5">
        <v>691.68</v>
      </c>
      <c r="F50" s="5">
        <v>695.56</v>
      </c>
      <c r="G50" s="5">
        <f t="shared" si="0"/>
        <v>41.752577319587679</v>
      </c>
      <c r="H50" s="5">
        <v>3.38</v>
      </c>
      <c r="I50" s="5">
        <v>4.68</v>
      </c>
      <c r="J50" s="5">
        <f t="shared" si="1"/>
        <v>4.0299999999999994</v>
      </c>
      <c r="K50">
        <f t="shared" si="2"/>
        <v>0.43559999999999899</v>
      </c>
      <c r="L50" s="5">
        <v>48</v>
      </c>
      <c r="M50" s="5" t="s">
        <v>41</v>
      </c>
      <c r="N50" s="5">
        <v>740.08</v>
      </c>
      <c r="O50" s="5">
        <v>751.04</v>
      </c>
      <c r="P50" s="5">
        <f t="shared" si="3"/>
        <v>14.781021897810323</v>
      </c>
      <c r="Q50" s="5">
        <f t="shared" si="4"/>
        <v>8.31</v>
      </c>
      <c r="R50" s="5">
        <v>8.31</v>
      </c>
      <c r="S50" s="5">
        <f t="shared" si="8"/>
        <v>0.6899999999999995</v>
      </c>
      <c r="T50" s="5">
        <f t="shared" si="8"/>
        <v>0.6899999999999995</v>
      </c>
      <c r="U50" s="5">
        <f t="shared" si="6"/>
        <v>0.6899999999999995</v>
      </c>
      <c r="V50">
        <f t="shared" si="7"/>
        <v>0.66912400000000083</v>
      </c>
    </row>
    <row r="51" spans="3:22" x14ac:dyDescent="0.25">
      <c r="C51" s="5">
        <v>49</v>
      </c>
      <c r="D51" s="5" t="s">
        <v>18</v>
      </c>
      <c r="E51" s="5">
        <v>693.92</v>
      </c>
      <c r="F51" s="5">
        <v>698.6</v>
      </c>
      <c r="G51" s="5">
        <f t="shared" si="0"/>
        <v>34.615384615384151</v>
      </c>
      <c r="H51" s="5">
        <v>3.05</v>
      </c>
      <c r="I51" s="5">
        <v>4.25</v>
      </c>
      <c r="J51" s="5">
        <f t="shared" si="1"/>
        <v>3.65</v>
      </c>
      <c r="K51">
        <f t="shared" si="2"/>
        <v>7.8399999999999886E-2</v>
      </c>
      <c r="L51" s="5">
        <v>49</v>
      </c>
      <c r="M51" s="5" t="s">
        <v>22</v>
      </c>
      <c r="N51" s="5">
        <v>742.52</v>
      </c>
      <c r="O51" s="5">
        <v>746.32</v>
      </c>
      <c r="P51" s="5">
        <f t="shared" si="3"/>
        <v>42.631578947367657</v>
      </c>
      <c r="Q51" s="5">
        <f t="shared" si="4"/>
        <v>8.3800000000000008</v>
      </c>
      <c r="R51" s="5">
        <v>5.95</v>
      </c>
      <c r="S51" s="5">
        <f t="shared" si="8"/>
        <v>0.61999999999999922</v>
      </c>
      <c r="T51" s="5">
        <f t="shared" si="8"/>
        <v>3.05</v>
      </c>
      <c r="U51" s="5">
        <f t="shared" si="6"/>
        <v>1.8349999999999995</v>
      </c>
      <c r="V51">
        <f t="shared" si="7"/>
        <v>0.10692899999999968</v>
      </c>
    </row>
    <row r="52" spans="3:22" x14ac:dyDescent="0.25">
      <c r="C52" s="5">
        <v>50</v>
      </c>
      <c r="D52" s="5" t="s">
        <v>19</v>
      </c>
      <c r="E52" s="5">
        <v>694.96</v>
      </c>
      <c r="F52" s="5">
        <v>699.48</v>
      </c>
      <c r="G52" s="5">
        <f t="shared" si="0"/>
        <v>35.840707964601911</v>
      </c>
      <c r="H52" s="5">
        <v>3.75</v>
      </c>
      <c r="I52" s="5">
        <v>5.22</v>
      </c>
      <c r="J52" s="5">
        <f t="shared" si="1"/>
        <v>4.4849999999999994</v>
      </c>
      <c r="K52">
        <f t="shared" si="2"/>
        <v>1.2432249999999985</v>
      </c>
      <c r="L52" s="5">
        <v>50</v>
      </c>
      <c r="M52" s="5" t="s">
        <v>19</v>
      </c>
      <c r="N52" s="5">
        <v>744.76</v>
      </c>
      <c r="O52" s="5">
        <v>748.88</v>
      </c>
      <c r="P52" s="5">
        <f t="shared" si="3"/>
        <v>39.320388349514516</v>
      </c>
      <c r="Q52" s="5">
        <f t="shared" si="4"/>
        <v>8.42</v>
      </c>
      <c r="R52" s="5">
        <v>6.98</v>
      </c>
      <c r="S52" s="5">
        <f t="shared" si="8"/>
        <v>0.58000000000000007</v>
      </c>
      <c r="T52" s="5">
        <f t="shared" si="8"/>
        <v>2.0199999999999996</v>
      </c>
      <c r="U52" s="5">
        <f t="shared" si="6"/>
        <v>1.2999999999999998</v>
      </c>
      <c r="V52">
        <f t="shared" si="7"/>
        <v>4.326400000000008E-2</v>
      </c>
    </row>
    <row r="53" spans="3:22" x14ac:dyDescent="0.25">
      <c r="C53" s="5">
        <v>51</v>
      </c>
      <c r="D53" s="5" t="s">
        <v>20</v>
      </c>
      <c r="E53" s="5">
        <v>695.56</v>
      </c>
      <c r="F53" s="5">
        <v>700.48</v>
      </c>
      <c r="G53" s="5">
        <f t="shared" si="0"/>
        <v>32.926829268292195</v>
      </c>
      <c r="H53" s="5">
        <v>2.66</v>
      </c>
      <c r="I53" s="5">
        <v>2.66</v>
      </c>
      <c r="J53" s="5">
        <f t="shared" si="1"/>
        <v>2.66</v>
      </c>
      <c r="K53">
        <f t="shared" si="2"/>
        <v>0.50409999999999999</v>
      </c>
      <c r="L53" s="5">
        <v>51</v>
      </c>
      <c r="M53" s="5" t="s">
        <v>20</v>
      </c>
      <c r="N53" s="5">
        <v>746.4</v>
      </c>
      <c r="O53" s="5">
        <v>750.36</v>
      </c>
      <c r="P53" s="5">
        <f t="shared" si="3"/>
        <v>40.90909090909053</v>
      </c>
      <c r="Q53" s="5">
        <f t="shared" si="4"/>
        <v>7.97</v>
      </c>
      <c r="R53" s="5">
        <v>7.97</v>
      </c>
      <c r="S53" s="5">
        <f t="shared" si="8"/>
        <v>1.0300000000000002</v>
      </c>
      <c r="T53" s="5">
        <f t="shared" si="8"/>
        <v>1.0300000000000002</v>
      </c>
      <c r="U53" s="5">
        <f t="shared" si="6"/>
        <v>1.0300000000000002</v>
      </c>
      <c r="V53">
        <f t="shared" si="7"/>
        <v>0.22848399999999977</v>
      </c>
    </row>
    <row r="54" spans="3:22" x14ac:dyDescent="0.25">
      <c r="C54" s="5">
        <v>52</v>
      </c>
      <c r="D54" s="5" t="s">
        <v>19</v>
      </c>
      <c r="E54" s="5">
        <v>697.76</v>
      </c>
      <c r="F54" s="5">
        <v>701.48</v>
      </c>
      <c r="G54" s="5">
        <f t="shared" si="0"/>
        <v>43.54838709677388</v>
      </c>
      <c r="H54" s="5">
        <v>3.36</v>
      </c>
      <c r="I54" s="5">
        <v>4.76</v>
      </c>
      <c r="J54" s="5">
        <f t="shared" si="1"/>
        <v>4.0599999999999996</v>
      </c>
      <c r="K54">
        <f t="shared" si="2"/>
        <v>0.4760999999999993</v>
      </c>
      <c r="L54" s="5">
        <v>52</v>
      </c>
      <c r="M54" s="5" t="s">
        <v>20</v>
      </c>
      <c r="N54" s="5">
        <v>746.52</v>
      </c>
      <c r="O54" s="5">
        <v>752.02</v>
      </c>
      <c r="P54" s="5">
        <f t="shared" si="3"/>
        <v>29.454545454545453</v>
      </c>
      <c r="Q54" s="5">
        <f t="shared" si="4"/>
        <v>6.81</v>
      </c>
      <c r="R54" s="5">
        <v>6.81</v>
      </c>
      <c r="S54" s="5">
        <f t="shared" si="8"/>
        <v>2.1900000000000004</v>
      </c>
      <c r="T54" s="5">
        <f t="shared" si="8"/>
        <v>2.1900000000000004</v>
      </c>
      <c r="U54" s="5">
        <f t="shared" si="6"/>
        <v>2.1900000000000004</v>
      </c>
      <c r="V54">
        <f t="shared" si="7"/>
        <v>0.46512400000000054</v>
      </c>
    </row>
    <row r="55" spans="3:22" x14ac:dyDescent="0.25">
      <c r="C55" s="5">
        <v>53</v>
      </c>
      <c r="D55" s="5" t="s">
        <v>19</v>
      </c>
      <c r="E55" s="5">
        <v>699.88</v>
      </c>
      <c r="F55" s="5">
        <v>703.92</v>
      </c>
      <c r="G55" s="5">
        <f t="shared" si="0"/>
        <v>40.09900990099046</v>
      </c>
      <c r="H55" s="5">
        <v>2.97</v>
      </c>
      <c r="I55" s="5">
        <v>4.22</v>
      </c>
      <c r="J55" s="5">
        <f t="shared" si="1"/>
        <v>3.5949999999999998</v>
      </c>
      <c r="K55">
        <f t="shared" si="2"/>
        <v>5.0624999999999837E-2</v>
      </c>
      <c r="L55" s="5">
        <v>53</v>
      </c>
      <c r="M55" s="5" t="s">
        <v>19</v>
      </c>
      <c r="N55" s="5">
        <v>748.04</v>
      </c>
      <c r="O55" s="5">
        <v>752.44</v>
      </c>
      <c r="P55" s="5">
        <f t="shared" si="3"/>
        <v>36.818181818181053</v>
      </c>
      <c r="Q55" s="5">
        <f t="shared" si="4"/>
        <v>7.7099999999999991</v>
      </c>
      <c r="R55" s="5">
        <v>6.27</v>
      </c>
      <c r="S55" s="5">
        <f t="shared" si="8"/>
        <v>1.2900000000000009</v>
      </c>
      <c r="T55" s="5">
        <f t="shared" si="8"/>
        <v>2.7300000000000004</v>
      </c>
      <c r="U55" s="5">
        <f t="shared" si="6"/>
        <v>2.0100000000000007</v>
      </c>
      <c r="V55">
        <f t="shared" si="7"/>
        <v>0.25200400000000067</v>
      </c>
    </row>
    <row r="56" spans="3:22" x14ac:dyDescent="0.25">
      <c r="C56" s="5">
        <v>54</v>
      </c>
      <c r="D56" s="5" t="s">
        <v>19</v>
      </c>
      <c r="E56" s="5">
        <v>700.88</v>
      </c>
      <c r="F56" s="5">
        <v>704.84</v>
      </c>
      <c r="G56" s="5">
        <f t="shared" si="0"/>
        <v>40.90909090909053</v>
      </c>
      <c r="H56" s="5">
        <v>3.33</v>
      </c>
      <c r="I56" s="5">
        <v>4.59</v>
      </c>
      <c r="J56" s="5">
        <f t="shared" si="1"/>
        <v>3.96</v>
      </c>
      <c r="K56">
        <f t="shared" si="2"/>
        <v>0.34809999999999985</v>
      </c>
      <c r="L56" s="5">
        <v>54</v>
      </c>
      <c r="M56" s="5" t="s">
        <v>20</v>
      </c>
      <c r="N56" s="5">
        <v>749.44</v>
      </c>
      <c r="O56" s="5">
        <v>753.76</v>
      </c>
      <c r="P56" s="5">
        <f t="shared" si="3"/>
        <v>37.500000000000554</v>
      </c>
      <c r="Q56" s="5">
        <f t="shared" si="4"/>
        <v>7.97</v>
      </c>
      <c r="R56" s="5">
        <v>7.97</v>
      </c>
      <c r="S56" s="5">
        <f t="shared" si="8"/>
        <v>1.0300000000000002</v>
      </c>
      <c r="T56" s="5">
        <f t="shared" si="8"/>
        <v>1.0300000000000002</v>
      </c>
      <c r="U56" s="5">
        <f t="shared" si="6"/>
        <v>1.0300000000000002</v>
      </c>
      <c r="V56">
        <f t="shared" si="7"/>
        <v>0.22848399999999977</v>
      </c>
    </row>
    <row r="57" spans="3:22" x14ac:dyDescent="0.25">
      <c r="C57" s="5">
        <v>55</v>
      </c>
      <c r="D57" s="5" t="s">
        <v>19</v>
      </c>
      <c r="E57" s="5">
        <v>702.52</v>
      </c>
      <c r="F57" s="5">
        <v>707</v>
      </c>
      <c r="G57" s="5">
        <f>$A$3/(F57-E57)*3.6</f>
        <v>36.160714285714143</v>
      </c>
      <c r="H57" s="5">
        <v>3.35</v>
      </c>
      <c r="I57" s="5">
        <v>4.6100000000000003</v>
      </c>
      <c r="J57" s="5">
        <f t="shared" si="1"/>
        <v>3.9800000000000004</v>
      </c>
      <c r="K57">
        <f t="shared" si="2"/>
        <v>0.37210000000000037</v>
      </c>
      <c r="L57" s="5">
        <v>55</v>
      </c>
      <c r="M57" s="5" t="s">
        <v>20</v>
      </c>
      <c r="N57" s="5">
        <v>749.52</v>
      </c>
      <c r="O57" s="5">
        <v>753.89</v>
      </c>
      <c r="P57" s="5">
        <f t="shared" si="3"/>
        <v>37.070938215102935</v>
      </c>
      <c r="Q57" s="5">
        <f t="shared" si="4"/>
        <v>6.49</v>
      </c>
      <c r="R57" s="5">
        <v>6.49</v>
      </c>
      <c r="S57" s="5">
        <f t="shared" si="8"/>
        <v>2.5099999999999998</v>
      </c>
      <c r="T57" s="5">
        <f t="shared" si="8"/>
        <v>2.5099999999999998</v>
      </c>
      <c r="U57" s="5">
        <f t="shared" si="6"/>
        <v>2.5099999999999998</v>
      </c>
      <c r="V57">
        <f t="shared" si="7"/>
        <v>1.0040039999999995</v>
      </c>
    </row>
    <row r="58" spans="3:22" x14ac:dyDescent="0.25">
      <c r="C58" s="5">
        <v>56</v>
      </c>
      <c r="D58" s="5" t="s">
        <v>19</v>
      </c>
      <c r="E58" s="5">
        <v>704.72</v>
      </c>
      <c r="F58" s="5">
        <v>708.6</v>
      </c>
      <c r="G58" s="5">
        <f t="shared" si="0"/>
        <v>41.752577319587679</v>
      </c>
      <c r="H58" s="5">
        <v>3.65</v>
      </c>
      <c r="I58" s="5">
        <v>4.88</v>
      </c>
      <c r="J58" s="5">
        <f t="shared" si="1"/>
        <v>4.2649999999999997</v>
      </c>
      <c r="K58">
        <f t="shared" si="2"/>
        <v>0.80102499999999921</v>
      </c>
      <c r="L58" s="5">
        <v>56</v>
      </c>
      <c r="M58" s="5" t="s">
        <v>19</v>
      </c>
      <c r="N58" s="5">
        <v>750.48</v>
      </c>
      <c r="O58" s="5">
        <v>755.08</v>
      </c>
      <c r="P58" s="5">
        <f t="shared" si="3"/>
        <v>35.217391304347657</v>
      </c>
      <c r="Q58" s="5">
        <f t="shared" si="4"/>
        <v>8.42</v>
      </c>
      <c r="R58" s="5">
        <v>6.98</v>
      </c>
      <c r="S58" s="5">
        <f t="shared" si="8"/>
        <v>0.58000000000000007</v>
      </c>
      <c r="T58" s="5">
        <f t="shared" si="8"/>
        <v>2.0199999999999996</v>
      </c>
      <c r="U58" s="5">
        <f t="shared" si="6"/>
        <v>1.2999999999999998</v>
      </c>
      <c r="V58">
        <f t="shared" si="7"/>
        <v>4.326400000000008E-2</v>
      </c>
    </row>
    <row r="59" spans="3:22" x14ac:dyDescent="0.25">
      <c r="C59" s="5">
        <v>57</v>
      </c>
      <c r="D59" s="5" t="s">
        <v>20</v>
      </c>
      <c r="E59" s="5">
        <v>707.68</v>
      </c>
      <c r="F59" s="5">
        <v>711.96</v>
      </c>
      <c r="G59" s="5">
        <f t="shared" si="0"/>
        <v>37.850467289718864</v>
      </c>
      <c r="H59" s="5">
        <v>3.75</v>
      </c>
      <c r="I59" s="5">
        <v>3.75</v>
      </c>
      <c r="J59" s="5">
        <f t="shared" si="1"/>
        <v>3.75</v>
      </c>
      <c r="K59">
        <f t="shared" si="2"/>
        <v>0.14439999999999992</v>
      </c>
      <c r="L59" s="5">
        <v>57</v>
      </c>
      <c r="M59" s="5" t="s">
        <v>20</v>
      </c>
      <c r="N59" s="5">
        <v>751.4</v>
      </c>
      <c r="O59" s="5">
        <v>756.08</v>
      </c>
      <c r="P59" s="5">
        <f t="shared" si="3"/>
        <v>34.615384615384151</v>
      </c>
      <c r="Q59" s="5">
        <f t="shared" si="4"/>
        <v>8.2899999999999991</v>
      </c>
      <c r="R59" s="5">
        <v>8.2899999999999991</v>
      </c>
      <c r="S59" s="5">
        <f t="shared" si="8"/>
        <v>0.71000000000000085</v>
      </c>
      <c r="T59" s="5">
        <f t="shared" si="8"/>
        <v>0.71000000000000085</v>
      </c>
      <c r="U59" s="5">
        <f t="shared" si="6"/>
        <v>0.71000000000000085</v>
      </c>
      <c r="V59">
        <f t="shared" si="7"/>
        <v>0.6368039999999987</v>
      </c>
    </row>
    <row r="60" spans="3:22" x14ac:dyDescent="0.25">
      <c r="C60" s="5">
        <v>58</v>
      </c>
      <c r="D60" s="5" t="s">
        <v>18</v>
      </c>
      <c r="E60" s="5">
        <v>709.44</v>
      </c>
      <c r="F60" s="5">
        <v>713.86</v>
      </c>
      <c r="G60" s="5">
        <f t="shared" si="0"/>
        <v>36.651583710407579</v>
      </c>
      <c r="H60" s="5">
        <v>4.3499999999999996</v>
      </c>
      <c r="I60" s="5">
        <v>4.3499999999999996</v>
      </c>
      <c r="J60" s="5">
        <f t="shared" si="1"/>
        <v>4.3499999999999996</v>
      </c>
      <c r="K60">
        <f t="shared" si="2"/>
        <v>0.96039999999999914</v>
      </c>
      <c r="L60" s="5">
        <v>58</v>
      </c>
      <c r="M60" s="5" t="s">
        <v>19</v>
      </c>
      <c r="N60" s="5">
        <v>753.44</v>
      </c>
      <c r="O60" s="5">
        <v>757.96</v>
      </c>
      <c r="P60" s="5">
        <f t="shared" si="3"/>
        <v>35.840707964601911</v>
      </c>
      <c r="Q60" s="5">
        <f t="shared" si="4"/>
        <v>8.43</v>
      </c>
      <c r="R60" s="5">
        <v>6.99</v>
      </c>
      <c r="S60" s="5">
        <f t="shared" si="8"/>
        <v>0.57000000000000028</v>
      </c>
      <c r="T60" s="5">
        <f t="shared" si="8"/>
        <v>2.0099999999999998</v>
      </c>
      <c r="U60" s="5">
        <f t="shared" si="6"/>
        <v>1.29</v>
      </c>
      <c r="V60">
        <f t="shared" si="7"/>
        <v>4.752399999999999E-2</v>
      </c>
    </row>
    <row r="61" spans="3:22" x14ac:dyDescent="0.25">
      <c r="C61" s="5">
        <v>59</v>
      </c>
      <c r="D61" s="5" t="s">
        <v>19</v>
      </c>
      <c r="E61" s="5">
        <v>710.08</v>
      </c>
      <c r="F61" s="5">
        <v>714.36</v>
      </c>
      <c r="G61" s="5">
        <f t="shared" si="0"/>
        <v>37.850467289719866</v>
      </c>
      <c r="H61" s="5">
        <v>4.42</v>
      </c>
      <c r="I61" s="5">
        <v>5.59</v>
      </c>
      <c r="J61" s="5">
        <f t="shared" si="1"/>
        <v>5.0049999999999999</v>
      </c>
      <c r="K61">
        <f t="shared" si="2"/>
        <v>2.6732249999999995</v>
      </c>
      <c r="L61" s="5">
        <v>59</v>
      </c>
      <c r="M61" s="5" t="s">
        <v>19</v>
      </c>
      <c r="N61" s="5">
        <v>754.36</v>
      </c>
      <c r="O61" s="5">
        <v>758.84</v>
      </c>
      <c r="P61" s="5">
        <f t="shared" si="3"/>
        <v>36.160714285714143</v>
      </c>
      <c r="Q61" s="5">
        <f t="shared" si="4"/>
        <v>8.11</v>
      </c>
      <c r="R61" s="5">
        <v>6.67</v>
      </c>
      <c r="S61" s="5">
        <f t="shared" si="8"/>
        <v>0.89000000000000057</v>
      </c>
      <c r="T61" s="5">
        <f t="shared" si="8"/>
        <v>2.33</v>
      </c>
      <c r="U61" s="5">
        <f t="shared" si="6"/>
        <v>1.6100000000000003</v>
      </c>
      <c r="V61">
        <f t="shared" si="7"/>
        <v>1.0404000000000064E-2</v>
      </c>
    </row>
    <row r="62" spans="3:22" x14ac:dyDescent="0.25">
      <c r="C62" s="5">
        <v>60</v>
      </c>
      <c r="D62" s="5" t="s">
        <v>19</v>
      </c>
      <c r="E62" s="5">
        <v>711.48</v>
      </c>
      <c r="F62" s="5">
        <v>716.08</v>
      </c>
      <c r="G62" s="5">
        <f t="shared" si="0"/>
        <v>35.217391304347657</v>
      </c>
      <c r="H62" s="5">
        <v>3.46</v>
      </c>
      <c r="I62" s="5">
        <v>4.67</v>
      </c>
      <c r="J62" s="5">
        <f t="shared" si="1"/>
        <v>4.0649999999999995</v>
      </c>
      <c r="K62">
        <f t="shared" si="2"/>
        <v>0.48302499999999915</v>
      </c>
      <c r="L62" s="5">
        <v>60</v>
      </c>
      <c r="M62" s="5" t="s">
        <v>20</v>
      </c>
      <c r="N62" s="5">
        <v>759.08</v>
      </c>
      <c r="O62" s="5">
        <v>763.92</v>
      </c>
      <c r="P62" s="5">
        <f t="shared" si="3"/>
        <v>33.471074380165859</v>
      </c>
      <c r="Q62" s="5">
        <f t="shared" si="4"/>
        <v>8.4499999999999993</v>
      </c>
      <c r="R62" s="5">
        <v>8.4499999999999993</v>
      </c>
      <c r="S62" s="5">
        <f t="shared" si="8"/>
        <v>0.55000000000000071</v>
      </c>
      <c r="T62" s="5">
        <f t="shared" si="8"/>
        <v>0.55000000000000071</v>
      </c>
      <c r="U62" s="5">
        <f t="shared" si="6"/>
        <v>0.55000000000000071</v>
      </c>
      <c r="V62">
        <f t="shared" si="7"/>
        <v>0.91776399999999869</v>
      </c>
    </row>
    <row r="63" spans="3:22" x14ac:dyDescent="0.25">
      <c r="C63" s="5">
        <v>61</v>
      </c>
      <c r="D63" s="5" t="s">
        <v>18</v>
      </c>
      <c r="E63" s="5">
        <v>713.04</v>
      </c>
      <c r="F63" s="5">
        <v>717.68</v>
      </c>
      <c r="G63" s="5">
        <f t="shared" si="0"/>
        <v>34.913793103448384</v>
      </c>
      <c r="H63" s="5">
        <v>3.97</v>
      </c>
      <c r="I63" s="5">
        <v>3.97</v>
      </c>
      <c r="J63" s="5">
        <f t="shared" si="1"/>
        <v>3.97</v>
      </c>
      <c r="K63">
        <f t="shared" si="2"/>
        <v>0.3600000000000001</v>
      </c>
      <c r="L63" s="5">
        <v>61</v>
      </c>
      <c r="M63" s="5" t="s">
        <v>19</v>
      </c>
      <c r="N63" s="5">
        <v>761.24</v>
      </c>
      <c r="O63" s="5">
        <v>765.36</v>
      </c>
      <c r="P63" s="5">
        <f t="shared" si="3"/>
        <v>39.320388349514516</v>
      </c>
      <c r="Q63" s="5">
        <f t="shared" si="4"/>
        <v>8.98</v>
      </c>
      <c r="R63" s="5">
        <v>7.54</v>
      </c>
      <c r="S63" s="5">
        <f t="shared" si="8"/>
        <v>1.9999999999999574E-2</v>
      </c>
      <c r="T63" s="5">
        <f t="shared" si="8"/>
        <v>1.46</v>
      </c>
      <c r="U63" s="5">
        <f t="shared" si="6"/>
        <v>0.73999999999999977</v>
      </c>
      <c r="V63">
        <f t="shared" si="7"/>
        <v>0.58982400000000035</v>
      </c>
    </row>
    <row r="64" spans="3:22" x14ac:dyDescent="0.25">
      <c r="C64" s="5">
        <v>62</v>
      </c>
      <c r="D64" s="5" t="s">
        <v>22</v>
      </c>
      <c r="E64" s="5">
        <v>714.44</v>
      </c>
      <c r="F64" s="5">
        <v>718.72</v>
      </c>
      <c r="G64" s="5">
        <f t="shared" si="0"/>
        <v>37.850467289719866</v>
      </c>
      <c r="H64" s="5">
        <v>3.71</v>
      </c>
      <c r="I64" s="5">
        <v>6.14</v>
      </c>
      <c r="J64" s="5">
        <f t="shared" si="1"/>
        <v>4.9249999999999998</v>
      </c>
      <c r="K64">
        <f t="shared" si="2"/>
        <v>2.4180249999999992</v>
      </c>
      <c r="L64" s="5">
        <v>62</v>
      </c>
      <c r="M64" s="5" t="s">
        <v>19</v>
      </c>
      <c r="N64" s="5">
        <v>762.76</v>
      </c>
      <c r="O64" s="5">
        <v>766.8</v>
      </c>
      <c r="P64" s="5">
        <f t="shared" si="3"/>
        <v>40.09900990099046</v>
      </c>
      <c r="Q64" s="5">
        <f t="shared" si="4"/>
        <v>8.14</v>
      </c>
      <c r="R64" s="5">
        <v>6.7</v>
      </c>
      <c r="S64" s="5">
        <f t="shared" si="8"/>
        <v>0.85999999999999943</v>
      </c>
      <c r="T64" s="5">
        <f t="shared" si="8"/>
        <v>2.2999999999999998</v>
      </c>
      <c r="U64" s="5">
        <f t="shared" si="6"/>
        <v>1.5799999999999996</v>
      </c>
      <c r="V64">
        <f t="shared" si="7"/>
        <v>5.1839999999999456E-3</v>
      </c>
    </row>
    <row r="65" spans="3:22" x14ac:dyDescent="0.25">
      <c r="C65" s="5">
        <v>63</v>
      </c>
      <c r="D65" s="5" t="s">
        <v>19</v>
      </c>
      <c r="E65" s="5">
        <v>715.68</v>
      </c>
      <c r="F65" s="5">
        <v>720.76</v>
      </c>
      <c r="G65" s="5">
        <f t="shared" si="0"/>
        <v>31.889763779527303</v>
      </c>
      <c r="H65" s="5">
        <v>3.37</v>
      </c>
      <c r="I65" s="5">
        <v>4.78</v>
      </c>
      <c r="J65" s="5">
        <f t="shared" si="1"/>
        <v>4.0750000000000002</v>
      </c>
      <c r="K65">
        <f t="shared" si="2"/>
        <v>0.49702500000000011</v>
      </c>
      <c r="L65" s="5">
        <v>63</v>
      </c>
      <c r="M65" s="5" t="s">
        <v>20</v>
      </c>
      <c r="N65" s="5">
        <v>763.6</v>
      </c>
      <c r="O65" s="5">
        <v>767.6</v>
      </c>
      <c r="P65" s="5">
        <f t="shared" si="3"/>
        <v>40.5</v>
      </c>
      <c r="Q65" s="5">
        <f t="shared" si="4"/>
        <v>7.52</v>
      </c>
      <c r="R65" s="5">
        <v>7.52</v>
      </c>
      <c r="S65" s="5">
        <f t="shared" si="8"/>
        <v>1.4800000000000004</v>
      </c>
      <c r="T65" s="5">
        <f t="shared" si="8"/>
        <v>1.4800000000000004</v>
      </c>
      <c r="U65" s="5">
        <f t="shared" si="6"/>
        <v>1.4800000000000004</v>
      </c>
      <c r="V65">
        <f t="shared" si="7"/>
        <v>7.8399999999997656E-4</v>
      </c>
    </row>
    <row r="66" spans="3:22" x14ac:dyDescent="0.25">
      <c r="C66" s="5">
        <v>64</v>
      </c>
      <c r="D66" s="5" t="s">
        <v>18</v>
      </c>
      <c r="E66" s="5">
        <v>716.88</v>
      </c>
      <c r="F66" s="5">
        <v>721.48</v>
      </c>
      <c r="G66" s="5">
        <f t="shared" si="0"/>
        <v>35.217391304347657</v>
      </c>
      <c r="H66" s="5">
        <v>3.89</v>
      </c>
      <c r="I66" s="5">
        <v>3.89</v>
      </c>
      <c r="J66" s="5">
        <f t="shared" si="1"/>
        <v>3.89</v>
      </c>
      <c r="K66">
        <f t="shared" si="2"/>
        <v>0.27040000000000003</v>
      </c>
      <c r="L66" s="5">
        <v>64</v>
      </c>
      <c r="M66" s="5" t="s">
        <v>19</v>
      </c>
      <c r="N66" s="5">
        <v>764.64</v>
      </c>
      <c r="O66" s="5">
        <v>768.4</v>
      </c>
      <c r="P66" s="5">
        <f t="shared" si="3"/>
        <v>43.085106382978829</v>
      </c>
      <c r="Q66" s="5">
        <f t="shared" si="4"/>
        <v>7.6899999999999995</v>
      </c>
      <c r="R66" s="5">
        <v>6.25</v>
      </c>
      <c r="S66" s="5">
        <f t="shared" si="8"/>
        <v>1.3100000000000005</v>
      </c>
      <c r="T66" s="5">
        <f t="shared" si="8"/>
        <v>2.75</v>
      </c>
      <c r="U66" s="5">
        <f t="shared" si="6"/>
        <v>2.0300000000000002</v>
      </c>
      <c r="V66">
        <f t="shared" si="7"/>
        <v>0.27248400000000023</v>
      </c>
    </row>
    <row r="67" spans="3:22" x14ac:dyDescent="0.25">
      <c r="C67" s="5">
        <v>65</v>
      </c>
      <c r="D67" s="5" t="s">
        <v>19</v>
      </c>
      <c r="E67" s="5">
        <v>717.48</v>
      </c>
      <c r="F67" s="5">
        <v>722.08</v>
      </c>
      <c r="G67" s="5">
        <f t="shared" si="0"/>
        <v>35.217391304347657</v>
      </c>
      <c r="H67" s="5">
        <v>4.05</v>
      </c>
      <c r="I67" s="5">
        <v>5.49</v>
      </c>
      <c r="J67" s="5">
        <f t="shared" si="1"/>
        <v>4.7699999999999996</v>
      </c>
      <c r="K67">
        <f t="shared" si="2"/>
        <v>1.9599999999999984</v>
      </c>
      <c r="L67" s="5">
        <v>65</v>
      </c>
      <c r="M67" s="5" t="s">
        <v>20</v>
      </c>
      <c r="N67" s="5">
        <v>773.84</v>
      </c>
      <c r="O67" s="5">
        <v>777.76</v>
      </c>
      <c r="P67" s="5">
        <f t="shared" si="3"/>
        <v>41.326530612245328</v>
      </c>
      <c r="Q67" s="5">
        <f t="shared" si="4"/>
        <v>8.3699999999999992</v>
      </c>
      <c r="R67" s="5">
        <v>8.3699999999999992</v>
      </c>
      <c r="S67" s="5">
        <f t="shared" si="8"/>
        <v>0.63000000000000078</v>
      </c>
      <c r="T67" s="5">
        <f t="shared" si="8"/>
        <v>0.63000000000000078</v>
      </c>
      <c r="U67" s="5">
        <f t="shared" si="6"/>
        <v>0.63000000000000078</v>
      </c>
      <c r="V67">
        <f t="shared" si="7"/>
        <v>0.77088399999999868</v>
      </c>
    </row>
    <row r="68" spans="3:22" x14ac:dyDescent="0.25">
      <c r="C68" s="5">
        <v>66</v>
      </c>
      <c r="D68" s="5" t="s">
        <v>19</v>
      </c>
      <c r="E68" s="5">
        <v>719.2</v>
      </c>
      <c r="F68" s="5">
        <v>724.04</v>
      </c>
      <c r="G68" s="5">
        <f t="shared" ref="G68:G131" si="10">$A$3/(F68-E68)*3.6</f>
        <v>33.471074380165859</v>
      </c>
      <c r="H68" s="5">
        <v>3.53</v>
      </c>
      <c r="I68" s="5">
        <v>4.97</v>
      </c>
      <c r="J68" s="5">
        <f t="shared" ref="J68:J131" si="11">(H68+I68)/2</f>
        <v>4.25</v>
      </c>
      <c r="K68">
        <f t="shared" ref="K68:K131" si="12">(J68-3.37)^2</f>
        <v>0.77439999999999987</v>
      </c>
      <c r="L68" s="5">
        <v>66</v>
      </c>
      <c r="M68" s="5" t="s">
        <v>19</v>
      </c>
      <c r="N68" s="5">
        <v>778.8</v>
      </c>
      <c r="O68" s="5">
        <v>782.8</v>
      </c>
      <c r="P68" s="5">
        <f t="shared" ref="P68:P103" si="13">$A$3/(O68-N68)*3.6</f>
        <v>40.5</v>
      </c>
      <c r="Q68" s="5">
        <f t="shared" ref="Q68:Q103" si="14">IF(M68="Car", R68 + 1.44, IF(M68="Bus", R68+2.43,IF(M68="Auto", R68+1.4,IF(M68="LCV",R68+2.1,IF(M68="TAT", R68 + 2.35, R68)))))</f>
        <v>8.76</v>
      </c>
      <c r="R68" s="5">
        <v>7.32</v>
      </c>
      <c r="S68" s="5">
        <f t="shared" si="8"/>
        <v>0.24000000000000021</v>
      </c>
      <c r="T68" s="5">
        <f t="shared" si="8"/>
        <v>1.6799999999999997</v>
      </c>
      <c r="U68" s="5">
        <f t="shared" ref="U68:U103" si="15">(S68+T68)/2</f>
        <v>0.96</v>
      </c>
      <c r="V68">
        <f t="shared" ref="V68:V103" si="16">(U68-1.508)^2</f>
        <v>0.30030400000000007</v>
      </c>
    </row>
    <row r="69" spans="3:22" x14ac:dyDescent="0.25">
      <c r="C69" s="5">
        <v>67</v>
      </c>
      <c r="D69" s="5" t="s">
        <v>20</v>
      </c>
      <c r="E69" s="5">
        <v>720.48</v>
      </c>
      <c r="F69" s="5">
        <v>724.96</v>
      </c>
      <c r="G69" s="5">
        <f t="shared" si="10"/>
        <v>36.160714285714143</v>
      </c>
      <c r="H69" s="5">
        <v>3.33</v>
      </c>
      <c r="I69" s="5">
        <v>3.33</v>
      </c>
      <c r="J69" s="5">
        <f t="shared" si="11"/>
        <v>3.33</v>
      </c>
      <c r="K69">
        <f t="shared" si="12"/>
        <v>1.6000000000000029E-3</v>
      </c>
      <c r="L69" s="5">
        <v>67</v>
      </c>
      <c r="M69" s="5" t="s">
        <v>20</v>
      </c>
      <c r="N69" s="5">
        <v>780.56</v>
      </c>
      <c r="O69" s="5">
        <v>785.24</v>
      </c>
      <c r="P69" s="5">
        <f t="shared" si="13"/>
        <v>34.615384615384151</v>
      </c>
      <c r="Q69" s="5">
        <f t="shared" si="14"/>
        <v>8.33</v>
      </c>
      <c r="R69" s="5">
        <v>8.33</v>
      </c>
      <c r="S69" s="5">
        <f t="shared" si="8"/>
        <v>0.66999999999999993</v>
      </c>
      <c r="T69" s="5">
        <f t="shared" si="8"/>
        <v>0.66999999999999993</v>
      </c>
      <c r="U69" s="5">
        <f t="shared" si="15"/>
        <v>0.66999999999999993</v>
      </c>
      <c r="V69">
        <f t="shared" si="16"/>
        <v>0.70224400000000009</v>
      </c>
    </row>
    <row r="70" spans="3:22" x14ac:dyDescent="0.25">
      <c r="C70" s="5">
        <v>68</v>
      </c>
      <c r="D70" s="5" t="s">
        <v>19</v>
      </c>
      <c r="E70" s="5">
        <v>721.08</v>
      </c>
      <c r="F70" s="5">
        <v>726.2</v>
      </c>
      <c r="G70" s="5">
        <f t="shared" si="10"/>
        <v>31.640624999999975</v>
      </c>
      <c r="H70" s="5">
        <v>3.2</v>
      </c>
      <c r="I70" s="5">
        <v>4.6399999999999997</v>
      </c>
      <c r="J70" s="5">
        <f t="shared" si="11"/>
        <v>3.92</v>
      </c>
      <c r="K70">
        <f t="shared" si="12"/>
        <v>0.30249999999999982</v>
      </c>
      <c r="L70" s="5">
        <v>68</v>
      </c>
      <c r="M70" s="5" t="s">
        <v>19</v>
      </c>
      <c r="N70" s="5">
        <v>781.84</v>
      </c>
      <c r="O70" s="5">
        <v>784.96</v>
      </c>
      <c r="P70" s="5">
        <f t="shared" si="13"/>
        <v>51.923076923076849</v>
      </c>
      <c r="Q70" s="5">
        <f t="shared" si="14"/>
        <v>7.52</v>
      </c>
      <c r="R70" s="5">
        <v>6.08</v>
      </c>
      <c r="S70" s="5">
        <f t="shared" si="8"/>
        <v>1.4800000000000004</v>
      </c>
      <c r="T70" s="5">
        <f t="shared" si="8"/>
        <v>2.92</v>
      </c>
      <c r="U70" s="5">
        <f t="shared" si="15"/>
        <v>2.2000000000000002</v>
      </c>
      <c r="V70">
        <f t="shared" si="16"/>
        <v>0.47886400000000023</v>
      </c>
    </row>
    <row r="71" spans="3:22" x14ac:dyDescent="0.25">
      <c r="C71" s="5">
        <v>69</v>
      </c>
      <c r="D71" s="5" t="s">
        <v>20</v>
      </c>
      <c r="E71" s="5">
        <v>721.84</v>
      </c>
      <c r="F71" s="5">
        <v>727</v>
      </c>
      <c r="G71" s="5">
        <f t="shared" si="10"/>
        <v>31.3953488372095</v>
      </c>
      <c r="H71" s="5">
        <v>1.44</v>
      </c>
      <c r="I71" s="5">
        <v>1.44</v>
      </c>
      <c r="J71" s="5">
        <f t="shared" si="11"/>
        <v>1.44</v>
      </c>
      <c r="K71">
        <f t="shared" si="12"/>
        <v>3.7249000000000008</v>
      </c>
      <c r="L71" s="5">
        <v>69</v>
      </c>
      <c r="M71" s="5" t="s">
        <v>18</v>
      </c>
      <c r="N71" s="5">
        <v>795</v>
      </c>
      <c r="O71" s="5">
        <v>800.24</v>
      </c>
      <c r="P71" s="5">
        <f t="shared" si="13"/>
        <v>30.916030534351091</v>
      </c>
      <c r="Q71" s="5">
        <f t="shared" si="14"/>
        <v>8.09</v>
      </c>
      <c r="R71" s="5">
        <v>6.69</v>
      </c>
      <c r="S71" s="5">
        <f t="shared" si="8"/>
        <v>0.91000000000000014</v>
      </c>
      <c r="T71" s="5">
        <f t="shared" si="8"/>
        <v>2.3099999999999996</v>
      </c>
      <c r="U71" s="5">
        <f t="shared" si="15"/>
        <v>1.6099999999999999</v>
      </c>
      <c r="V71">
        <f t="shared" si="16"/>
        <v>1.0403999999999974E-2</v>
      </c>
    </row>
    <row r="72" spans="3:22" x14ac:dyDescent="0.25">
      <c r="C72" s="5">
        <v>70</v>
      </c>
      <c r="D72" s="5" t="s">
        <v>19</v>
      </c>
      <c r="E72" s="5">
        <v>722.44</v>
      </c>
      <c r="F72" s="5">
        <v>727.59</v>
      </c>
      <c r="G72" s="5">
        <f t="shared" si="10"/>
        <v>31.456310679611789</v>
      </c>
      <c r="H72" s="5">
        <v>3.22</v>
      </c>
      <c r="I72" s="5">
        <v>4.66</v>
      </c>
      <c r="J72" s="5">
        <f t="shared" si="11"/>
        <v>3.9400000000000004</v>
      </c>
      <c r="K72">
        <f t="shared" si="12"/>
        <v>0.3249000000000003</v>
      </c>
      <c r="L72" s="5">
        <v>70</v>
      </c>
      <c r="M72" s="5" t="s">
        <v>20</v>
      </c>
      <c r="N72" s="5">
        <v>796.24</v>
      </c>
      <c r="O72" s="5">
        <v>801.16</v>
      </c>
      <c r="P72" s="5">
        <f t="shared" si="13"/>
        <v>32.926829268292963</v>
      </c>
      <c r="Q72" s="5">
        <f t="shared" si="14"/>
        <v>7.16</v>
      </c>
      <c r="R72" s="5">
        <v>7.16</v>
      </c>
      <c r="S72" s="5">
        <f t="shared" si="8"/>
        <v>1.8399999999999999</v>
      </c>
      <c r="T72" s="5">
        <f t="shared" si="8"/>
        <v>1.8399999999999999</v>
      </c>
      <c r="U72" s="5">
        <f t="shared" si="15"/>
        <v>1.8399999999999999</v>
      </c>
      <c r="V72">
        <f t="shared" si="16"/>
        <v>0.11022399999999991</v>
      </c>
    </row>
    <row r="73" spans="3:22" x14ac:dyDescent="0.25">
      <c r="C73" s="5">
        <v>71</v>
      </c>
      <c r="D73" s="5" t="s">
        <v>19</v>
      </c>
      <c r="E73" s="5">
        <v>725.04</v>
      </c>
      <c r="F73" s="5">
        <v>729</v>
      </c>
      <c r="G73" s="5">
        <f t="shared" si="10"/>
        <v>40.90909090909053</v>
      </c>
      <c r="H73" s="5">
        <v>3.14</v>
      </c>
      <c r="I73" s="5">
        <v>4.58</v>
      </c>
      <c r="J73" s="5">
        <f t="shared" si="11"/>
        <v>3.8600000000000003</v>
      </c>
      <c r="K73">
        <f t="shared" si="12"/>
        <v>0.2401000000000002</v>
      </c>
      <c r="L73" s="5">
        <v>71</v>
      </c>
      <c r="M73" s="5" t="s">
        <v>20</v>
      </c>
      <c r="N73" s="5">
        <v>796.72</v>
      </c>
      <c r="O73" s="5">
        <v>801.88</v>
      </c>
      <c r="P73" s="5">
        <f t="shared" si="13"/>
        <v>31.3953488372095</v>
      </c>
      <c r="Q73" s="5">
        <f t="shared" si="14"/>
        <v>7.94</v>
      </c>
      <c r="R73" s="5">
        <v>7.94</v>
      </c>
      <c r="S73" s="5">
        <f t="shared" si="8"/>
        <v>1.0599999999999996</v>
      </c>
      <c r="T73" s="5">
        <f t="shared" si="8"/>
        <v>1.0599999999999996</v>
      </c>
      <c r="U73" s="5">
        <f t="shared" si="15"/>
        <v>1.0599999999999996</v>
      </c>
      <c r="V73">
        <f t="shared" si="16"/>
        <v>0.20070400000000035</v>
      </c>
    </row>
    <row r="74" spans="3:22" x14ac:dyDescent="0.25">
      <c r="C74" s="5">
        <v>72</v>
      </c>
      <c r="D74" s="5" t="s">
        <v>19</v>
      </c>
      <c r="E74" s="5">
        <v>726</v>
      </c>
      <c r="F74" s="5">
        <v>730.68</v>
      </c>
      <c r="G74" s="5">
        <f t="shared" si="10"/>
        <v>34.615384615384983</v>
      </c>
      <c r="H74" s="5">
        <v>2.72</v>
      </c>
      <c r="I74" s="5">
        <v>4.16</v>
      </c>
      <c r="J74" s="5">
        <f t="shared" si="11"/>
        <v>3.4400000000000004</v>
      </c>
      <c r="K74">
        <f t="shared" si="12"/>
        <v>4.9000000000000397E-3</v>
      </c>
      <c r="L74" s="5">
        <v>72</v>
      </c>
      <c r="M74" s="5" t="s">
        <v>18</v>
      </c>
      <c r="N74" s="5">
        <v>797.84</v>
      </c>
      <c r="O74" s="5">
        <v>803.36</v>
      </c>
      <c r="P74" s="5">
        <f t="shared" si="13"/>
        <v>29.347826086956619</v>
      </c>
      <c r="Q74" s="5">
        <f t="shared" si="14"/>
        <v>8.44</v>
      </c>
      <c r="R74" s="5">
        <v>7.04</v>
      </c>
      <c r="S74" s="5">
        <f>$A$5-Q74</f>
        <v>0.5600000000000005</v>
      </c>
      <c r="T74" s="5">
        <f t="shared" si="8"/>
        <v>1.96</v>
      </c>
      <c r="U74" s="5">
        <f>(S74+T74)/2</f>
        <v>1.2600000000000002</v>
      </c>
      <c r="V74">
        <f t="shared" si="16"/>
        <v>6.1503999999999892E-2</v>
      </c>
    </row>
    <row r="75" spans="3:22" x14ac:dyDescent="0.25">
      <c r="C75" s="5">
        <v>73</v>
      </c>
      <c r="D75" s="5" t="s">
        <v>19</v>
      </c>
      <c r="E75" s="5">
        <v>727.36</v>
      </c>
      <c r="F75" s="5">
        <v>731.56</v>
      </c>
      <c r="G75" s="5">
        <f t="shared" si="10"/>
        <v>38.571428571429195</v>
      </c>
      <c r="H75" s="5">
        <v>3.14</v>
      </c>
      <c r="I75" s="5">
        <v>4.91</v>
      </c>
      <c r="J75" s="5">
        <f t="shared" si="11"/>
        <v>4.0250000000000004</v>
      </c>
      <c r="K75">
        <f t="shared" si="12"/>
        <v>0.42902500000000032</v>
      </c>
      <c r="L75" s="5">
        <v>73</v>
      </c>
      <c r="M75" s="5" t="s">
        <v>19</v>
      </c>
      <c r="N75" s="5">
        <v>804.76</v>
      </c>
      <c r="O75" s="5">
        <v>808</v>
      </c>
      <c r="P75" s="5">
        <f t="shared" si="13"/>
        <v>49.999999999999865</v>
      </c>
      <c r="Q75" s="5">
        <f t="shared" si="14"/>
        <v>8.2099999999999991</v>
      </c>
      <c r="R75" s="5">
        <v>6.77</v>
      </c>
      <c r="S75" s="5">
        <f>$A$5-Q75</f>
        <v>0.79000000000000092</v>
      </c>
      <c r="T75" s="5">
        <f t="shared" si="8"/>
        <v>2.2300000000000004</v>
      </c>
      <c r="U75" s="5">
        <f>(S75+T75)/2</f>
        <v>1.5100000000000007</v>
      </c>
      <c r="V75">
        <f t="shared" si="16"/>
        <v>4.0000000000026714E-6</v>
      </c>
    </row>
    <row r="76" spans="3:22" x14ac:dyDescent="0.25">
      <c r="C76" s="5">
        <v>74</v>
      </c>
      <c r="D76" s="5" t="s">
        <v>19</v>
      </c>
      <c r="E76" s="5">
        <v>727.92</v>
      </c>
      <c r="F76" s="5">
        <v>732.64</v>
      </c>
      <c r="G76" s="5">
        <f t="shared" si="10"/>
        <v>34.322033898304888</v>
      </c>
      <c r="H76" s="5">
        <v>3.06</v>
      </c>
      <c r="I76" s="5">
        <v>4.5</v>
      </c>
      <c r="J76" s="5">
        <f t="shared" si="11"/>
        <v>3.7800000000000002</v>
      </c>
      <c r="K76">
        <f t="shared" si="12"/>
        <v>0.16810000000000011</v>
      </c>
      <c r="L76" s="5">
        <v>74</v>
      </c>
      <c r="M76" s="5" t="s">
        <v>18</v>
      </c>
      <c r="N76" s="5">
        <v>806.28</v>
      </c>
      <c r="O76" s="5">
        <v>809.88</v>
      </c>
      <c r="P76" s="5">
        <f t="shared" si="13"/>
        <v>44.999999999999723</v>
      </c>
      <c r="Q76" s="5">
        <f t="shared" si="14"/>
        <v>8.5500000000000007</v>
      </c>
      <c r="R76" s="5">
        <v>7.15</v>
      </c>
      <c r="S76" s="5">
        <f t="shared" si="8"/>
        <v>0.44999999999999929</v>
      </c>
      <c r="T76" s="5">
        <f t="shared" si="8"/>
        <v>1.8499999999999996</v>
      </c>
      <c r="U76" s="5">
        <f t="shared" si="15"/>
        <v>1.1499999999999995</v>
      </c>
      <c r="V76">
        <f t="shared" si="16"/>
        <v>0.12816400000000039</v>
      </c>
    </row>
    <row r="77" spans="3:22" x14ac:dyDescent="0.25">
      <c r="C77" s="5">
        <v>75</v>
      </c>
      <c r="D77" s="5" t="s">
        <v>20</v>
      </c>
      <c r="E77" s="5">
        <v>730.24</v>
      </c>
      <c r="F77" s="5">
        <v>734.24</v>
      </c>
      <c r="G77" s="5">
        <f t="shared" si="10"/>
        <v>40.5</v>
      </c>
      <c r="H77" s="5">
        <v>4</v>
      </c>
      <c r="I77" s="5">
        <v>4</v>
      </c>
      <c r="J77" s="5">
        <f t="shared" si="11"/>
        <v>4</v>
      </c>
      <c r="K77">
        <f t="shared" si="12"/>
        <v>0.39689999999999986</v>
      </c>
      <c r="L77" s="5">
        <v>75</v>
      </c>
      <c r="M77" s="5" t="s">
        <v>20</v>
      </c>
      <c r="N77" s="5">
        <v>807.36</v>
      </c>
      <c r="O77" s="5">
        <v>811.04</v>
      </c>
      <c r="P77" s="5">
        <f t="shared" si="13"/>
        <v>44.021739130435385</v>
      </c>
      <c r="Q77" s="5">
        <f t="shared" si="14"/>
        <v>7.34</v>
      </c>
      <c r="R77" s="5">
        <v>7.34</v>
      </c>
      <c r="S77" s="5">
        <f t="shared" si="8"/>
        <v>1.6600000000000001</v>
      </c>
      <c r="T77" s="5">
        <f t="shared" si="8"/>
        <v>1.6600000000000001</v>
      </c>
      <c r="U77" s="5">
        <f t="shared" si="15"/>
        <v>1.6600000000000001</v>
      </c>
      <c r="V77">
        <f t="shared" si="16"/>
        <v>2.3104000000000041E-2</v>
      </c>
    </row>
    <row r="78" spans="3:22" x14ac:dyDescent="0.25">
      <c r="C78" s="5">
        <v>76</v>
      </c>
      <c r="D78" s="5" t="s">
        <v>20</v>
      </c>
      <c r="E78" s="5">
        <v>731.36</v>
      </c>
      <c r="F78" s="5">
        <v>734.48</v>
      </c>
      <c r="G78" s="5">
        <f t="shared" si="10"/>
        <v>51.923076923076849</v>
      </c>
      <c r="H78" s="5">
        <v>2.91</v>
      </c>
      <c r="I78" s="5">
        <v>2.91</v>
      </c>
      <c r="J78" s="5">
        <f t="shared" si="11"/>
        <v>2.91</v>
      </c>
      <c r="K78">
        <f t="shared" si="12"/>
        <v>0.21159999999999995</v>
      </c>
      <c r="L78" s="5">
        <v>76</v>
      </c>
      <c r="M78" s="5" t="s">
        <v>18</v>
      </c>
      <c r="N78" s="5">
        <v>817.4</v>
      </c>
      <c r="O78" s="5">
        <v>821.24</v>
      </c>
      <c r="P78" s="5">
        <f t="shared" si="13"/>
        <v>42.187499999999652</v>
      </c>
      <c r="Q78" s="5">
        <f t="shared" si="14"/>
        <v>7.93</v>
      </c>
      <c r="R78" s="5">
        <v>6.53</v>
      </c>
      <c r="S78" s="5">
        <f t="shared" si="8"/>
        <v>1.0700000000000003</v>
      </c>
      <c r="T78" s="5">
        <f t="shared" si="8"/>
        <v>2.4699999999999998</v>
      </c>
      <c r="U78" s="5">
        <f t="shared" si="15"/>
        <v>1.77</v>
      </c>
      <c r="V78">
        <f t="shared" si="16"/>
        <v>6.8644000000000011E-2</v>
      </c>
    </row>
    <row r="79" spans="3:22" x14ac:dyDescent="0.25">
      <c r="C79" s="5">
        <v>77</v>
      </c>
      <c r="D79" s="5" t="s">
        <v>20</v>
      </c>
      <c r="E79" s="5">
        <v>731.44</v>
      </c>
      <c r="F79" s="5">
        <v>734.76</v>
      </c>
      <c r="G79" s="5">
        <f t="shared" si="10"/>
        <v>48.795180722892503</v>
      </c>
      <c r="H79" s="5">
        <v>3.95</v>
      </c>
      <c r="I79" s="5">
        <v>3.95</v>
      </c>
      <c r="J79" s="5">
        <f t="shared" si="11"/>
        <v>3.95</v>
      </c>
      <c r="K79">
        <f t="shared" si="12"/>
        <v>0.33640000000000009</v>
      </c>
      <c r="L79" s="5">
        <v>77</v>
      </c>
      <c r="M79" s="5" t="s">
        <v>19</v>
      </c>
      <c r="N79" s="5">
        <v>818.4</v>
      </c>
      <c r="O79" s="5">
        <v>821.96</v>
      </c>
      <c r="P79" s="5">
        <f t="shared" si="13"/>
        <v>45.505617977527336</v>
      </c>
      <c r="Q79" s="5">
        <f t="shared" si="14"/>
        <v>7.02</v>
      </c>
      <c r="R79" s="5">
        <v>5.58</v>
      </c>
      <c r="S79" s="5">
        <f t="shared" si="8"/>
        <v>1.9800000000000004</v>
      </c>
      <c r="T79" s="5">
        <f t="shared" si="8"/>
        <v>3.42</v>
      </c>
      <c r="U79" s="5">
        <f t="shared" si="15"/>
        <v>2.7</v>
      </c>
      <c r="V79">
        <f t="shared" si="16"/>
        <v>1.4208640000000003</v>
      </c>
    </row>
    <row r="80" spans="3:22" x14ac:dyDescent="0.25">
      <c r="C80" s="5">
        <v>78</v>
      </c>
      <c r="D80" s="5" t="s">
        <v>19</v>
      </c>
      <c r="E80" s="5">
        <v>732.68</v>
      </c>
      <c r="F80" s="5">
        <v>736.36</v>
      </c>
      <c r="G80" s="5">
        <f t="shared" si="10"/>
        <v>44.021739130434021</v>
      </c>
      <c r="H80" s="5">
        <v>2.62</v>
      </c>
      <c r="I80" s="5">
        <v>4.0599999999999996</v>
      </c>
      <c r="J80" s="5">
        <f t="shared" si="11"/>
        <v>3.34</v>
      </c>
      <c r="K80">
        <f t="shared" si="12"/>
        <v>9.0000000000001494E-4</v>
      </c>
      <c r="L80" s="5">
        <v>78</v>
      </c>
      <c r="M80" s="5" t="s">
        <v>19</v>
      </c>
      <c r="N80" s="5">
        <v>819.12</v>
      </c>
      <c r="O80" s="5">
        <v>823</v>
      </c>
      <c r="P80" s="5">
        <f t="shared" si="13"/>
        <v>41.752577319587679</v>
      </c>
      <c r="Q80" s="5">
        <f t="shared" si="14"/>
        <v>6.0500000000000007</v>
      </c>
      <c r="R80" s="5">
        <v>4.6100000000000003</v>
      </c>
      <c r="S80" s="5">
        <f t="shared" si="8"/>
        <v>2.9499999999999993</v>
      </c>
      <c r="T80" s="5">
        <f t="shared" si="8"/>
        <v>4.3899999999999997</v>
      </c>
      <c r="U80" s="5">
        <f t="shared" si="15"/>
        <v>3.6699999999999995</v>
      </c>
      <c r="V80">
        <f t="shared" si="16"/>
        <v>4.6742439999999981</v>
      </c>
    </row>
    <row r="81" spans="3:22" x14ac:dyDescent="0.25">
      <c r="C81" s="5">
        <v>79</v>
      </c>
      <c r="D81" s="5" t="s">
        <v>19</v>
      </c>
      <c r="E81" s="5">
        <v>733.72</v>
      </c>
      <c r="F81" s="5">
        <v>737.76</v>
      </c>
      <c r="G81" s="5">
        <f t="shared" si="10"/>
        <v>40.09900990099046</v>
      </c>
      <c r="H81" s="5">
        <v>2.93</v>
      </c>
      <c r="I81" s="5">
        <v>4.37</v>
      </c>
      <c r="J81" s="5">
        <f t="shared" si="11"/>
        <v>3.6500000000000004</v>
      </c>
      <c r="K81">
        <f t="shared" si="12"/>
        <v>7.8400000000000136E-2</v>
      </c>
      <c r="L81" s="5">
        <v>79</v>
      </c>
      <c r="M81" s="5" t="s">
        <v>19</v>
      </c>
      <c r="N81" s="5">
        <v>820.52</v>
      </c>
      <c r="O81" s="5">
        <v>824.28</v>
      </c>
      <c r="P81" s="5">
        <f t="shared" si="13"/>
        <v>43.085106382978829</v>
      </c>
      <c r="Q81" s="5">
        <f t="shared" si="14"/>
        <v>7.5500000000000007</v>
      </c>
      <c r="R81" s="5">
        <v>6.11</v>
      </c>
      <c r="S81" s="5">
        <f t="shared" si="8"/>
        <v>1.4499999999999993</v>
      </c>
      <c r="T81" s="5">
        <f t="shared" si="8"/>
        <v>2.8899999999999997</v>
      </c>
      <c r="U81" s="5">
        <f t="shared" si="15"/>
        <v>2.1699999999999995</v>
      </c>
      <c r="V81">
        <f t="shared" si="16"/>
        <v>0.4382439999999993</v>
      </c>
    </row>
    <row r="82" spans="3:22" x14ac:dyDescent="0.25">
      <c r="C82" s="5">
        <v>80</v>
      </c>
      <c r="D82" s="5" t="s">
        <v>20</v>
      </c>
      <c r="E82" s="5">
        <v>734.64</v>
      </c>
      <c r="F82" s="5">
        <v>738.6</v>
      </c>
      <c r="G82" s="5">
        <f t="shared" si="10"/>
        <v>40.90909090909053</v>
      </c>
      <c r="H82" s="5">
        <v>2.16</v>
      </c>
      <c r="I82" s="5">
        <v>2.16</v>
      </c>
      <c r="J82" s="5">
        <f t="shared" si="11"/>
        <v>2.16</v>
      </c>
      <c r="K82">
        <f t="shared" si="12"/>
        <v>1.4641</v>
      </c>
      <c r="L82" s="5">
        <v>80</v>
      </c>
      <c r="M82" s="5" t="s">
        <v>19</v>
      </c>
      <c r="N82" s="5">
        <v>822.84</v>
      </c>
      <c r="O82" s="5">
        <v>826.48</v>
      </c>
      <c r="P82" s="5">
        <f t="shared" si="13"/>
        <v>44.505494505494674</v>
      </c>
      <c r="Q82" s="5">
        <f t="shared" si="14"/>
        <v>8.0299999999999994</v>
      </c>
      <c r="R82" s="5">
        <v>6.59</v>
      </c>
      <c r="S82" s="5">
        <f t="shared" si="8"/>
        <v>0.97000000000000064</v>
      </c>
      <c r="T82" s="5">
        <f t="shared" si="8"/>
        <v>2.41</v>
      </c>
      <c r="U82" s="5">
        <f t="shared" si="15"/>
        <v>1.6900000000000004</v>
      </c>
      <c r="V82">
        <f t="shared" si="16"/>
        <v>3.3124000000000139E-2</v>
      </c>
    </row>
    <row r="83" spans="3:22" x14ac:dyDescent="0.25">
      <c r="C83" s="5">
        <v>81</v>
      </c>
      <c r="D83" s="5" t="s">
        <v>19</v>
      </c>
      <c r="E83" s="5">
        <v>735.76</v>
      </c>
      <c r="F83" s="5">
        <v>739.08</v>
      </c>
      <c r="G83" s="5">
        <f t="shared" si="10"/>
        <v>48.795180722890834</v>
      </c>
      <c r="H83" s="5">
        <v>3.39</v>
      </c>
      <c r="I83" s="5">
        <v>4.83</v>
      </c>
      <c r="J83" s="5">
        <f t="shared" si="11"/>
        <v>4.1100000000000003</v>
      </c>
      <c r="K83">
        <f t="shared" si="12"/>
        <v>0.54760000000000031</v>
      </c>
      <c r="L83" s="5">
        <v>81</v>
      </c>
      <c r="M83" s="5" t="s">
        <v>19</v>
      </c>
      <c r="N83" s="5">
        <v>824.68</v>
      </c>
      <c r="O83" s="5">
        <v>828.6</v>
      </c>
      <c r="P83" s="5">
        <f t="shared" si="13"/>
        <v>41.326530612244127</v>
      </c>
      <c r="Q83" s="5">
        <f t="shared" si="14"/>
        <v>8.2099999999999991</v>
      </c>
      <c r="R83" s="5">
        <v>6.77</v>
      </c>
      <c r="S83" s="5">
        <f t="shared" si="8"/>
        <v>0.79000000000000092</v>
      </c>
      <c r="T83" s="5">
        <f t="shared" si="8"/>
        <v>2.2300000000000004</v>
      </c>
      <c r="U83" s="5">
        <f t="shared" si="15"/>
        <v>1.5100000000000007</v>
      </c>
      <c r="V83">
        <f t="shared" si="16"/>
        <v>4.0000000000026714E-6</v>
      </c>
    </row>
    <row r="84" spans="3:22" x14ac:dyDescent="0.25">
      <c r="C84" s="5">
        <v>82</v>
      </c>
      <c r="D84" s="5" t="s">
        <v>20</v>
      </c>
      <c r="E84" s="5">
        <v>736.68</v>
      </c>
      <c r="F84" s="5">
        <v>739.84</v>
      </c>
      <c r="G84" s="5">
        <f t="shared" si="10"/>
        <v>51.265822784808805</v>
      </c>
      <c r="H84" s="5">
        <v>2.87</v>
      </c>
      <c r="I84" s="5">
        <v>2.87</v>
      </c>
      <c r="J84" s="5">
        <f t="shared" si="11"/>
        <v>2.87</v>
      </c>
      <c r="K84">
        <f t="shared" si="12"/>
        <v>0.25</v>
      </c>
      <c r="L84" s="5">
        <v>82</v>
      </c>
      <c r="M84" s="5" t="s">
        <v>20</v>
      </c>
      <c r="N84" s="5">
        <v>831.56</v>
      </c>
      <c r="O84" s="5">
        <v>835.16</v>
      </c>
      <c r="P84" s="5">
        <f t="shared" si="13"/>
        <v>44.999999999999723</v>
      </c>
      <c r="Q84" s="5">
        <f t="shared" si="14"/>
        <v>7.4</v>
      </c>
      <c r="R84" s="5">
        <v>7.4</v>
      </c>
      <c r="S84" s="5">
        <f t="shared" si="8"/>
        <v>1.5999999999999996</v>
      </c>
      <c r="T84" s="5">
        <f t="shared" si="8"/>
        <v>1.5999999999999996</v>
      </c>
      <c r="U84" s="5">
        <f t="shared" si="15"/>
        <v>1.5999999999999996</v>
      </c>
      <c r="V84">
        <f t="shared" si="16"/>
        <v>8.4639999999999334E-3</v>
      </c>
    </row>
    <row r="85" spans="3:22" x14ac:dyDescent="0.25">
      <c r="C85" s="5">
        <v>83</v>
      </c>
      <c r="D85" s="5" t="s">
        <v>18</v>
      </c>
      <c r="E85" s="5">
        <v>744.52</v>
      </c>
      <c r="F85" s="5">
        <v>750.36</v>
      </c>
      <c r="G85" s="5">
        <f t="shared" si="10"/>
        <v>27.739726027397108</v>
      </c>
      <c r="H85" s="5">
        <v>2.95</v>
      </c>
      <c r="I85" s="5">
        <v>2.95</v>
      </c>
      <c r="J85" s="5">
        <f t="shared" si="11"/>
        <v>2.95</v>
      </c>
      <c r="K85">
        <f t="shared" si="12"/>
        <v>0.17639999999999995</v>
      </c>
      <c r="L85" s="5">
        <v>83</v>
      </c>
      <c r="M85" s="5" t="s">
        <v>20</v>
      </c>
      <c r="N85" s="5">
        <v>832.96</v>
      </c>
      <c r="O85" s="5">
        <v>837.12</v>
      </c>
      <c r="P85" s="5">
        <f t="shared" si="13"/>
        <v>38.942307692307992</v>
      </c>
      <c r="Q85" s="5">
        <f t="shared" si="14"/>
        <v>7.87</v>
      </c>
      <c r="R85" s="5">
        <v>7.87</v>
      </c>
      <c r="S85" s="5">
        <f t="shared" ref="S85:T100" si="17">$A$5-Q85</f>
        <v>1.1299999999999999</v>
      </c>
      <c r="T85" s="5">
        <f t="shared" si="17"/>
        <v>1.1299999999999999</v>
      </c>
      <c r="U85" s="5">
        <f t="shared" si="15"/>
        <v>1.1299999999999999</v>
      </c>
      <c r="V85">
        <f t="shared" si="16"/>
        <v>0.14288400000000009</v>
      </c>
    </row>
    <row r="86" spans="3:22" x14ac:dyDescent="0.25">
      <c r="C86" s="5">
        <v>84</v>
      </c>
      <c r="D86" s="5" t="s">
        <v>19</v>
      </c>
      <c r="E86" s="5">
        <v>745.24</v>
      </c>
      <c r="F86" s="5">
        <v>749.92</v>
      </c>
      <c r="G86" s="5">
        <f t="shared" si="10"/>
        <v>34.615384615384983</v>
      </c>
      <c r="H86" s="5">
        <v>4.16</v>
      </c>
      <c r="I86" s="5">
        <v>5.6</v>
      </c>
      <c r="J86" s="5">
        <f t="shared" si="11"/>
        <v>4.88</v>
      </c>
      <c r="K86">
        <f t="shared" si="12"/>
        <v>2.2800999999999996</v>
      </c>
      <c r="L86" s="5">
        <v>84</v>
      </c>
      <c r="M86" s="5" t="s">
        <v>19</v>
      </c>
      <c r="N86" s="5">
        <v>834.32</v>
      </c>
      <c r="O86" s="5">
        <v>838.56</v>
      </c>
      <c r="P86" s="5">
        <f t="shared" si="13"/>
        <v>38.207547169812266</v>
      </c>
      <c r="Q86" s="5">
        <f t="shared" si="14"/>
        <v>7.6899999999999995</v>
      </c>
      <c r="R86" s="5">
        <v>6.25</v>
      </c>
      <c r="S86" s="5">
        <f t="shared" si="17"/>
        <v>1.3100000000000005</v>
      </c>
      <c r="T86" s="5">
        <f t="shared" si="17"/>
        <v>2.75</v>
      </c>
      <c r="U86" s="5">
        <f t="shared" si="15"/>
        <v>2.0300000000000002</v>
      </c>
      <c r="V86">
        <f t="shared" si="16"/>
        <v>0.27248400000000023</v>
      </c>
    </row>
    <row r="87" spans="3:22" x14ac:dyDescent="0.25">
      <c r="C87" s="5">
        <v>85</v>
      </c>
      <c r="D87" s="5" t="s">
        <v>19</v>
      </c>
      <c r="E87" s="5">
        <v>746.48</v>
      </c>
      <c r="F87" s="5">
        <v>751.12</v>
      </c>
      <c r="G87" s="5">
        <f t="shared" si="10"/>
        <v>34.913793103448384</v>
      </c>
      <c r="H87" s="5">
        <v>4</v>
      </c>
      <c r="I87" s="5">
        <v>5.44</v>
      </c>
      <c r="J87" s="5">
        <f t="shared" si="11"/>
        <v>4.7200000000000006</v>
      </c>
      <c r="K87">
        <f t="shared" si="12"/>
        <v>1.8225000000000013</v>
      </c>
      <c r="L87" s="5">
        <v>85</v>
      </c>
      <c r="M87" s="5" t="s">
        <v>20</v>
      </c>
      <c r="N87" s="5">
        <v>842.88</v>
      </c>
      <c r="O87" s="5">
        <v>846.72</v>
      </c>
      <c r="P87" s="5">
        <f t="shared" si="13"/>
        <v>42.187499999999652</v>
      </c>
      <c r="Q87" s="5">
        <f t="shared" si="14"/>
        <v>8.16</v>
      </c>
      <c r="R87" s="5">
        <v>8.16</v>
      </c>
      <c r="S87" s="5">
        <f t="shared" si="17"/>
        <v>0.83999999999999986</v>
      </c>
      <c r="T87" s="5">
        <f t="shared" si="17"/>
        <v>0.83999999999999986</v>
      </c>
      <c r="U87" s="5">
        <f t="shared" si="15"/>
        <v>0.83999999999999986</v>
      </c>
      <c r="V87">
        <f t="shared" si="16"/>
        <v>0.44622400000000018</v>
      </c>
    </row>
    <row r="88" spans="3:22" x14ac:dyDescent="0.25">
      <c r="C88" s="5">
        <v>86</v>
      </c>
      <c r="D88" s="5" t="s">
        <v>19</v>
      </c>
      <c r="E88" s="5">
        <v>747.4</v>
      </c>
      <c r="F88" s="5">
        <v>752.16</v>
      </c>
      <c r="G88" s="5">
        <f t="shared" si="10"/>
        <v>34.033613445378215</v>
      </c>
      <c r="H88" s="5">
        <v>3.42</v>
      </c>
      <c r="I88" s="5">
        <v>4.8600000000000003</v>
      </c>
      <c r="J88" s="5">
        <f t="shared" si="11"/>
        <v>4.1400000000000006</v>
      </c>
      <c r="K88">
        <f t="shared" si="12"/>
        <v>0.59290000000000076</v>
      </c>
      <c r="L88" s="5">
        <v>86</v>
      </c>
      <c r="M88" s="5" t="s">
        <v>22</v>
      </c>
      <c r="N88" s="5">
        <v>845.68</v>
      </c>
      <c r="O88" s="5">
        <v>849.36</v>
      </c>
      <c r="P88" s="5">
        <f t="shared" si="13"/>
        <v>44.021739130434021</v>
      </c>
      <c r="Q88" s="5">
        <f t="shared" si="14"/>
        <v>8.27</v>
      </c>
      <c r="R88" s="5">
        <v>5.84</v>
      </c>
      <c r="S88" s="5">
        <f t="shared" si="17"/>
        <v>0.73000000000000043</v>
      </c>
      <c r="T88" s="5">
        <f t="shared" si="17"/>
        <v>3.16</v>
      </c>
      <c r="U88" s="5">
        <f t="shared" si="15"/>
        <v>1.9450000000000003</v>
      </c>
      <c r="V88">
        <f t="shared" si="16"/>
        <v>0.19096900000000025</v>
      </c>
    </row>
    <row r="89" spans="3:22" x14ac:dyDescent="0.25">
      <c r="C89" s="5">
        <v>87</v>
      </c>
      <c r="D89" s="5" t="s">
        <v>19</v>
      </c>
      <c r="E89" s="5">
        <v>748.76</v>
      </c>
      <c r="F89" s="5">
        <v>753.24</v>
      </c>
      <c r="G89" s="5">
        <f t="shared" si="10"/>
        <v>36.160714285714143</v>
      </c>
      <c r="H89" s="5">
        <v>3.3</v>
      </c>
      <c r="I89" s="5">
        <v>4.74</v>
      </c>
      <c r="J89" s="5">
        <f t="shared" si="11"/>
        <v>4.0199999999999996</v>
      </c>
      <c r="K89">
        <f t="shared" si="12"/>
        <v>0.42249999999999932</v>
      </c>
      <c r="L89" s="5">
        <v>87</v>
      </c>
      <c r="M89" s="5" t="s">
        <v>20</v>
      </c>
      <c r="N89" s="5">
        <v>846.26</v>
      </c>
      <c r="O89" s="5">
        <v>849.64</v>
      </c>
      <c r="P89" s="5">
        <f t="shared" si="13"/>
        <v>47.928994082840305</v>
      </c>
      <c r="Q89" s="5">
        <f t="shared" si="14"/>
        <v>8.35</v>
      </c>
      <c r="R89" s="5">
        <v>8.35</v>
      </c>
      <c r="S89" s="5">
        <f t="shared" si="17"/>
        <v>0.65000000000000036</v>
      </c>
      <c r="T89" s="5">
        <f t="shared" si="17"/>
        <v>0.65000000000000036</v>
      </c>
      <c r="U89" s="5">
        <f t="shared" si="15"/>
        <v>0.65000000000000036</v>
      </c>
      <c r="V89">
        <f t="shared" si="16"/>
        <v>0.73616399999999937</v>
      </c>
    </row>
    <row r="90" spans="3:22" x14ac:dyDescent="0.25">
      <c r="C90" s="5">
        <v>88</v>
      </c>
      <c r="D90" s="5" t="s">
        <v>19</v>
      </c>
      <c r="E90" s="5">
        <v>749.92</v>
      </c>
      <c r="F90" s="5">
        <v>754.88</v>
      </c>
      <c r="G90" s="5">
        <f t="shared" si="10"/>
        <v>32.661290322580406</v>
      </c>
      <c r="H90" s="5">
        <v>3.07</v>
      </c>
      <c r="I90" s="5">
        <v>4.51</v>
      </c>
      <c r="J90" s="5">
        <f t="shared" si="11"/>
        <v>3.79</v>
      </c>
      <c r="K90">
        <f t="shared" si="12"/>
        <v>0.17639999999999995</v>
      </c>
      <c r="L90" s="5">
        <v>88</v>
      </c>
      <c r="M90" s="5" t="s">
        <v>19</v>
      </c>
      <c r="N90" s="5">
        <v>848.24</v>
      </c>
      <c r="O90" s="5">
        <v>851.88</v>
      </c>
      <c r="P90" s="5">
        <f t="shared" si="13"/>
        <v>44.505494505494674</v>
      </c>
      <c r="Q90" s="5">
        <f t="shared" si="14"/>
        <v>7.26</v>
      </c>
      <c r="R90" s="5">
        <v>5.82</v>
      </c>
      <c r="S90" s="5">
        <f t="shared" si="17"/>
        <v>1.7400000000000002</v>
      </c>
      <c r="T90" s="5">
        <f t="shared" si="17"/>
        <v>3.1799999999999997</v>
      </c>
      <c r="U90" s="5">
        <f t="shared" si="15"/>
        <v>2.46</v>
      </c>
      <c r="V90">
        <f t="shared" si="16"/>
        <v>0.90630399999999989</v>
      </c>
    </row>
    <row r="91" spans="3:22" x14ac:dyDescent="0.25">
      <c r="C91" s="5">
        <v>89</v>
      </c>
      <c r="D91" s="5" t="s">
        <v>20</v>
      </c>
      <c r="E91" s="5">
        <v>750.56</v>
      </c>
      <c r="F91" s="5">
        <v>754.32</v>
      </c>
      <c r="G91" s="5">
        <f t="shared" si="10"/>
        <v>43.085106382977521</v>
      </c>
      <c r="H91" s="5">
        <v>2.08</v>
      </c>
      <c r="I91" s="5">
        <v>2.08</v>
      </c>
      <c r="J91" s="5">
        <f t="shared" si="11"/>
        <v>2.08</v>
      </c>
      <c r="K91">
        <f t="shared" si="12"/>
        <v>1.6641000000000001</v>
      </c>
      <c r="L91" s="5">
        <v>89</v>
      </c>
      <c r="M91" s="5" t="s">
        <v>20</v>
      </c>
      <c r="N91" s="5">
        <v>848.48</v>
      </c>
      <c r="O91" s="5">
        <v>854.4</v>
      </c>
      <c r="P91" s="5">
        <f t="shared" si="13"/>
        <v>27.364864864865055</v>
      </c>
      <c r="Q91" s="5">
        <f t="shared" si="14"/>
        <v>8.23</v>
      </c>
      <c r="R91" s="5">
        <v>8.23</v>
      </c>
      <c r="S91" s="5">
        <f t="shared" si="17"/>
        <v>0.76999999999999957</v>
      </c>
      <c r="T91" s="5">
        <f t="shared" si="17"/>
        <v>0.76999999999999957</v>
      </c>
      <c r="U91" s="5">
        <f t="shared" si="15"/>
        <v>0.76999999999999957</v>
      </c>
      <c r="V91">
        <f t="shared" si="16"/>
        <v>0.54464400000000068</v>
      </c>
    </row>
    <row r="92" spans="3:22" x14ac:dyDescent="0.25">
      <c r="C92" s="5">
        <v>90</v>
      </c>
      <c r="D92" s="5" t="s">
        <v>19</v>
      </c>
      <c r="E92" s="5">
        <v>753.96</v>
      </c>
      <c r="F92" s="5">
        <v>757.56</v>
      </c>
      <c r="G92" s="5">
        <f t="shared" si="10"/>
        <v>45.000000000001137</v>
      </c>
      <c r="H92" s="5">
        <v>2.83</v>
      </c>
      <c r="I92" s="5">
        <v>4.2699999999999996</v>
      </c>
      <c r="J92" s="5">
        <f t="shared" si="11"/>
        <v>3.55</v>
      </c>
      <c r="K92">
        <f t="shared" si="12"/>
        <v>3.2399999999999901E-2</v>
      </c>
      <c r="L92" s="5">
        <v>90</v>
      </c>
      <c r="M92" s="5" t="s">
        <v>19</v>
      </c>
      <c r="N92" s="5">
        <v>852.2</v>
      </c>
      <c r="O92" s="5">
        <v>855.56</v>
      </c>
      <c r="P92" s="5">
        <f t="shared" si="13"/>
        <v>48.214285714287151</v>
      </c>
      <c r="Q92" s="5">
        <f t="shared" si="14"/>
        <v>7.7899999999999991</v>
      </c>
      <c r="R92" s="5">
        <v>6.35</v>
      </c>
      <c r="S92" s="5">
        <f t="shared" si="17"/>
        <v>1.2100000000000009</v>
      </c>
      <c r="T92" s="5">
        <f t="shared" si="17"/>
        <v>2.6500000000000004</v>
      </c>
      <c r="U92" s="5">
        <f t="shared" si="15"/>
        <v>1.9300000000000006</v>
      </c>
      <c r="V92">
        <f t="shared" si="16"/>
        <v>0.17808400000000049</v>
      </c>
    </row>
    <row r="93" spans="3:22" x14ac:dyDescent="0.25">
      <c r="C93" s="5">
        <v>91</v>
      </c>
      <c r="D93" s="5" t="s">
        <v>19</v>
      </c>
      <c r="E93" s="5">
        <v>755.52</v>
      </c>
      <c r="F93" s="5">
        <v>758.92</v>
      </c>
      <c r="G93" s="5">
        <f t="shared" si="10"/>
        <v>47.647058823529733</v>
      </c>
      <c r="H93" s="5">
        <v>3.17</v>
      </c>
      <c r="I93" s="5">
        <v>4.6100000000000003</v>
      </c>
      <c r="J93" s="5">
        <f t="shared" si="11"/>
        <v>3.89</v>
      </c>
      <c r="K93">
        <f t="shared" si="12"/>
        <v>0.27040000000000003</v>
      </c>
      <c r="L93" s="5">
        <v>91</v>
      </c>
      <c r="M93" s="5" t="s">
        <v>19</v>
      </c>
      <c r="N93" s="5">
        <v>853.32</v>
      </c>
      <c r="O93" s="5">
        <v>856.4</v>
      </c>
      <c r="P93" s="5">
        <f t="shared" si="13"/>
        <v>52.597402597403843</v>
      </c>
      <c r="Q93" s="5">
        <f t="shared" si="14"/>
        <v>7.8100000000000005</v>
      </c>
      <c r="R93" s="5">
        <v>6.37</v>
      </c>
      <c r="S93" s="5">
        <f t="shared" si="17"/>
        <v>1.1899999999999995</v>
      </c>
      <c r="T93" s="5">
        <f t="shared" si="17"/>
        <v>2.63</v>
      </c>
      <c r="U93" s="5">
        <f t="shared" si="15"/>
        <v>1.9099999999999997</v>
      </c>
      <c r="V93">
        <f t="shared" si="16"/>
        <v>0.16160399999999975</v>
      </c>
    </row>
    <row r="94" spans="3:22" x14ac:dyDescent="0.25">
      <c r="C94" s="5">
        <v>92</v>
      </c>
      <c r="D94" s="5" t="s">
        <v>20</v>
      </c>
      <c r="E94" s="5">
        <v>756.32</v>
      </c>
      <c r="F94" s="5">
        <v>761</v>
      </c>
      <c r="G94" s="5">
        <f t="shared" si="10"/>
        <v>34.615384615384983</v>
      </c>
      <c r="H94" s="5">
        <v>2.12</v>
      </c>
      <c r="I94" s="5">
        <v>2.12</v>
      </c>
      <c r="J94" s="5">
        <f t="shared" si="11"/>
        <v>2.12</v>
      </c>
      <c r="K94">
        <f t="shared" si="12"/>
        <v>1.5625</v>
      </c>
      <c r="L94" s="5">
        <v>92</v>
      </c>
      <c r="M94" s="5" t="s">
        <v>20</v>
      </c>
      <c r="N94" s="5">
        <v>854.44</v>
      </c>
      <c r="O94" s="5">
        <v>858.08</v>
      </c>
      <c r="P94" s="5">
        <f t="shared" si="13"/>
        <v>44.505494505494674</v>
      </c>
      <c r="Q94" s="5">
        <f t="shared" si="14"/>
        <v>7.94</v>
      </c>
      <c r="R94" s="5">
        <v>7.94</v>
      </c>
      <c r="S94" s="5">
        <f t="shared" si="17"/>
        <v>1.0599999999999996</v>
      </c>
      <c r="T94" s="5">
        <f t="shared" si="17"/>
        <v>1.0599999999999996</v>
      </c>
      <c r="U94" s="5">
        <f t="shared" si="15"/>
        <v>1.0599999999999996</v>
      </c>
      <c r="V94">
        <f t="shared" si="16"/>
        <v>0.20070400000000035</v>
      </c>
    </row>
    <row r="95" spans="3:22" x14ac:dyDescent="0.25">
      <c r="C95" s="5">
        <v>93</v>
      </c>
      <c r="D95" s="5" t="s">
        <v>20</v>
      </c>
      <c r="E95" s="5">
        <v>758.4</v>
      </c>
      <c r="F95" s="5">
        <v>760.96</v>
      </c>
      <c r="G95" s="5">
        <f t="shared" si="10"/>
        <v>63.281249999998543</v>
      </c>
      <c r="H95" s="5">
        <v>3.84</v>
      </c>
      <c r="I95" s="5">
        <v>3.84</v>
      </c>
      <c r="J95" s="5">
        <f t="shared" si="11"/>
        <v>3.84</v>
      </c>
      <c r="K95">
        <f t="shared" si="12"/>
        <v>0.22089999999999976</v>
      </c>
      <c r="L95" s="5">
        <v>93</v>
      </c>
      <c r="M95" s="5" t="s">
        <v>19</v>
      </c>
      <c r="N95" s="5">
        <v>854.96</v>
      </c>
      <c r="O95" s="5">
        <v>858.32</v>
      </c>
      <c r="P95" s="5">
        <f t="shared" si="13"/>
        <v>48.214285714285523</v>
      </c>
      <c r="Q95" s="5">
        <f t="shared" si="14"/>
        <v>7.3900000000000006</v>
      </c>
      <c r="R95" s="5">
        <v>5.95</v>
      </c>
      <c r="S95" s="5">
        <f t="shared" si="17"/>
        <v>1.6099999999999994</v>
      </c>
      <c r="T95" s="5">
        <f t="shared" si="17"/>
        <v>3.05</v>
      </c>
      <c r="U95" s="5">
        <f t="shared" si="15"/>
        <v>2.3299999999999996</v>
      </c>
      <c r="V95">
        <f t="shared" si="16"/>
        <v>0.6756839999999994</v>
      </c>
    </row>
    <row r="96" spans="3:22" x14ac:dyDescent="0.25">
      <c r="C96" s="5">
        <v>94</v>
      </c>
      <c r="D96" s="5" t="s">
        <v>19</v>
      </c>
      <c r="E96" s="5">
        <v>758.72</v>
      </c>
      <c r="F96" s="5">
        <v>762.52</v>
      </c>
      <c r="G96" s="5">
        <f t="shared" si="10"/>
        <v>42.631578947368929</v>
      </c>
      <c r="H96" s="5">
        <v>3.19</v>
      </c>
      <c r="I96" s="5">
        <v>4.03</v>
      </c>
      <c r="J96" s="5">
        <f t="shared" si="11"/>
        <v>3.6100000000000003</v>
      </c>
      <c r="K96">
        <f t="shared" si="12"/>
        <v>5.7600000000000103E-2</v>
      </c>
      <c r="L96" s="5">
        <v>94</v>
      </c>
      <c r="M96" s="5" t="s">
        <v>20</v>
      </c>
      <c r="N96" s="5">
        <v>859.72</v>
      </c>
      <c r="O96" s="5">
        <v>862.76</v>
      </c>
      <c r="P96" s="5">
        <f t="shared" si="13"/>
        <v>53.289473684211167</v>
      </c>
      <c r="Q96" s="5">
        <f t="shared" si="14"/>
        <v>7.72</v>
      </c>
      <c r="R96" s="5">
        <v>7.72</v>
      </c>
      <c r="S96" s="5">
        <f t="shared" si="17"/>
        <v>1.2800000000000002</v>
      </c>
      <c r="T96" s="5">
        <f t="shared" si="17"/>
        <v>1.2800000000000002</v>
      </c>
      <c r="U96" s="5">
        <f t="shared" si="15"/>
        <v>1.2800000000000002</v>
      </c>
      <c r="V96">
        <f t="shared" si="16"/>
        <v>5.1983999999999891E-2</v>
      </c>
    </row>
    <row r="97" spans="3:22" x14ac:dyDescent="0.25">
      <c r="C97" s="5">
        <v>95</v>
      </c>
      <c r="D97" s="5" t="s">
        <v>20</v>
      </c>
      <c r="E97" s="5">
        <v>759.16</v>
      </c>
      <c r="F97" s="5">
        <v>763.44</v>
      </c>
      <c r="G97" s="5">
        <f t="shared" si="10"/>
        <v>37.850467289718864</v>
      </c>
      <c r="H97" s="5">
        <v>2.44</v>
      </c>
      <c r="I97" s="5">
        <v>2.44</v>
      </c>
      <c r="J97" s="5">
        <f t="shared" si="11"/>
        <v>2.44</v>
      </c>
      <c r="K97">
        <f t="shared" si="12"/>
        <v>0.86490000000000034</v>
      </c>
      <c r="L97" s="5">
        <v>95</v>
      </c>
      <c r="M97" s="5" t="s">
        <v>19</v>
      </c>
      <c r="N97" s="5">
        <v>868.56</v>
      </c>
      <c r="O97" s="5">
        <v>871.8</v>
      </c>
      <c r="P97" s="5">
        <f t="shared" si="13"/>
        <v>49.999999999999865</v>
      </c>
      <c r="Q97" s="5">
        <f t="shared" si="14"/>
        <v>7.77</v>
      </c>
      <c r="R97" s="5">
        <v>6.33</v>
      </c>
      <c r="S97" s="5">
        <f t="shared" si="17"/>
        <v>1.2300000000000004</v>
      </c>
      <c r="T97" s="5">
        <f t="shared" si="17"/>
        <v>2.67</v>
      </c>
      <c r="U97" s="5">
        <f t="shared" si="15"/>
        <v>1.9500000000000002</v>
      </c>
      <c r="V97">
        <f t="shared" si="16"/>
        <v>0.19536400000000015</v>
      </c>
    </row>
    <row r="98" spans="3:22" x14ac:dyDescent="0.25">
      <c r="C98" s="5">
        <v>96</v>
      </c>
      <c r="D98" s="5" t="s">
        <v>19</v>
      </c>
      <c r="E98" s="5">
        <v>759.8</v>
      </c>
      <c r="F98" s="5">
        <v>763.88</v>
      </c>
      <c r="G98" s="5">
        <f t="shared" si="10"/>
        <v>39.705882352940783</v>
      </c>
      <c r="H98" s="5">
        <v>3.65</v>
      </c>
      <c r="I98" s="5">
        <v>5.09</v>
      </c>
      <c r="J98" s="5">
        <f t="shared" si="11"/>
        <v>4.37</v>
      </c>
      <c r="K98">
        <f t="shared" si="12"/>
        <v>1</v>
      </c>
      <c r="L98" s="5">
        <v>96</v>
      </c>
      <c r="M98" s="5" t="s">
        <v>19</v>
      </c>
      <c r="N98" s="5">
        <v>874.68</v>
      </c>
      <c r="O98" s="5">
        <v>877.92</v>
      </c>
      <c r="P98" s="5">
        <f t="shared" si="13"/>
        <v>49.999999999999865</v>
      </c>
      <c r="Q98" s="5">
        <f t="shared" si="14"/>
        <v>8.56</v>
      </c>
      <c r="R98" s="5">
        <v>7.12</v>
      </c>
      <c r="S98" s="5">
        <f t="shared" si="17"/>
        <v>0.4399999999999995</v>
      </c>
      <c r="T98" s="5">
        <f t="shared" si="17"/>
        <v>1.88</v>
      </c>
      <c r="U98" s="5">
        <f t="shared" si="15"/>
        <v>1.1599999999999997</v>
      </c>
      <c r="V98">
        <f t="shared" si="16"/>
        <v>0.12110400000000021</v>
      </c>
    </row>
    <row r="99" spans="3:22" x14ac:dyDescent="0.25">
      <c r="C99" s="5">
        <v>97</v>
      </c>
      <c r="D99" s="5" t="s">
        <v>20</v>
      </c>
      <c r="E99" s="5">
        <v>761.72</v>
      </c>
      <c r="F99" s="5">
        <v>765.12</v>
      </c>
      <c r="G99" s="5">
        <f t="shared" si="10"/>
        <v>47.647058823529733</v>
      </c>
      <c r="H99" s="5">
        <v>2.2200000000000002</v>
      </c>
      <c r="I99" s="5">
        <v>2.2200000000000002</v>
      </c>
      <c r="J99" s="5">
        <f t="shared" si="11"/>
        <v>2.2200000000000002</v>
      </c>
      <c r="K99">
        <f t="shared" si="12"/>
        <v>1.3224999999999998</v>
      </c>
      <c r="L99" s="5">
        <v>97</v>
      </c>
      <c r="M99" s="5" t="s">
        <v>20</v>
      </c>
      <c r="N99" s="5">
        <v>875.6</v>
      </c>
      <c r="O99" s="5">
        <v>878.56</v>
      </c>
      <c r="P99" s="5">
        <f t="shared" si="13"/>
        <v>54.729729729731162</v>
      </c>
      <c r="Q99" s="5">
        <f t="shared" si="14"/>
        <v>8.27</v>
      </c>
      <c r="R99" s="5">
        <v>8.27</v>
      </c>
      <c r="S99" s="5">
        <f t="shared" si="17"/>
        <v>0.73000000000000043</v>
      </c>
      <c r="T99" s="5">
        <f t="shared" si="17"/>
        <v>0.73000000000000043</v>
      </c>
      <c r="U99" s="5">
        <f t="shared" si="15"/>
        <v>0.73000000000000043</v>
      </c>
      <c r="V99">
        <f t="shared" si="16"/>
        <v>0.60528399999999938</v>
      </c>
    </row>
    <row r="100" spans="3:22" x14ac:dyDescent="0.25">
      <c r="C100" s="5">
        <v>98</v>
      </c>
      <c r="D100" s="5" t="s">
        <v>20</v>
      </c>
      <c r="E100" s="5">
        <v>762.32</v>
      </c>
      <c r="F100" s="5">
        <v>765.68</v>
      </c>
      <c r="G100" s="5">
        <f t="shared" si="10"/>
        <v>48.214285714287151</v>
      </c>
      <c r="H100" s="5">
        <v>3.38</v>
      </c>
      <c r="I100" s="5">
        <v>3.38</v>
      </c>
      <c r="J100" s="5">
        <f t="shared" si="11"/>
        <v>3.38</v>
      </c>
      <c r="K100">
        <f t="shared" si="12"/>
        <v>9.9999999999995736E-5</v>
      </c>
      <c r="L100" s="5">
        <v>98</v>
      </c>
      <c r="M100" s="5" t="s">
        <v>19</v>
      </c>
      <c r="N100" s="5">
        <v>878.2</v>
      </c>
      <c r="O100" s="5">
        <v>881.92</v>
      </c>
      <c r="P100" s="5">
        <f t="shared" si="13"/>
        <v>43.548387096775208</v>
      </c>
      <c r="Q100" s="5">
        <f t="shared" si="14"/>
        <v>7.73</v>
      </c>
      <c r="R100" s="5">
        <v>6.29</v>
      </c>
      <c r="S100" s="5">
        <f t="shared" si="17"/>
        <v>1.2699999999999996</v>
      </c>
      <c r="T100" s="5">
        <f t="shared" si="17"/>
        <v>2.71</v>
      </c>
      <c r="U100" s="5">
        <f t="shared" si="15"/>
        <v>1.9899999999999998</v>
      </c>
      <c r="V100">
        <f t="shared" si="16"/>
        <v>0.23232399999999978</v>
      </c>
    </row>
    <row r="101" spans="3:22" x14ac:dyDescent="0.25">
      <c r="C101" s="5">
        <v>99</v>
      </c>
      <c r="D101" s="5" t="s">
        <v>19</v>
      </c>
      <c r="E101" s="5">
        <v>764.92</v>
      </c>
      <c r="F101" s="5">
        <v>767.6</v>
      </c>
      <c r="G101" s="5">
        <f t="shared" si="10"/>
        <v>60.447761194028416</v>
      </c>
      <c r="H101" s="5">
        <v>3.7</v>
      </c>
      <c r="I101" s="5">
        <v>5.0999999999999996</v>
      </c>
      <c r="J101" s="5">
        <f t="shared" si="11"/>
        <v>4.4000000000000004</v>
      </c>
      <c r="K101">
        <f t="shared" si="12"/>
        <v>1.0609000000000006</v>
      </c>
      <c r="L101" s="5">
        <v>99</v>
      </c>
      <c r="M101" s="5" t="s">
        <v>27</v>
      </c>
      <c r="N101" s="5">
        <v>884.64</v>
      </c>
      <c r="O101" s="5">
        <v>888.08</v>
      </c>
      <c r="P101" s="5">
        <f t="shared" si="13"/>
        <v>47.093023255813208</v>
      </c>
      <c r="Q101" s="5">
        <f t="shared" si="14"/>
        <v>7.52</v>
      </c>
      <c r="R101" s="5">
        <v>7.52</v>
      </c>
      <c r="S101" s="5">
        <f t="shared" ref="S101:T103" si="18">$A$5-Q101</f>
        <v>1.4800000000000004</v>
      </c>
      <c r="T101" s="5">
        <f t="shared" si="18"/>
        <v>1.4800000000000004</v>
      </c>
      <c r="U101" s="5">
        <f t="shared" si="15"/>
        <v>1.4800000000000004</v>
      </c>
      <c r="V101">
        <f t="shared" si="16"/>
        <v>7.8399999999997656E-4</v>
      </c>
    </row>
    <row r="102" spans="3:22" x14ac:dyDescent="0.25">
      <c r="C102" s="5">
        <v>100</v>
      </c>
      <c r="D102" s="5" t="s">
        <v>19</v>
      </c>
      <c r="E102" s="5">
        <v>767.12</v>
      </c>
      <c r="F102" s="5">
        <v>770.68</v>
      </c>
      <c r="G102" s="5">
        <f t="shared" si="10"/>
        <v>45.505617977528793</v>
      </c>
      <c r="H102" s="5">
        <v>3.08</v>
      </c>
      <c r="I102" s="5">
        <v>4.5199999999999996</v>
      </c>
      <c r="J102" s="5">
        <f t="shared" si="11"/>
        <v>3.8</v>
      </c>
      <c r="K102">
        <f t="shared" si="12"/>
        <v>0.18489999999999976</v>
      </c>
      <c r="L102" s="5">
        <v>100</v>
      </c>
      <c r="M102" s="5" t="s">
        <v>20</v>
      </c>
      <c r="N102" s="5">
        <v>893.68</v>
      </c>
      <c r="O102" s="5">
        <v>898.84</v>
      </c>
      <c r="P102" s="5">
        <f t="shared" si="13"/>
        <v>31.395348837208804</v>
      </c>
      <c r="Q102" s="5">
        <f t="shared" si="14"/>
        <v>7</v>
      </c>
      <c r="R102" s="5">
        <v>7</v>
      </c>
      <c r="S102" s="5">
        <f t="shared" si="18"/>
        <v>2</v>
      </c>
      <c r="T102" s="5">
        <f t="shared" si="18"/>
        <v>2</v>
      </c>
      <c r="U102" s="5">
        <f t="shared" si="15"/>
        <v>2</v>
      </c>
      <c r="V102">
        <f t="shared" si="16"/>
        <v>0.242064</v>
      </c>
    </row>
    <row r="103" spans="3:22" x14ac:dyDescent="0.25">
      <c r="C103" s="5">
        <v>101</v>
      </c>
      <c r="D103" s="5" t="s">
        <v>19</v>
      </c>
      <c r="E103" s="5">
        <v>769.04</v>
      </c>
      <c r="F103" s="5">
        <v>772.48</v>
      </c>
      <c r="G103" s="5">
        <f t="shared" si="10"/>
        <v>47.093023255813208</v>
      </c>
      <c r="H103" s="5">
        <v>2.91</v>
      </c>
      <c r="I103" s="5">
        <v>4.3499999999999996</v>
      </c>
      <c r="J103" s="5">
        <f t="shared" si="11"/>
        <v>3.63</v>
      </c>
      <c r="K103">
        <f t="shared" si="12"/>
        <v>6.7599999999999882E-2</v>
      </c>
      <c r="L103" s="5">
        <v>101</v>
      </c>
      <c r="M103" s="5" t="s">
        <v>20</v>
      </c>
      <c r="N103" s="5">
        <v>897.72</v>
      </c>
      <c r="O103" s="5">
        <v>901.2</v>
      </c>
      <c r="P103" s="5">
        <f t="shared" si="13"/>
        <v>46.55172413793079</v>
      </c>
      <c r="Q103" s="5">
        <f t="shared" si="14"/>
        <v>6.7</v>
      </c>
      <c r="R103" s="5">
        <v>6.7</v>
      </c>
      <c r="S103" s="5">
        <f t="shared" si="18"/>
        <v>2.2999999999999998</v>
      </c>
      <c r="T103" s="5">
        <f t="shared" si="18"/>
        <v>2.2999999999999998</v>
      </c>
      <c r="U103" s="5">
        <f t="shared" si="15"/>
        <v>2.2999999999999998</v>
      </c>
      <c r="V103">
        <f t="shared" si="16"/>
        <v>0.62726399999999971</v>
      </c>
    </row>
    <row r="104" spans="3:22" x14ac:dyDescent="0.25">
      <c r="C104" s="5">
        <v>102</v>
      </c>
      <c r="D104" s="5" t="s">
        <v>19</v>
      </c>
      <c r="E104" s="5">
        <v>770.04</v>
      </c>
      <c r="F104" s="5">
        <v>773.08</v>
      </c>
      <c r="G104" s="5">
        <f t="shared" si="10"/>
        <v>53.28947368420917</v>
      </c>
      <c r="H104" s="5">
        <v>4.95</v>
      </c>
      <c r="I104" s="5">
        <v>6.39</v>
      </c>
      <c r="J104" s="5">
        <f t="shared" si="11"/>
        <v>5.67</v>
      </c>
      <c r="K104">
        <f t="shared" si="12"/>
        <v>5.2899999999999991</v>
      </c>
    </row>
    <row r="105" spans="3:22" x14ac:dyDescent="0.25">
      <c r="C105" s="5">
        <v>103</v>
      </c>
      <c r="D105" s="5" t="s">
        <v>19</v>
      </c>
      <c r="E105" s="5">
        <v>772.32</v>
      </c>
      <c r="F105" s="5">
        <v>775.64</v>
      </c>
      <c r="G105" s="5">
        <f t="shared" si="10"/>
        <v>48.795180722892503</v>
      </c>
      <c r="H105" s="5">
        <v>3.36</v>
      </c>
      <c r="I105" s="5">
        <v>4.8</v>
      </c>
      <c r="J105" s="5">
        <f t="shared" si="11"/>
        <v>4.08</v>
      </c>
      <c r="K105">
        <f t="shared" si="12"/>
        <v>0.50409999999999999</v>
      </c>
    </row>
    <row r="106" spans="3:22" x14ac:dyDescent="0.25">
      <c r="C106" s="5">
        <v>104</v>
      </c>
      <c r="D106" s="5" t="s">
        <v>20</v>
      </c>
      <c r="E106" s="5">
        <v>773</v>
      </c>
      <c r="F106" s="5">
        <v>777.24</v>
      </c>
      <c r="G106" s="5">
        <f t="shared" si="10"/>
        <v>38.207547169811235</v>
      </c>
      <c r="H106" s="5">
        <v>2.73</v>
      </c>
      <c r="I106" s="5">
        <v>2.73</v>
      </c>
      <c r="J106" s="5">
        <f t="shared" si="11"/>
        <v>2.73</v>
      </c>
      <c r="K106">
        <f t="shared" si="12"/>
        <v>0.40960000000000019</v>
      </c>
    </row>
    <row r="107" spans="3:22" x14ac:dyDescent="0.25">
      <c r="C107" s="5">
        <v>105</v>
      </c>
      <c r="D107" s="5" t="s">
        <v>19</v>
      </c>
      <c r="E107" s="5">
        <v>773.64</v>
      </c>
      <c r="F107" s="5">
        <v>776.2</v>
      </c>
      <c r="G107" s="5">
        <f t="shared" si="10"/>
        <v>63.281249999998543</v>
      </c>
      <c r="H107" s="5">
        <v>4.58</v>
      </c>
      <c r="I107" s="5">
        <v>6.02</v>
      </c>
      <c r="J107" s="5">
        <f t="shared" si="11"/>
        <v>5.3</v>
      </c>
      <c r="K107">
        <f t="shared" si="12"/>
        <v>3.724899999999999</v>
      </c>
    </row>
    <row r="108" spans="3:22" x14ac:dyDescent="0.25">
      <c r="C108" s="5">
        <v>106</v>
      </c>
      <c r="D108" s="5" t="s">
        <v>20</v>
      </c>
      <c r="E108" s="5">
        <v>774.04</v>
      </c>
      <c r="F108" s="5">
        <v>776.72</v>
      </c>
      <c r="G108" s="5">
        <f t="shared" si="10"/>
        <v>60.447761194028416</v>
      </c>
      <c r="H108" s="5">
        <v>3.66</v>
      </c>
      <c r="I108" s="5">
        <v>3.66</v>
      </c>
      <c r="J108" s="5">
        <f t="shared" si="11"/>
        <v>3.66</v>
      </c>
      <c r="K108">
        <f t="shared" si="12"/>
        <v>8.4100000000000022E-2</v>
      </c>
    </row>
    <row r="109" spans="3:22" x14ac:dyDescent="0.25">
      <c r="C109" s="5">
        <v>107</v>
      </c>
      <c r="D109" s="5" t="s">
        <v>20</v>
      </c>
      <c r="E109" s="5">
        <v>774.56</v>
      </c>
      <c r="F109" s="5">
        <v>778.56</v>
      </c>
      <c r="G109" s="5">
        <f t="shared" si="10"/>
        <v>40.5</v>
      </c>
      <c r="H109" s="5">
        <v>3.27</v>
      </c>
      <c r="I109" s="5">
        <v>3.27</v>
      </c>
      <c r="J109" s="5">
        <f t="shared" si="11"/>
        <v>3.27</v>
      </c>
      <c r="K109">
        <f t="shared" si="12"/>
        <v>1.0000000000000018E-2</v>
      </c>
    </row>
    <row r="110" spans="3:22" x14ac:dyDescent="0.25">
      <c r="C110" s="5">
        <v>108</v>
      </c>
      <c r="D110" s="5" t="s">
        <v>19</v>
      </c>
      <c r="E110" s="5">
        <v>778.56</v>
      </c>
      <c r="F110" s="5">
        <v>781.68</v>
      </c>
      <c r="G110" s="5">
        <f t="shared" si="10"/>
        <v>51.923076923076849</v>
      </c>
      <c r="H110" s="5">
        <v>3.46</v>
      </c>
      <c r="I110" s="5">
        <v>4.9000000000000004</v>
      </c>
      <c r="J110" s="5">
        <f t="shared" si="11"/>
        <v>4.18</v>
      </c>
      <c r="K110">
        <f t="shared" si="12"/>
        <v>0.65609999999999935</v>
      </c>
    </row>
    <row r="111" spans="3:22" x14ac:dyDescent="0.25">
      <c r="C111" s="5">
        <v>109</v>
      </c>
      <c r="D111" s="5" t="s">
        <v>20</v>
      </c>
      <c r="E111" s="5">
        <v>784.96</v>
      </c>
      <c r="F111" s="5">
        <v>787.96</v>
      </c>
      <c r="G111" s="5">
        <f t="shared" si="10"/>
        <v>54</v>
      </c>
      <c r="H111" s="5">
        <v>3.39</v>
      </c>
      <c r="I111" s="5">
        <v>3.39</v>
      </c>
      <c r="J111" s="5">
        <f t="shared" si="11"/>
        <v>3.39</v>
      </c>
      <c r="K111">
        <f t="shared" si="12"/>
        <v>4.0000000000000072E-4</v>
      </c>
    </row>
    <row r="112" spans="3:22" x14ac:dyDescent="0.25">
      <c r="C112" s="5">
        <v>110</v>
      </c>
      <c r="D112" s="5" t="s">
        <v>19</v>
      </c>
      <c r="E112" s="5">
        <v>787.8</v>
      </c>
      <c r="F112" s="5">
        <v>790.96</v>
      </c>
      <c r="G112" s="5">
        <f t="shared" si="10"/>
        <v>51.265822784808805</v>
      </c>
      <c r="H112" s="5">
        <v>3.62</v>
      </c>
      <c r="I112" s="5">
        <v>5.0599999999999996</v>
      </c>
      <c r="J112" s="5">
        <f t="shared" si="11"/>
        <v>4.34</v>
      </c>
      <c r="K112">
        <f t="shared" si="12"/>
        <v>0.94089999999999951</v>
      </c>
    </row>
    <row r="113" spans="3:18" x14ac:dyDescent="0.25">
      <c r="C113" s="5">
        <v>111</v>
      </c>
      <c r="D113" s="5" t="s">
        <v>19</v>
      </c>
      <c r="E113" s="5">
        <v>791.52</v>
      </c>
      <c r="F113" s="5">
        <v>795.12</v>
      </c>
      <c r="G113" s="5">
        <f t="shared" si="10"/>
        <v>44.999999999999723</v>
      </c>
      <c r="H113" s="5">
        <v>2.81</v>
      </c>
      <c r="I113" s="5">
        <v>4.25</v>
      </c>
      <c r="J113" s="5">
        <f t="shared" si="11"/>
        <v>3.5300000000000002</v>
      </c>
      <c r="K113">
        <f t="shared" si="12"/>
        <v>2.5600000000000046E-2</v>
      </c>
      <c r="M113">
        <f>SUM(J3:J176)/174</f>
        <v>3.370028735632185</v>
      </c>
      <c r="R113">
        <f>SUM(U3:U103)/101</f>
        <v>1.5083663366336637</v>
      </c>
    </row>
    <row r="114" spans="3:18" x14ac:dyDescent="0.25">
      <c r="C114" s="5">
        <v>112</v>
      </c>
      <c r="D114" s="5" t="s">
        <v>19</v>
      </c>
      <c r="E114" s="5">
        <v>792.48</v>
      </c>
      <c r="F114" s="5">
        <v>795.76</v>
      </c>
      <c r="G114" s="5">
        <f t="shared" si="10"/>
        <v>49.390243902439437</v>
      </c>
      <c r="H114" s="5">
        <v>3.91</v>
      </c>
      <c r="I114" s="5">
        <v>5.63</v>
      </c>
      <c r="J114" s="5">
        <f t="shared" si="11"/>
        <v>4.7699999999999996</v>
      </c>
      <c r="K114">
        <f t="shared" si="12"/>
        <v>1.9599999999999984</v>
      </c>
    </row>
    <row r="115" spans="3:18" x14ac:dyDescent="0.25">
      <c r="C115" s="5">
        <v>113</v>
      </c>
      <c r="D115" s="5" t="s">
        <v>19</v>
      </c>
      <c r="E115" s="5">
        <v>793.76</v>
      </c>
      <c r="F115" s="5">
        <v>797.12</v>
      </c>
      <c r="G115" s="5">
        <f t="shared" si="10"/>
        <v>48.214285714285523</v>
      </c>
      <c r="H115" s="5">
        <v>3.36</v>
      </c>
      <c r="I115" s="5">
        <v>4.8</v>
      </c>
      <c r="J115" s="5">
        <f t="shared" si="11"/>
        <v>4.08</v>
      </c>
      <c r="K115">
        <f t="shared" si="12"/>
        <v>0.50409999999999999</v>
      </c>
      <c r="M115">
        <f>((SUM(K3:K176))/174)^0.5</f>
        <v>1.0727500512299184</v>
      </c>
    </row>
    <row r="116" spans="3:18" x14ac:dyDescent="0.25">
      <c r="C116" s="5">
        <v>114</v>
      </c>
      <c r="D116" s="5" t="s">
        <v>19</v>
      </c>
      <c r="E116" s="5">
        <v>795.08</v>
      </c>
      <c r="F116" s="5">
        <v>798.48</v>
      </c>
      <c r="G116" s="5">
        <f t="shared" si="10"/>
        <v>47.647058823529733</v>
      </c>
      <c r="H116" s="5">
        <v>2.75</v>
      </c>
      <c r="I116" s="5">
        <v>4.1900000000000004</v>
      </c>
      <c r="J116" s="5">
        <f t="shared" si="11"/>
        <v>3.47</v>
      </c>
      <c r="K116">
        <f t="shared" si="12"/>
        <v>1.0000000000000018E-2</v>
      </c>
      <c r="R116">
        <f>((SUM(V3:V103))/101)^0.5</f>
        <v>0.66554763425719288</v>
      </c>
    </row>
    <row r="117" spans="3:18" x14ac:dyDescent="0.25">
      <c r="C117" s="5">
        <v>115</v>
      </c>
      <c r="D117" s="5" t="s">
        <v>19</v>
      </c>
      <c r="E117" s="5">
        <v>795.76</v>
      </c>
      <c r="F117" s="5">
        <v>799.36</v>
      </c>
      <c r="G117" s="5">
        <f t="shared" si="10"/>
        <v>44.999999999999723</v>
      </c>
      <c r="H117" s="5">
        <v>3.88</v>
      </c>
      <c r="I117" s="5">
        <v>5.32</v>
      </c>
      <c r="J117" s="5">
        <f t="shared" si="11"/>
        <v>4.5999999999999996</v>
      </c>
      <c r="K117">
        <f t="shared" si="12"/>
        <v>1.5128999999999988</v>
      </c>
    </row>
    <row r="118" spans="3:18" x14ac:dyDescent="0.25">
      <c r="C118" s="5">
        <v>116</v>
      </c>
      <c r="D118" s="5" t="s">
        <v>19</v>
      </c>
      <c r="E118" s="5">
        <v>797.76</v>
      </c>
      <c r="F118" s="5">
        <v>801.32</v>
      </c>
      <c r="G118" s="5">
        <f t="shared" si="10"/>
        <v>45.505617977527336</v>
      </c>
      <c r="H118" s="5">
        <v>3.62</v>
      </c>
      <c r="I118" s="5">
        <v>5.0599999999999996</v>
      </c>
      <c r="J118" s="5">
        <f t="shared" si="11"/>
        <v>4.34</v>
      </c>
      <c r="K118">
        <f t="shared" si="12"/>
        <v>0.94089999999999951</v>
      </c>
    </row>
    <row r="119" spans="3:18" x14ac:dyDescent="0.25">
      <c r="C119" s="5">
        <v>117</v>
      </c>
      <c r="D119" s="5" t="s">
        <v>19</v>
      </c>
      <c r="E119" s="5">
        <v>801.2</v>
      </c>
      <c r="F119" s="5">
        <v>805.84</v>
      </c>
      <c r="G119" s="5">
        <f t="shared" si="10"/>
        <v>34.913793103448384</v>
      </c>
      <c r="H119" s="5">
        <v>2.73</v>
      </c>
      <c r="I119" s="5">
        <v>4.17</v>
      </c>
      <c r="J119" s="5">
        <f t="shared" si="11"/>
        <v>3.45</v>
      </c>
      <c r="K119">
        <f t="shared" si="12"/>
        <v>6.4000000000000116E-3</v>
      </c>
    </row>
    <row r="120" spans="3:18" x14ac:dyDescent="0.25">
      <c r="C120" s="5">
        <v>118</v>
      </c>
      <c r="D120" s="5" t="s">
        <v>19</v>
      </c>
      <c r="E120" s="5">
        <v>802.04</v>
      </c>
      <c r="F120" s="5">
        <v>806.52</v>
      </c>
      <c r="G120" s="5">
        <f t="shared" si="10"/>
        <v>36.160714285714143</v>
      </c>
      <c r="H120" s="5">
        <v>1.33</v>
      </c>
      <c r="I120" s="5">
        <v>2.77</v>
      </c>
      <c r="J120" s="5">
        <f t="shared" si="11"/>
        <v>2.0499999999999998</v>
      </c>
      <c r="K120">
        <f t="shared" si="12"/>
        <v>1.7424000000000008</v>
      </c>
    </row>
    <row r="121" spans="3:18" x14ac:dyDescent="0.25">
      <c r="C121" s="5">
        <v>119</v>
      </c>
      <c r="D121" s="5" t="s">
        <v>26</v>
      </c>
      <c r="E121" s="5">
        <v>816.38</v>
      </c>
      <c r="F121" s="5">
        <v>825.6</v>
      </c>
      <c r="G121" s="5">
        <f t="shared" si="10"/>
        <v>17.570498915401249</v>
      </c>
      <c r="H121" s="5">
        <v>0.78</v>
      </c>
      <c r="I121" s="5">
        <v>0.78</v>
      </c>
      <c r="J121" s="5">
        <f t="shared" si="11"/>
        <v>0.78</v>
      </c>
      <c r="K121">
        <f t="shared" si="12"/>
        <v>6.7080999999999991</v>
      </c>
    </row>
    <row r="122" spans="3:18" x14ac:dyDescent="0.25">
      <c r="C122" s="5">
        <v>120</v>
      </c>
      <c r="D122" s="5" t="s">
        <v>24</v>
      </c>
      <c r="E122" s="5">
        <v>820.04</v>
      </c>
      <c r="F122" s="5">
        <v>831.48</v>
      </c>
      <c r="G122" s="5">
        <f t="shared" si="10"/>
        <v>14.160839160839092</v>
      </c>
      <c r="H122" s="5">
        <v>0.75</v>
      </c>
      <c r="I122" s="5">
        <v>0.75</v>
      </c>
      <c r="J122" s="5">
        <f t="shared" si="11"/>
        <v>0.75</v>
      </c>
      <c r="K122">
        <f t="shared" si="12"/>
        <v>6.8644000000000007</v>
      </c>
    </row>
    <row r="123" spans="3:18" x14ac:dyDescent="0.25">
      <c r="C123" s="5">
        <v>121</v>
      </c>
      <c r="D123" s="5" t="s">
        <v>20</v>
      </c>
      <c r="E123" s="5">
        <v>822.4</v>
      </c>
      <c r="F123" s="5">
        <v>825.88</v>
      </c>
      <c r="G123" s="5">
        <f t="shared" si="10"/>
        <v>46.55172413793079</v>
      </c>
      <c r="H123" s="5">
        <v>2.97</v>
      </c>
      <c r="I123" s="5">
        <v>2.97</v>
      </c>
      <c r="J123" s="5">
        <f t="shared" si="11"/>
        <v>2.97</v>
      </c>
      <c r="K123">
        <f t="shared" si="12"/>
        <v>0.15999999999999992</v>
      </c>
    </row>
    <row r="124" spans="3:18" x14ac:dyDescent="0.25">
      <c r="C124" s="5">
        <v>122</v>
      </c>
      <c r="D124" s="5" t="s">
        <v>20</v>
      </c>
      <c r="E124" s="5">
        <v>824.32</v>
      </c>
      <c r="F124" s="5">
        <v>825.44</v>
      </c>
      <c r="G124" s="5">
        <f t="shared" si="10"/>
        <v>144.64285714285657</v>
      </c>
      <c r="H124" s="5">
        <v>2.44</v>
      </c>
      <c r="I124" s="5">
        <v>2.44</v>
      </c>
      <c r="J124" s="5">
        <f t="shared" si="11"/>
        <v>2.44</v>
      </c>
      <c r="K124">
        <f t="shared" si="12"/>
        <v>0.86490000000000034</v>
      </c>
    </row>
    <row r="125" spans="3:18" x14ac:dyDescent="0.25">
      <c r="C125" s="5">
        <v>123</v>
      </c>
      <c r="D125" s="5" t="s">
        <v>19</v>
      </c>
      <c r="E125" s="5">
        <v>825.28</v>
      </c>
      <c r="F125" s="5">
        <v>828.4</v>
      </c>
      <c r="G125" s="5">
        <f t="shared" si="10"/>
        <v>51.923076923076849</v>
      </c>
      <c r="H125" s="5">
        <v>3.76</v>
      </c>
      <c r="I125" s="5">
        <v>5.2</v>
      </c>
      <c r="J125" s="5">
        <f t="shared" si="11"/>
        <v>4.4800000000000004</v>
      </c>
      <c r="K125">
        <f t="shared" si="12"/>
        <v>1.2321000000000006</v>
      </c>
    </row>
    <row r="126" spans="3:18" x14ac:dyDescent="0.25">
      <c r="C126" s="5">
        <v>124</v>
      </c>
      <c r="D126" s="5" t="s">
        <v>20</v>
      </c>
      <c r="E126" s="5">
        <v>826.24</v>
      </c>
      <c r="F126" s="5">
        <v>829.4</v>
      </c>
      <c r="G126" s="5">
        <f t="shared" si="10"/>
        <v>51.265822784810645</v>
      </c>
      <c r="H126" s="5">
        <v>3.98</v>
      </c>
      <c r="I126" s="5">
        <v>3.98</v>
      </c>
      <c r="J126" s="5">
        <f t="shared" si="11"/>
        <v>3.98</v>
      </c>
      <c r="K126">
        <f t="shared" si="12"/>
        <v>0.37209999999999988</v>
      </c>
    </row>
    <row r="127" spans="3:18" x14ac:dyDescent="0.25">
      <c r="C127" s="5">
        <v>125</v>
      </c>
      <c r="D127" s="5" t="s">
        <v>20</v>
      </c>
      <c r="E127" s="5">
        <v>826.24</v>
      </c>
      <c r="F127" s="5">
        <v>829.96</v>
      </c>
      <c r="G127" s="5">
        <f t="shared" si="10"/>
        <v>43.54838709677388</v>
      </c>
      <c r="H127" s="5">
        <v>3.85</v>
      </c>
      <c r="I127" s="5">
        <v>3.85</v>
      </c>
      <c r="J127" s="5">
        <f t="shared" si="11"/>
        <v>3.85</v>
      </c>
      <c r="K127">
        <f t="shared" si="12"/>
        <v>0.23039999999999999</v>
      </c>
    </row>
    <row r="128" spans="3:18" x14ac:dyDescent="0.25">
      <c r="C128" s="5">
        <v>126</v>
      </c>
      <c r="D128" s="5" t="s">
        <v>20</v>
      </c>
      <c r="E128" s="5">
        <v>826.64</v>
      </c>
      <c r="F128" s="5">
        <v>831.56</v>
      </c>
      <c r="G128" s="5">
        <f t="shared" si="10"/>
        <v>32.926829268292963</v>
      </c>
      <c r="H128" s="5">
        <v>2.39</v>
      </c>
      <c r="I128" s="5">
        <v>2.39</v>
      </c>
      <c r="J128" s="5">
        <f t="shared" si="11"/>
        <v>2.39</v>
      </c>
      <c r="K128">
        <f t="shared" si="12"/>
        <v>0.96039999999999992</v>
      </c>
    </row>
    <row r="129" spans="3:11" x14ac:dyDescent="0.25">
      <c r="C129" s="5">
        <v>127</v>
      </c>
      <c r="D129" s="5" t="s">
        <v>19</v>
      </c>
      <c r="E129" s="5">
        <v>828.2</v>
      </c>
      <c r="F129" s="5">
        <v>831.16</v>
      </c>
      <c r="G129" s="5">
        <f t="shared" si="10"/>
        <v>54.729729729731162</v>
      </c>
      <c r="H129" s="5">
        <v>4.25</v>
      </c>
      <c r="I129" s="5">
        <v>5.69</v>
      </c>
      <c r="J129" s="5">
        <f t="shared" si="11"/>
        <v>4.9700000000000006</v>
      </c>
      <c r="K129">
        <f t="shared" si="12"/>
        <v>2.5600000000000018</v>
      </c>
    </row>
    <row r="130" spans="3:11" x14ac:dyDescent="0.25">
      <c r="C130" s="5">
        <v>128</v>
      </c>
      <c r="D130" s="5" t="s">
        <v>20</v>
      </c>
      <c r="E130" s="5">
        <v>828.24</v>
      </c>
      <c r="F130" s="5">
        <v>831.2</v>
      </c>
      <c r="G130" s="5">
        <f t="shared" si="10"/>
        <v>54.729729729729058</v>
      </c>
      <c r="H130" s="5">
        <v>3.1</v>
      </c>
      <c r="I130" s="5">
        <v>3.1</v>
      </c>
      <c r="J130" s="5">
        <f t="shared" si="11"/>
        <v>3.1</v>
      </c>
      <c r="K130">
        <f t="shared" si="12"/>
        <v>7.2900000000000006E-2</v>
      </c>
    </row>
    <row r="131" spans="3:11" x14ac:dyDescent="0.25">
      <c r="C131" s="5">
        <v>129</v>
      </c>
      <c r="D131" s="5" t="s">
        <v>20</v>
      </c>
      <c r="E131" s="5">
        <v>828.96</v>
      </c>
      <c r="F131" s="5">
        <v>831.96</v>
      </c>
      <c r="G131" s="5">
        <f t="shared" si="10"/>
        <v>54</v>
      </c>
      <c r="H131" s="5">
        <v>4.03</v>
      </c>
      <c r="I131" s="5">
        <v>4.03</v>
      </c>
      <c r="J131" s="5">
        <f t="shared" si="11"/>
        <v>4.03</v>
      </c>
      <c r="K131">
        <f t="shared" si="12"/>
        <v>0.43560000000000021</v>
      </c>
    </row>
    <row r="132" spans="3:11" x14ac:dyDescent="0.25">
      <c r="C132" s="5">
        <v>130</v>
      </c>
      <c r="D132" s="5" t="s">
        <v>20</v>
      </c>
      <c r="E132" s="5">
        <v>839.08</v>
      </c>
      <c r="F132" s="5">
        <v>842.12</v>
      </c>
      <c r="G132" s="5">
        <f t="shared" ref="G132:G176" si="19">$A$3/(F132-E132)*3.6</f>
        <v>53.289473684211167</v>
      </c>
      <c r="H132" s="5">
        <v>2.09</v>
      </c>
      <c r="I132" s="5">
        <v>2.09</v>
      </c>
      <c r="J132" s="5">
        <f t="shared" ref="J132:J176" si="20">(H132+I132)/2</f>
        <v>2.09</v>
      </c>
      <c r="K132">
        <f t="shared" ref="K132:K176" si="21">(J132-3.37)^2</f>
        <v>1.6384000000000007</v>
      </c>
    </row>
    <row r="133" spans="3:11" x14ac:dyDescent="0.25">
      <c r="C133" s="5">
        <v>131</v>
      </c>
      <c r="D133" s="5" t="s">
        <v>20</v>
      </c>
      <c r="E133" s="5">
        <v>842.88</v>
      </c>
      <c r="F133" s="5">
        <v>846.16</v>
      </c>
      <c r="G133" s="5">
        <f t="shared" si="19"/>
        <v>49.390243902439437</v>
      </c>
      <c r="H133" s="5">
        <v>2.31</v>
      </c>
      <c r="I133" s="5">
        <v>2.31</v>
      </c>
      <c r="J133" s="5">
        <f t="shared" si="20"/>
        <v>2.31</v>
      </c>
      <c r="K133">
        <f t="shared" si="21"/>
        <v>1.1236000000000002</v>
      </c>
    </row>
    <row r="134" spans="3:11" x14ac:dyDescent="0.25">
      <c r="C134" s="5">
        <v>132</v>
      </c>
      <c r="D134" s="5" t="s">
        <v>20</v>
      </c>
      <c r="E134" s="5">
        <v>843.04</v>
      </c>
      <c r="F134" s="5">
        <v>847.72</v>
      </c>
      <c r="G134" s="5">
        <f t="shared" si="19"/>
        <v>34.615384615384151</v>
      </c>
      <c r="H134" s="5">
        <v>1.8</v>
      </c>
      <c r="I134" s="5">
        <v>1.8</v>
      </c>
      <c r="J134" s="5">
        <f t="shared" si="20"/>
        <v>1.8</v>
      </c>
      <c r="K134">
        <f t="shared" si="21"/>
        <v>2.4649000000000001</v>
      </c>
    </row>
    <row r="135" spans="3:11" x14ac:dyDescent="0.25">
      <c r="C135" s="5">
        <v>133</v>
      </c>
      <c r="D135" s="5" t="s">
        <v>20</v>
      </c>
      <c r="E135" s="5">
        <v>844.2</v>
      </c>
      <c r="F135" s="5">
        <v>849.04</v>
      </c>
      <c r="G135" s="5">
        <f t="shared" si="19"/>
        <v>33.471074380165859</v>
      </c>
      <c r="H135" s="5">
        <v>4.71</v>
      </c>
      <c r="I135" s="5">
        <v>4.71</v>
      </c>
      <c r="J135" s="5">
        <f t="shared" si="20"/>
        <v>4.71</v>
      </c>
      <c r="K135">
        <f t="shared" si="21"/>
        <v>1.7955999999999996</v>
      </c>
    </row>
    <row r="136" spans="3:11" x14ac:dyDescent="0.25">
      <c r="C136" s="5">
        <v>134</v>
      </c>
      <c r="D136" s="5" t="s">
        <v>21</v>
      </c>
      <c r="E136" s="5">
        <v>845.32</v>
      </c>
      <c r="F136" s="5">
        <v>849.6</v>
      </c>
      <c r="G136" s="5">
        <f t="shared" si="19"/>
        <v>37.850467289719866</v>
      </c>
      <c r="H136" s="5">
        <v>0.89</v>
      </c>
      <c r="I136" s="5">
        <v>3.24</v>
      </c>
      <c r="J136" s="5">
        <f t="shared" si="20"/>
        <v>2.0649999999999999</v>
      </c>
      <c r="K136">
        <f t="shared" si="21"/>
        <v>1.7030250000000005</v>
      </c>
    </row>
    <row r="137" spans="3:11" x14ac:dyDescent="0.25">
      <c r="C137" s="5">
        <v>135</v>
      </c>
      <c r="D137" s="5" t="s">
        <v>20</v>
      </c>
      <c r="E137" s="5">
        <v>847.24</v>
      </c>
      <c r="F137" s="5">
        <v>851.84</v>
      </c>
      <c r="G137" s="5">
        <f t="shared" si="19"/>
        <v>35.217391304347657</v>
      </c>
      <c r="H137" s="5">
        <v>1.17</v>
      </c>
      <c r="I137" s="5">
        <v>1.17</v>
      </c>
      <c r="J137" s="5">
        <f t="shared" si="20"/>
        <v>1.17</v>
      </c>
      <c r="K137">
        <f t="shared" si="21"/>
        <v>4.8400000000000007</v>
      </c>
    </row>
    <row r="138" spans="3:11" x14ac:dyDescent="0.25">
      <c r="C138" s="5">
        <v>136</v>
      </c>
      <c r="D138" s="5" t="s">
        <v>19</v>
      </c>
      <c r="E138" s="5">
        <v>847.96</v>
      </c>
      <c r="F138" s="5">
        <v>852.04</v>
      </c>
      <c r="G138" s="5">
        <f t="shared" si="19"/>
        <v>39.705882352941885</v>
      </c>
      <c r="H138" s="5">
        <v>2.39</v>
      </c>
      <c r="I138" s="5">
        <v>3.83</v>
      </c>
      <c r="J138" s="5">
        <f t="shared" si="20"/>
        <v>3.1100000000000003</v>
      </c>
      <c r="K138">
        <f t="shared" si="21"/>
        <v>6.7599999999999882E-2</v>
      </c>
    </row>
    <row r="139" spans="3:11" x14ac:dyDescent="0.25">
      <c r="C139" s="5">
        <v>137</v>
      </c>
      <c r="D139" s="5" t="s">
        <v>20</v>
      </c>
      <c r="E139" s="5">
        <v>849.36</v>
      </c>
      <c r="F139" s="5">
        <v>853.4</v>
      </c>
      <c r="G139" s="5">
        <f t="shared" si="19"/>
        <v>40.09900990099046</v>
      </c>
      <c r="H139" s="5">
        <v>2.13</v>
      </c>
      <c r="I139" s="5">
        <v>2.13</v>
      </c>
      <c r="J139" s="5">
        <f t="shared" si="20"/>
        <v>2.13</v>
      </c>
      <c r="K139">
        <f t="shared" si="21"/>
        <v>1.5376000000000005</v>
      </c>
    </row>
    <row r="140" spans="3:11" x14ac:dyDescent="0.25">
      <c r="C140" s="5">
        <v>138</v>
      </c>
      <c r="D140" s="5" t="s">
        <v>20</v>
      </c>
      <c r="E140" s="5">
        <v>849.86</v>
      </c>
      <c r="F140" s="5">
        <v>853.4</v>
      </c>
      <c r="G140" s="5">
        <f t="shared" si="19"/>
        <v>45.762711864407251</v>
      </c>
      <c r="H140" s="5">
        <v>1.1499999999999999</v>
      </c>
      <c r="I140" s="5">
        <v>1.1499999999999999</v>
      </c>
      <c r="J140" s="5">
        <f t="shared" si="20"/>
        <v>1.1499999999999999</v>
      </c>
      <c r="K140">
        <f t="shared" si="21"/>
        <v>4.9284000000000008</v>
      </c>
    </row>
    <row r="141" spans="3:11" x14ac:dyDescent="0.25">
      <c r="C141" s="5">
        <v>139</v>
      </c>
      <c r="D141" s="5" t="s">
        <v>20</v>
      </c>
      <c r="E141" s="5">
        <v>851.56</v>
      </c>
      <c r="F141" s="5">
        <v>855</v>
      </c>
      <c r="G141" s="5">
        <f t="shared" si="19"/>
        <v>47.093023255813208</v>
      </c>
      <c r="H141" s="5">
        <v>1.92</v>
      </c>
      <c r="I141" s="5">
        <v>1.92</v>
      </c>
      <c r="J141" s="5">
        <f t="shared" si="20"/>
        <v>1.92</v>
      </c>
      <c r="K141">
        <f t="shared" si="21"/>
        <v>2.1025000000000005</v>
      </c>
    </row>
    <row r="142" spans="3:11" x14ac:dyDescent="0.25">
      <c r="C142" s="5">
        <v>140</v>
      </c>
      <c r="D142" s="5" t="s">
        <v>19</v>
      </c>
      <c r="E142" s="5">
        <v>852.88</v>
      </c>
      <c r="F142" s="5">
        <v>856.92</v>
      </c>
      <c r="G142" s="5">
        <f t="shared" si="19"/>
        <v>40.09900990099046</v>
      </c>
      <c r="H142" s="5">
        <v>2.4900000000000002</v>
      </c>
      <c r="I142" s="5">
        <v>3.93</v>
      </c>
      <c r="J142" s="5">
        <f t="shared" si="20"/>
        <v>3.21</v>
      </c>
      <c r="K142">
        <f t="shared" si="21"/>
        <v>2.5600000000000046E-2</v>
      </c>
    </row>
    <row r="143" spans="3:11" x14ac:dyDescent="0.25">
      <c r="C143" s="5">
        <v>141</v>
      </c>
      <c r="D143" s="5" t="s">
        <v>20</v>
      </c>
      <c r="E143" s="5">
        <v>857.08</v>
      </c>
      <c r="F143" s="5">
        <v>860.16</v>
      </c>
      <c r="G143" s="5">
        <f t="shared" si="19"/>
        <v>52.597402597403843</v>
      </c>
      <c r="H143" s="5">
        <v>2.83</v>
      </c>
      <c r="I143" s="5">
        <v>2.83</v>
      </c>
      <c r="J143" s="5">
        <f t="shared" si="20"/>
        <v>2.83</v>
      </c>
      <c r="K143">
        <f t="shared" si="21"/>
        <v>0.29160000000000003</v>
      </c>
    </row>
    <row r="144" spans="3:11" x14ac:dyDescent="0.25">
      <c r="C144" s="5">
        <v>142</v>
      </c>
      <c r="D144" s="5" t="s">
        <v>20</v>
      </c>
      <c r="E144" s="5">
        <v>858.84</v>
      </c>
      <c r="F144" s="5">
        <v>863.52</v>
      </c>
      <c r="G144" s="5">
        <f t="shared" si="19"/>
        <v>34.615384615384983</v>
      </c>
      <c r="H144" s="5">
        <v>1.18</v>
      </c>
      <c r="I144" s="5">
        <v>1.18</v>
      </c>
      <c r="J144" s="5">
        <f t="shared" si="20"/>
        <v>1.18</v>
      </c>
      <c r="K144">
        <f t="shared" si="21"/>
        <v>4.7961000000000018</v>
      </c>
    </row>
    <row r="145" spans="3:11" x14ac:dyDescent="0.25">
      <c r="C145" s="5">
        <v>143</v>
      </c>
      <c r="D145" s="5" t="s">
        <v>19</v>
      </c>
      <c r="E145" s="5">
        <v>860.08</v>
      </c>
      <c r="F145" s="5">
        <v>864.04</v>
      </c>
      <c r="G145" s="5">
        <f t="shared" si="19"/>
        <v>40.909090909091709</v>
      </c>
      <c r="H145" s="5">
        <v>3.43</v>
      </c>
      <c r="I145" s="5">
        <v>4.87</v>
      </c>
      <c r="J145" s="5">
        <f t="shared" si="20"/>
        <v>4.1500000000000004</v>
      </c>
      <c r="K145">
        <f t="shared" si="21"/>
        <v>0.60840000000000038</v>
      </c>
    </row>
    <row r="146" spans="3:11" x14ac:dyDescent="0.25">
      <c r="C146" s="5">
        <v>144</v>
      </c>
      <c r="D146" s="5" t="s">
        <v>19</v>
      </c>
      <c r="E146" s="5">
        <v>862.12</v>
      </c>
      <c r="F146" s="5">
        <v>865.68</v>
      </c>
      <c r="G146" s="5">
        <f t="shared" si="19"/>
        <v>45.505617977528793</v>
      </c>
      <c r="H146" s="5">
        <v>3.4</v>
      </c>
      <c r="I146" s="5">
        <v>4.84</v>
      </c>
      <c r="J146" s="5">
        <f t="shared" si="20"/>
        <v>4.12</v>
      </c>
      <c r="K146">
        <f t="shared" si="21"/>
        <v>0.5625</v>
      </c>
    </row>
    <row r="147" spans="3:11" x14ac:dyDescent="0.25">
      <c r="C147" s="5">
        <v>145</v>
      </c>
      <c r="D147" s="5" t="s">
        <v>19</v>
      </c>
      <c r="E147" s="5">
        <v>862.84</v>
      </c>
      <c r="F147" s="5">
        <v>866.28</v>
      </c>
      <c r="G147" s="5">
        <f t="shared" si="19"/>
        <v>47.093023255814764</v>
      </c>
      <c r="H147" s="5">
        <v>3.37</v>
      </c>
      <c r="I147" s="5">
        <v>5.14</v>
      </c>
      <c r="J147" s="5">
        <f t="shared" si="20"/>
        <v>4.2549999999999999</v>
      </c>
      <c r="K147">
        <f t="shared" si="21"/>
        <v>0.78322499999999962</v>
      </c>
    </row>
    <row r="148" spans="3:11" x14ac:dyDescent="0.25">
      <c r="C148" s="5">
        <v>146</v>
      </c>
      <c r="D148" s="5" t="s">
        <v>19</v>
      </c>
      <c r="E148" s="5">
        <v>863.96</v>
      </c>
      <c r="F148" s="5">
        <v>867.44</v>
      </c>
      <c r="G148" s="5">
        <f t="shared" si="19"/>
        <v>46.55172413793079</v>
      </c>
      <c r="H148" s="5">
        <v>2.41</v>
      </c>
      <c r="I148" s="5">
        <v>3.85</v>
      </c>
      <c r="J148" s="5">
        <f t="shared" si="20"/>
        <v>3.13</v>
      </c>
      <c r="K148">
        <f t="shared" si="21"/>
        <v>5.7600000000000103E-2</v>
      </c>
    </row>
    <row r="149" spans="3:11" x14ac:dyDescent="0.25">
      <c r="C149" s="5">
        <v>147</v>
      </c>
      <c r="D149" s="5" t="s">
        <v>20</v>
      </c>
      <c r="E149" s="5">
        <v>864.68</v>
      </c>
      <c r="F149" s="5">
        <v>868.76</v>
      </c>
      <c r="G149" s="5">
        <f t="shared" si="19"/>
        <v>39.705882352940783</v>
      </c>
      <c r="H149" s="5">
        <v>2.4900000000000002</v>
      </c>
      <c r="I149" s="5">
        <v>2.4900000000000002</v>
      </c>
      <c r="J149" s="5">
        <f t="shared" si="20"/>
        <v>2.4900000000000002</v>
      </c>
      <c r="K149">
        <f t="shared" si="21"/>
        <v>0.77439999999999987</v>
      </c>
    </row>
    <row r="150" spans="3:11" x14ac:dyDescent="0.25">
      <c r="C150" s="5">
        <v>148</v>
      </c>
      <c r="D150" s="5" t="s">
        <v>19</v>
      </c>
      <c r="E150" s="5">
        <v>869.12</v>
      </c>
      <c r="F150" s="5">
        <v>872.8</v>
      </c>
      <c r="G150" s="5">
        <f t="shared" si="19"/>
        <v>44.021739130435385</v>
      </c>
      <c r="H150" s="5">
        <v>2.81</v>
      </c>
      <c r="I150" s="5">
        <v>4.25</v>
      </c>
      <c r="J150" s="5">
        <f t="shared" si="20"/>
        <v>3.5300000000000002</v>
      </c>
      <c r="K150">
        <f t="shared" si="21"/>
        <v>2.5600000000000046E-2</v>
      </c>
    </row>
    <row r="151" spans="3:11" x14ac:dyDescent="0.25">
      <c r="C151" s="5">
        <v>149</v>
      </c>
      <c r="D151" s="5" t="s">
        <v>19</v>
      </c>
      <c r="E151" s="5">
        <v>870.44</v>
      </c>
      <c r="F151" s="5">
        <v>873.52</v>
      </c>
      <c r="G151" s="5">
        <f t="shared" si="19"/>
        <v>52.597402597403843</v>
      </c>
      <c r="H151" s="5">
        <v>3.84</v>
      </c>
      <c r="I151" s="5">
        <v>5.28</v>
      </c>
      <c r="J151" s="5">
        <f t="shared" si="20"/>
        <v>4.5600000000000005</v>
      </c>
      <c r="K151">
        <f t="shared" si="21"/>
        <v>1.416100000000001</v>
      </c>
    </row>
    <row r="152" spans="3:11" x14ac:dyDescent="0.25">
      <c r="C152" s="5">
        <v>150</v>
      </c>
      <c r="D152" s="5" t="s">
        <v>20</v>
      </c>
      <c r="E152" s="5">
        <v>871.2</v>
      </c>
      <c r="F152" s="5">
        <v>874.4</v>
      </c>
      <c r="G152" s="5">
        <f t="shared" si="19"/>
        <v>50.62500000000108</v>
      </c>
      <c r="H152" s="5">
        <v>2.1</v>
      </c>
      <c r="I152" s="5">
        <v>2.1</v>
      </c>
      <c r="J152" s="5">
        <f t="shared" si="20"/>
        <v>2.1</v>
      </c>
      <c r="K152">
        <f t="shared" si="21"/>
        <v>1.6129</v>
      </c>
    </row>
    <row r="153" spans="3:11" x14ac:dyDescent="0.25">
      <c r="C153" s="5">
        <v>151</v>
      </c>
      <c r="D153" s="5" t="s">
        <v>19</v>
      </c>
      <c r="E153" s="5">
        <v>871.84</v>
      </c>
      <c r="F153" s="5">
        <v>874.88</v>
      </c>
      <c r="G153" s="5">
        <f t="shared" si="19"/>
        <v>53.289473684211167</v>
      </c>
      <c r="H153" s="5">
        <v>2.99</v>
      </c>
      <c r="I153" s="5">
        <v>4.43</v>
      </c>
      <c r="J153" s="5">
        <f t="shared" si="20"/>
        <v>3.71</v>
      </c>
      <c r="K153">
        <f t="shared" si="21"/>
        <v>0.1155999999999999</v>
      </c>
    </row>
    <row r="154" spans="3:11" x14ac:dyDescent="0.25">
      <c r="C154" s="5">
        <v>152</v>
      </c>
      <c r="D154" s="5" t="s">
        <v>19</v>
      </c>
      <c r="E154" s="5">
        <v>873.4</v>
      </c>
      <c r="F154" s="5">
        <v>876.56</v>
      </c>
      <c r="G154" s="5">
        <f t="shared" si="19"/>
        <v>51.265822784810645</v>
      </c>
      <c r="H154" s="5">
        <v>1.94</v>
      </c>
      <c r="I154" s="5">
        <v>3.38</v>
      </c>
      <c r="J154" s="5">
        <f t="shared" si="20"/>
        <v>2.66</v>
      </c>
      <c r="K154">
        <f t="shared" si="21"/>
        <v>0.50409999999999999</v>
      </c>
    </row>
    <row r="155" spans="3:11" x14ac:dyDescent="0.25">
      <c r="C155" s="5">
        <v>153</v>
      </c>
      <c r="D155" s="5" t="s">
        <v>19</v>
      </c>
      <c r="E155" s="5">
        <v>875.6</v>
      </c>
      <c r="F155" s="5">
        <v>878.72</v>
      </c>
      <c r="G155" s="5">
        <f t="shared" si="19"/>
        <v>51.923076923076849</v>
      </c>
      <c r="H155" s="5">
        <v>3.48</v>
      </c>
      <c r="I155" s="5">
        <v>4.92</v>
      </c>
      <c r="J155" s="5">
        <f t="shared" si="20"/>
        <v>4.2</v>
      </c>
      <c r="K155">
        <f t="shared" si="21"/>
        <v>0.68890000000000007</v>
      </c>
    </row>
    <row r="156" spans="3:11" x14ac:dyDescent="0.25">
      <c r="C156" s="5">
        <v>154</v>
      </c>
      <c r="D156" s="5" t="s">
        <v>20</v>
      </c>
      <c r="E156" s="5">
        <v>875.64</v>
      </c>
      <c r="F156" s="5">
        <v>879.64</v>
      </c>
      <c r="G156" s="5">
        <f t="shared" si="19"/>
        <v>40.5</v>
      </c>
      <c r="H156" s="5">
        <v>1.38</v>
      </c>
      <c r="I156" s="5">
        <v>1.38</v>
      </c>
      <c r="J156" s="5">
        <f t="shared" si="20"/>
        <v>1.38</v>
      </c>
      <c r="K156">
        <f t="shared" si="21"/>
        <v>3.9601000000000011</v>
      </c>
    </row>
    <row r="157" spans="3:11" x14ac:dyDescent="0.25">
      <c r="C157" s="5">
        <v>155</v>
      </c>
      <c r="D157" s="5" t="s">
        <v>19</v>
      </c>
      <c r="E157" s="5">
        <v>878.36</v>
      </c>
      <c r="F157" s="5">
        <v>881.8</v>
      </c>
      <c r="G157" s="5">
        <f t="shared" si="19"/>
        <v>47.093023255814764</v>
      </c>
      <c r="H157" s="5">
        <v>2.97</v>
      </c>
      <c r="I157" s="5">
        <v>4.41</v>
      </c>
      <c r="J157" s="5">
        <f t="shared" si="20"/>
        <v>3.6900000000000004</v>
      </c>
      <c r="K157">
        <f t="shared" si="21"/>
        <v>0.10240000000000019</v>
      </c>
    </row>
    <row r="158" spans="3:11" x14ac:dyDescent="0.25">
      <c r="C158" s="5">
        <v>156</v>
      </c>
      <c r="D158" s="5" t="s">
        <v>20</v>
      </c>
      <c r="E158" s="5">
        <v>878.96</v>
      </c>
      <c r="F158" s="5">
        <v>882.36</v>
      </c>
      <c r="G158" s="5">
        <f t="shared" si="19"/>
        <v>47.647058823529733</v>
      </c>
      <c r="H158" s="5">
        <v>1.72</v>
      </c>
      <c r="I158" s="5">
        <v>1.72</v>
      </c>
      <c r="J158" s="5">
        <f t="shared" si="20"/>
        <v>1.72</v>
      </c>
      <c r="K158">
        <f t="shared" si="21"/>
        <v>2.7225000000000006</v>
      </c>
    </row>
    <row r="159" spans="3:11" x14ac:dyDescent="0.25">
      <c r="C159" s="5">
        <v>157</v>
      </c>
      <c r="D159" s="5" t="s">
        <v>19</v>
      </c>
      <c r="E159" s="5">
        <v>881</v>
      </c>
      <c r="F159" s="5">
        <v>884.08</v>
      </c>
      <c r="G159" s="5">
        <f t="shared" si="19"/>
        <v>52.597402597401903</v>
      </c>
      <c r="H159" s="5">
        <v>2.99</v>
      </c>
      <c r="I159" s="5">
        <v>4.43</v>
      </c>
      <c r="J159" s="5">
        <f t="shared" si="20"/>
        <v>3.71</v>
      </c>
      <c r="K159">
        <f t="shared" si="21"/>
        <v>0.1155999999999999</v>
      </c>
    </row>
    <row r="160" spans="3:11" x14ac:dyDescent="0.25">
      <c r="C160" s="5">
        <v>158</v>
      </c>
      <c r="D160" s="5" t="s">
        <v>24</v>
      </c>
      <c r="E160" s="5">
        <v>882.4</v>
      </c>
      <c r="F160" s="5">
        <v>891.08</v>
      </c>
      <c r="G160" s="5">
        <f t="shared" si="19"/>
        <v>18.663594470045947</v>
      </c>
      <c r="H160" s="5">
        <v>0.45</v>
      </c>
      <c r="I160" s="5">
        <v>0.45</v>
      </c>
      <c r="J160" s="5">
        <f t="shared" si="20"/>
        <v>0.45</v>
      </c>
      <c r="K160">
        <f t="shared" si="21"/>
        <v>8.5263999999999989</v>
      </c>
    </row>
    <row r="161" spans="3:11" x14ac:dyDescent="0.25">
      <c r="C161" s="5">
        <v>159</v>
      </c>
      <c r="D161" s="5" t="s">
        <v>19</v>
      </c>
      <c r="E161" s="5">
        <v>883.8</v>
      </c>
      <c r="F161" s="5">
        <v>887.44</v>
      </c>
      <c r="G161" s="5">
        <f t="shared" si="19"/>
        <v>44.505494505493282</v>
      </c>
      <c r="H161" s="5">
        <v>3.34</v>
      </c>
      <c r="I161" s="5">
        <v>4.78</v>
      </c>
      <c r="J161" s="5">
        <f t="shared" si="20"/>
        <v>4.0600000000000005</v>
      </c>
      <c r="K161">
        <f t="shared" si="21"/>
        <v>0.47610000000000052</v>
      </c>
    </row>
    <row r="162" spans="3:11" x14ac:dyDescent="0.25">
      <c r="C162" s="5">
        <v>160</v>
      </c>
      <c r="D162" s="5" t="s">
        <v>19</v>
      </c>
      <c r="E162" s="5">
        <v>885.12</v>
      </c>
      <c r="F162" s="5">
        <v>888.92</v>
      </c>
      <c r="G162" s="5">
        <f t="shared" si="19"/>
        <v>42.631578947368929</v>
      </c>
      <c r="H162" s="5">
        <v>3.15</v>
      </c>
      <c r="I162" s="5">
        <v>4.59</v>
      </c>
      <c r="J162" s="5">
        <f t="shared" si="20"/>
        <v>3.87</v>
      </c>
      <c r="K162">
        <f t="shared" si="21"/>
        <v>0.25</v>
      </c>
    </row>
    <row r="163" spans="3:11" x14ac:dyDescent="0.25">
      <c r="C163" s="5">
        <v>161</v>
      </c>
      <c r="D163" s="5" t="s">
        <v>18</v>
      </c>
      <c r="E163" s="5">
        <v>887.84</v>
      </c>
      <c r="F163" s="5">
        <v>892.04</v>
      </c>
      <c r="G163" s="5">
        <f t="shared" si="19"/>
        <v>38.571428571429195</v>
      </c>
      <c r="H163" s="5">
        <v>2.97</v>
      </c>
      <c r="I163" s="5">
        <v>2.97</v>
      </c>
      <c r="J163" s="5">
        <f t="shared" si="20"/>
        <v>2.97</v>
      </c>
      <c r="K163">
        <f t="shared" si="21"/>
        <v>0.15999999999999992</v>
      </c>
    </row>
    <row r="164" spans="3:11" x14ac:dyDescent="0.25">
      <c r="C164" s="5">
        <v>162</v>
      </c>
      <c r="D164" s="5" t="s">
        <v>19</v>
      </c>
      <c r="E164" s="5">
        <v>889.08</v>
      </c>
      <c r="F164" s="5">
        <v>892.72</v>
      </c>
      <c r="G164" s="5">
        <f t="shared" si="19"/>
        <v>44.505494505494674</v>
      </c>
      <c r="H164" s="5">
        <v>3.9</v>
      </c>
      <c r="I164" s="5">
        <v>5.34</v>
      </c>
      <c r="J164" s="5">
        <f t="shared" si="20"/>
        <v>4.62</v>
      </c>
      <c r="K164">
        <f t="shared" si="21"/>
        <v>1.5625</v>
      </c>
    </row>
    <row r="165" spans="3:11" x14ac:dyDescent="0.25">
      <c r="C165" s="5">
        <v>163</v>
      </c>
      <c r="D165" s="5" t="s">
        <v>20</v>
      </c>
      <c r="E165" s="5">
        <v>889.16</v>
      </c>
      <c r="F165" s="5">
        <v>893.36</v>
      </c>
      <c r="G165" s="5">
        <f t="shared" si="19"/>
        <v>38.571428571428157</v>
      </c>
      <c r="H165" s="5">
        <v>2.36</v>
      </c>
      <c r="I165" s="5">
        <v>2.36</v>
      </c>
      <c r="J165" s="5">
        <f t="shared" si="20"/>
        <v>2.36</v>
      </c>
      <c r="K165">
        <f t="shared" si="21"/>
        <v>1.0201000000000005</v>
      </c>
    </row>
    <row r="166" spans="3:11" x14ac:dyDescent="0.25">
      <c r="C166" s="5">
        <v>164</v>
      </c>
      <c r="D166" s="5" t="s">
        <v>19</v>
      </c>
      <c r="E166" s="5">
        <v>890.44</v>
      </c>
      <c r="F166" s="5">
        <v>894.52</v>
      </c>
      <c r="G166" s="5">
        <f t="shared" si="19"/>
        <v>39.705882352941885</v>
      </c>
      <c r="H166" s="5">
        <v>3.46</v>
      </c>
      <c r="I166" s="5">
        <v>4.9000000000000004</v>
      </c>
      <c r="J166" s="5">
        <f t="shared" si="20"/>
        <v>4.18</v>
      </c>
      <c r="K166">
        <f t="shared" si="21"/>
        <v>0.65609999999999935</v>
      </c>
    </row>
    <row r="167" spans="3:11" x14ac:dyDescent="0.25">
      <c r="C167" s="5">
        <v>165</v>
      </c>
      <c r="D167" s="5" t="s">
        <v>19</v>
      </c>
      <c r="E167" s="5">
        <v>891.64</v>
      </c>
      <c r="F167" s="5">
        <v>895.44</v>
      </c>
      <c r="G167" s="5">
        <f t="shared" si="19"/>
        <v>42.631578947367657</v>
      </c>
      <c r="H167" s="5">
        <v>3.27</v>
      </c>
      <c r="I167" s="5">
        <v>4.71</v>
      </c>
      <c r="J167" s="5">
        <f t="shared" si="20"/>
        <v>3.99</v>
      </c>
      <c r="K167">
        <f t="shared" si="21"/>
        <v>0.38440000000000013</v>
      </c>
    </row>
    <row r="168" spans="3:11" x14ac:dyDescent="0.25">
      <c r="C168" s="5">
        <v>166</v>
      </c>
      <c r="D168" s="5" t="s">
        <v>20</v>
      </c>
      <c r="E168" s="5">
        <v>892.08</v>
      </c>
      <c r="F168" s="5">
        <v>896.52</v>
      </c>
      <c r="G168" s="5">
        <f t="shared" si="19"/>
        <v>36.486486486486974</v>
      </c>
      <c r="H168" s="5">
        <v>1.46</v>
      </c>
      <c r="I168" s="5">
        <v>1.46</v>
      </c>
      <c r="J168" s="5">
        <f t="shared" si="20"/>
        <v>1.46</v>
      </c>
      <c r="K168">
        <f t="shared" si="21"/>
        <v>3.6481000000000003</v>
      </c>
    </row>
    <row r="169" spans="3:11" x14ac:dyDescent="0.25">
      <c r="C169" s="5">
        <v>167</v>
      </c>
      <c r="D169" s="5" t="s">
        <v>19</v>
      </c>
      <c r="E169" s="5">
        <v>893.12</v>
      </c>
      <c r="F169" s="5">
        <v>896.84</v>
      </c>
      <c r="G169" s="5">
        <f t="shared" si="19"/>
        <v>43.54838709677388</v>
      </c>
      <c r="H169" s="5">
        <v>3.3</v>
      </c>
      <c r="I169" s="5">
        <v>4.74</v>
      </c>
      <c r="J169" s="5">
        <f t="shared" si="20"/>
        <v>4.0199999999999996</v>
      </c>
      <c r="K169">
        <f t="shared" si="21"/>
        <v>0.42249999999999932</v>
      </c>
    </row>
    <row r="170" spans="3:11" x14ac:dyDescent="0.25">
      <c r="C170" s="5">
        <v>168</v>
      </c>
      <c r="D170" s="5" t="s">
        <v>19</v>
      </c>
      <c r="E170" s="5">
        <v>895.36</v>
      </c>
      <c r="F170" s="5">
        <v>898.44</v>
      </c>
      <c r="G170" s="5">
        <f t="shared" si="19"/>
        <v>52.597402597401903</v>
      </c>
      <c r="H170" s="5">
        <v>2.79</v>
      </c>
      <c r="I170" s="5">
        <v>4.2300000000000004</v>
      </c>
      <c r="J170" s="5">
        <f t="shared" si="20"/>
        <v>3.5100000000000002</v>
      </c>
      <c r="K170">
        <f t="shared" si="21"/>
        <v>1.9600000000000034E-2</v>
      </c>
    </row>
    <row r="171" spans="3:11" x14ac:dyDescent="0.25">
      <c r="C171" s="5">
        <v>169</v>
      </c>
      <c r="D171" s="5" t="s">
        <v>20</v>
      </c>
      <c r="E171" s="5">
        <v>896.84</v>
      </c>
      <c r="F171" s="5">
        <v>900.2</v>
      </c>
      <c r="G171" s="5">
        <f t="shared" si="19"/>
        <v>48.214285714285523</v>
      </c>
      <c r="H171" s="5">
        <v>2.34</v>
      </c>
      <c r="I171" s="5">
        <v>2.34</v>
      </c>
      <c r="J171" s="5">
        <f t="shared" si="20"/>
        <v>2.34</v>
      </c>
      <c r="K171">
        <f t="shared" si="21"/>
        <v>1.0609000000000006</v>
      </c>
    </row>
    <row r="172" spans="3:11" x14ac:dyDescent="0.25">
      <c r="C172" s="5">
        <v>170</v>
      </c>
      <c r="D172" s="5" t="s">
        <v>20</v>
      </c>
      <c r="E172" s="5">
        <v>897.04</v>
      </c>
      <c r="F172" s="5">
        <v>900.48</v>
      </c>
      <c r="G172" s="5">
        <f t="shared" si="19"/>
        <v>47.093023255813208</v>
      </c>
      <c r="H172" s="5">
        <v>1.25</v>
      </c>
      <c r="I172" s="5">
        <v>1.25</v>
      </c>
      <c r="J172" s="5">
        <f t="shared" si="20"/>
        <v>1.25</v>
      </c>
      <c r="K172">
        <f t="shared" si="21"/>
        <v>4.4944000000000006</v>
      </c>
    </row>
    <row r="173" spans="3:11" x14ac:dyDescent="0.25">
      <c r="C173" s="5">
        <v>171</v>
      </c>
      <c r="D173" s="5" t="s">
        <v>20</v>
      </c>
      <c r="E173" s="5">
        <v>897.24</v>
      </c>
      <c r="F173" s="5">
        <v>901.56</v>
      </c>
      <c r="G173" s="5">
        <f t="shared" si="19"/>
        <v>37.500000000000554</v>
      </c>
      <c r="H173" s="5">
        <v>1.88</v>
      </c>
      <c r="I173" s="5">
        <v>1.88</v>
      </c>
      <c r="J173" s="5">
        <f t="shared" si="20"/>
        <v>1.88</v>
      </c>
      <c r="K173">
        <f t="shared" si="21"/>
        <v>2.2201000000000009</v>
      </c>
    </row>
    <row r="174" spans="3:11" x14ac:dyDescent="0.25">
      <c r="C174" s="5">
        <v>172</v>
      </c>
      <c r="D174" s="5" t="s">
        <v>19</v>
      </c>
      <c r="E174" s="5">
        <v>897.76</v>
      </c>
      <c r="F174" s="5">
        <v>901.12</v>
      </c>
      <c r="G174" s="5">
        <f t="shared" si="19"/>
        <v>48.214285714285523</v>
      </c>
      <c r="H174" s="5">
        <v>3.48</v>
      </c>
      <c r="I174" s="5">
        <v>4.92</v>
      </c>
      <c r="J174" s="5">
        <f t="shared" si="20"/>
        <v>4.2</v>
      </c>
      <c r="K174">
        <f t="shared" si="21"/>
        <v>0.68890000000000007</v>
      </c>
    </row>
    <row r="175" spans="3:11" x14ac:dyDescent="0.25">
      <c r="C175" s="5">
        <v>173</v>
      </c>
      <c r="D175" s="5" t="s">
        <v>19</v>
      </c>
      <c r="E175" s="5">
        <v>898</v>
      </c>
      <c r="F175" s="5">
        <v>902.56</v>
      </c>
      <c r="G175" s="5">
        <f t="shared" si="19"/>
        <v>35.526315789474111</v>
      </c>
      <c r="H175" s="5">
        <v>2.2400000000000002</v>
      </c>
      <c r="I175" s="5">
        <v>3.68</v>
      </c>
      <c r="J175" s="5">
        <f t="shared" si="20"/>
        <v>2.96</v>
      </c>
      <c r="K175">
        <f t="shared" si="21"/>
        <v>0.16810000000000011</v>
      </c>
    </row>
    <row r="176" spans="3:11" x14ac:dyDescent="0.25">
      <c r="C176" s="5">
        <v>174</v>
      </c>
      <c r="D176" s="5" t="s">
        <v>19</v>
      </c>
      <c r="E176" s="5">
        <v>899.4</v>
      </c>
      <c r="F176" s="5">
        <v>903.72</v>
      </c>
      <c r="G176" s="5">
        <f t="shared" si="19"/>
        <v>37.499999999999567</v>
      </c>
      <c r="H176" s="5">
        <v>2.5099999999999998</v>
      </c>
      <c r="I176" s="5">
        <v>3.95</v>
      </c>
      <c r="J176" s="5">
        <f t="shared" si="20"/>
        <v>3.23</v>
      </c>
      <c r="K176">
        <f t="shared" si="21"/>
        <v>1.9600000000000034E-2</v>
      </c>
    </row>
    <row r="178" spans="4:9" ht="15.75" thickBot="1" x14ac:dyDescent="0.3"/>
    <row r="179" spans="4:9" ht="15.75" x14ac:dyDescent="0.25">
      <c r="D179" s="12" t="s">
        <v>28</v>
      </c>
      <c r="E179" s="13" t="s">
        <v>29</v>
      </c>
      <c r="F179" s="13" t="s">
        <v>30</v>
      </c>
      <c r="G179" s="13" t="s">
        <v>31</v>
      </c>
      <c r="H179" s="13" t="s">
        <v>32</v>
      </c>
      <c r="I179" s="14" t="s">
        <v>33</v>
      </c>
    </row>
    <row r="180" spans="4:9" x14ac:dyDescent="0.25">
      <c r="D180" s="15" t="s">
        <v>20</v>
      </c>
      <c r="E180" s="2">
        <f>COUNTIF(D3:D176,"TW")/174</f>
        <v>0.34482758620689657</v>
      </c>
      <c r="F180" s="2">
        <v>0.25</v>
      </c>
      <c r="G180" s="2">
        <f>(F180*F180)</f>
        <v>6.25E-2</v>
      </c>
      <c r="H180" s="2">
        <f>E180*F180</f>
        <v>8.6206896551724144E-2</v>
      </c>
      <c r="I180" s="16">
        <f>E180*G180</f>
        <v>2.1551724137931036E-2</v>
      </c>
    </row>
    <row r="181" spans="4:9" x14ac:dyDescent="0.25">
      <c r="D181" s="15" t="s">
        <v>41</v>
      </c>
      <c r="E181" s="2">
        <f>COUNTIF(D3:D176,"Cycle Rikshaw")/174</f>
        <v>5.7471264367816091E-3</v>
      </c>
      <c r="F181" s="2">
        <v>2.1</v>
      </c>
      <c r="G181" s="2">
        <f t="shared" ref="G181:G182" si="22">(F181*F181)</f>
        <v>4.41</v>
      </c>
      <c r="H181" s="2">
        <f t="shared" ref="H181:H182" si="23">E181*F181</f>
        <v>1.2068965517241379E-2</v>
      </c>
      <c r="I181" s="16">
        <f t="shared" ref="I181:I182" si="24">E181*G181</f>
        <v>2.5344827586206896E-2</v>
      </c>
    </row>
    <row r="182" spans="4:9" x14ac:dyDescent="0.25">
      <c r="D182" s="15" t="s">
        <v>24</v>
      </c>
      <c r="E182" s="2">
        <f>COUNTIF(D3:D176,"Cycle")/174</f>
        <v>2.2988505747126436E-2</v>
      </c>
      <c r="F182" s="2">
        <v>0.4</v>
      </c>
      <c r="G182" s="2">
        <f t="shared" si="22"/>
        <v>0.16000000000000003</v>
      </c>
      <c r="H182" s="2">
        <f t="shared" si="23"/>
        <v>9.1954022988505746E-3</v>
      </c>
      <c r="I182" s="16">
        <f t="shared" si="24"/>
        <v>3.6781609195402306E-3</v>
      </c>
    </row>
    <row r="183" spans="4:9" x14ac:dyDescent="0.25">
      <c r="D183" s="15" t="s">
        <v>19</v>
      </c>
      <c r="E183" s="2">
        <f>COUNTIF(D3:D176,"Car")/174</f>
        <v>0.54597701149425293</v>
      </c>
      <c r="F183" s="2">
        <v>1</v>
      </c>
      <c r="G183" s="2">
        <f t="shared" ref="G183:G186" si="25">(F183*F183)</f>
        <v>1</v>
      </c>
      <c r="H183" s="2">
        <f t="shared" ref="H183:H186" si="26">E183*F183</f>
        <v>0.54597701149425293</v>
      </c>
      <c r="I183" s="16">
        <f t="shared" ref="I183:I186" si="27">E183*G183</f>
        <v>0.54597701149425293</v>
      </c>
    </row>
    <row r="184" spans="4:9" x14ac:dyDescent="0.25">
      <c r="D184" s="15" t="s">
        <v>18</v>
      </c>
      <c r="E184" s="2">
        <f>COUNTIF(D3:D176,"Auto")/174</f>
        <v>5.1724137931034482E-2</v>
      </c>
      <c r="F184" s="2">
        <v>1.2</v>
      </c>
      <c r="G184" s="2">
        <f t="shared" si="25"/>
        <v>1.44</v>
      </c>
      <c r="H184" s="2">
        <f t="shared" si="26"/>
        <v>6.2068965517241378E-2</v>
      </c>
      <c r="I184" s="16">
        <f t="shared" si="27"/>
        <v>7.4482758620689649E-2</v>
      </c>
    </row>
    <row r="185" spans="4:9" x14ac:dyDescent="0.25">
      <c r="D185" s="15" t="s">
        <v>22</v>
      </c>
      <c r="E185" s="2">
        <f>COUNTIF(D3:D176,"Bus")/174</f>
        <v>1.7241379310344827E-2</v>
      </c>
      <c r="F185" s="2">
        <v>4.5</v>
      </c>
      <c r="G185" s="2">
        <f t="shared" si="25"/>
        <v>20.25</v>
      </c>
      <c r="H185" s="2">
        <f t="shared" si="26"/>
        <v>7.7586206896551727E-2</v>
      </c>
      <c r="I185" s="16">
        <f t="shared" si="27"/>
        <v>0.34913793103448276</v>
      </c>
    </row>
    <row r="186" spans="4:9" x14ac:dyDescent="0.25">
      <c r="D186" s="15" t="s">
        <v>21</v>
      </c>
      <c r="E186" s="2">
        <f>COUNTIF(D3:D176,"TAT")/174</f>
        <v>5.7471264367816091E-3</v>
      </c>
      <c r="F186" s="2">
        <v>4.8</v>
      </c>
      <c r="G186" s="2">
        <f t="shared" si="25"/>
        <v>23.04</v>
      </c>
      <c r="H186" s="2">
        <f t="shared" si="26"/>
        <v>2.7586206896551724E-2</v>
      </c>
      <c r="I186" s="16">
        <f t="shared" si="27"/>
        <v>0.13241379310344828</v>
      </c>
    </row>
    <row r="187" spans="4:9" x14ac:dyDescent="0.25">
      <c r="D187" s="15"/>
      <c r="E187" s="2"/>
      <c r="F187" s="2"/>
      <c r="G187" s="11" t="s">
        <v>34</v>
      </c>
      <c r="H187" s="2">
        <f>SUM(H180:H186)</f>
        <v>0.82068965517241388</v>
      </c>
      <c r="I187" s="16">
        <f>SUM(I180:I186)</f>
        <v>1.1525862068965518</v>
      </c>
    </row>
    <row r="188" spans="4:9" x14ac:dyDescent="0.25">
      <c r="D188" s="15"/>
      <c r="E188" s="2"/>
      <c r="F188" s="2"/>
      <c r="G188" s="11" t="s">
        <v>37</v>
      </c>
      <c r="H188" s="2">
        <f>H187*H187</f>
        <v>0.67353151010701562</v>
      </c>
      <c r="I188" s="16"/>
    </row>
    <row r="189" spans="4:9" ht="19.5" thickBot="1" x14ac:dyDescent="0.35">
      <c r="D189" s="56" t="s">
        <v>35</v>
      </c>
      <c r="E189" s="57"/>
      <c r="F189" s="57"/>
      <c r="G189" s="57"/>
      <c r="H189" s="18">
        <f>(((I187-H188)^(1/2))/H187)*100</f>
        <v>84.336115195378454</v>
      </c>
      <c r="I189" s="17"/>
    </row>
    <row r="192" spans="4:9" ht="15.75" thickBot="1" x14ac:dyDescent="0.3"/>
    <row r="193" spans="4:9" ht="15.75" x14ac:dyDescent="0.25">
      <c r="D193" s="19" t="s">
        <v>38</v>
      </c>
      <c r="E193" s="20" t="s">
        <v>29</v>
      </c>
      <c r="F193" s="20" t="s">
        <v>30</v>
      </c>
      <c r="G193" s="20" t="s">
        <v>31</v>
      </c>
      <c r="H193" s="20" t="s">
        <v>32</v>
      </c>
      <c r="I193" s="21" t="s">
        <v>33</v>
      </c>
    </row>
    <row r="194" spans="4:9" x14ac:dyDescent="0.25">
      <c r="D194" s="15" t="s">
        <v>20</v>
      </c>
      <c r="E194" s="2">
        <f>COUNTIF(M3:M103,"TW")/101</f>
        <v>0.46534653465346537</v>
      </c>
      <c r="F194" s="2">
        <v>0.25</v>
      </c>
      <c r="G194" s="2">
        <f>(F194*F194)</f>
        <v>6.25E-2</v>
      </c>
      <c r="H194" s="2">
        <f>E194*F194</f>
        <v>0.11633663366336634</v>
      </c>
      <c r="I194" s="16">
        <f>E194*G194</f>
        <v>2.9084158415841586E-2</v>
      </c>
    </row>
    <row r="195" spans="4:9" x14ac:dyDescent="0.25">
      <c r="D195" s="15" t="s">
        <v>41</v>
      </c>
      <c r="E195" s="2">
        <f>COUNTIF(M3:M103,"Cycle Rikshaw")/101</f>
        <v>9.9009900990099011E-3</v>
      </c>
      <c r="F195" s="2">
        <v>2.1</v>
      </c>
      <c r="G195" s="2">
        <f>(F195*F195)</f>
        <v>4.41</v>
      </c>
      <c r="H195" s="2">
        <f t="shared" ref="H195:H197" si="28">E195*F195</f>
        <v>2.0792079207920793E-2</v>
      </c>
      <c r="I195" s="16">
        <f t="shared" ref="I195:I197" si="29">E195*G195</f>
        <v>4.3663366336633667E-2</v>
      </c>
    </row>
    <row r="196" spans="4:9" x14ac:dyDescent="0.25">
      <c r="D196" s="15" t="s">
        <v>24</v>
      </c>
      <c r="E196" s="2">
        <f>COUNTIF(M3:M103,"Cycle")/101</f>
        <v>1.9801980198019802E-2</v>
      </c>
      <c r="F196" s="2">
        <v>0.4</v>
      </c>
      <c r="G196" s="2">
        <f t="shared" ref="G196:G200" si="30">(F196*F196)</f>
        <v>0.16000000000000003</v>
      </c>
      <c r="H196" s="2">
        <f t="shared" si="28"/>
        <v>7.9207920792079209E-3</v>
      </c>
      <c r="I196" s="16">
        <f t="shared" si="29"/>
        <v>3.168316831683169E-3</v>
      </c>
    </row>
    <row r="197" spans="4:9" x14ac:dyDescent="0.25">
      <c r="D197" s="15" t="s">
        <v>19</v>
      </c>
      <c r="E197" s="2">
        <f>COUNTIF(M3:M103,"Car")/101</f>
        <v>0.36633663366336633</v>
      </c>
      <c r="F197" s="2">
        <v>1</v>
      </c>
      <c r="G197" s="2">
        <f t="shared" si="30"/>
        <v>1</v>
      </c>
      <c r="H197" s="2">
        <f t="shared" si="28"/>
        <v>0.36633663366336633</v>
      </c>
      <c r="I197" s="16">
        <f t="shared" si="29"/>
        <v>0.36633663366336633</v>
      </c>
    </row>
    <row r="198" spans="4:9" x14ac:dyDescent="0.25">
      <c r="D198" s="15" t="s">
        <v>18</v>
      </c>
      <c r="E198" s="2">
        <f>COUNTIF(M1:M103,"Auto")/103</f>
        <v>8.7378640776699032E-2</v>
      </c>
      <c r="F198" s="2">
        <v>1.2</v>
      </c>
      <c r="G198" s="2">
        <f t="shared" si="30"/>
        <v>1.44</v>
      </c>
      <c r="H198" s="2">
        <f t="shared" ref="H198:H200" si="31">E198*F198</f>
        <v>0.10485436893203884</v>
      </c>
      <c r="I198" s="16">
        <f t="shared" ref="I198:I200" si="32">E198*G198</f>
        <v>0.12582524271844661</v>
      </c>
    </row>
    <row r="199" spans="4:9" x14ac:dyDescent="0.25">
      <c r="D199" s="15" t="s">
        <v>22</v>
      </c>
      <c r="E199" s="2">
        <f>COUNTIF(M3:M103,"Bus")/101</f>
        <v>1.9801980198019802E-2</v>
      </c>
      <c r="F199" s="2">
        <v>4.5</v>
      </c>
      <c r="G199" s="2">
        <f t="shared" si="30"/>
        <v>20.25</v>
      </c>
      <c r="H199" s="2">
        <f t="shared" si="31"/>
        <v>8.9108910891089105E-2</v>
      </c>
      <c r="I199" s="16">
        <f t="shared" si="32"/>
        <v>0.40099009900990101</v>
      </c>
    </row>
    <row r="200" spans="4:9" x14ac:dyDescent="0.25">
      <c r="D200" s="15" t="s">
        <v>21</v>
      </c>
      <c r="E200" s="2">
        <f>COUNTIF(M3:M103,"TAT")/101</f>
        <v>9.9009900990099011E-3</v>
      </c>
      <c r="F200" s="2">
        <v>4.8</v>
      </c>
      <c r="G200" s="2">
        <f t="shared" si="30"/>
        <v>23.04</v>
      </c>
      <c r="H200" s="2">
        <f t="shared" si="31"/>
        <v>4.7524752475247525E-2</v>
      </c>
      <c r="I200" s="16">
        <f t="shared" si="32"/>
        <v>0.2281188118811881</v>
      </c>
    </row>
    <row r="201" spans="4:9" x14ac:dyDescent="0.25">
      <c r="D201" s="15"/>
      <c r="E201" s="2"/>
      <c r="F201" s="2"/>
      <c r="G201" s="11" t="s">
        <v>34</v>
      </c>
      <c r="H201" s="2">
        <f>SUM(H194:H200)</f>
        <v>0.75287417091223685</v>
      </c>
      <c r="I201" s="16">
        <f>SUM(I194:I200)</f>
        <v>1.1971866288570605</v>
      </c>
    </row>
    <row r="202" spans="4:9" x14ac:dyDescent="0.25">
      <c r="D202" s="15"/>
      <c r="E202" s="2"/>
      <c r="F202" s="2"/>
      <c r="G202" s="11" t="s">
        <v>37</v>
      </c>
      <c r="H202" s="2">
        <f>H201*H201</f>
        <v>0.56681951722678803</v>
      </c>
      <c r="I202" s="16"/>
    </row>
    <row r="203" spans="4:9" ht="19.5" thickBot="1" x14ac:dyDescent="0.35">
      <c r="D203" s="56" t="s">
        <v>43</v>
      </c>
      <c r="E203" s="57"/>
      <c r="F203" s="57"/>
      <c r="G203" s="57"/>
      <c r="H203" s="18">
        <f>(((I201-H202)^(1/2))/H201)*100</f>
        <v>105.45674813991684</v>
      </c>
      <c r="I203" s="17"/>
    </row>
  </sheetData>
  <mergeCells count="4">
    <mergeCell ref="D1:I1"/>
    <mergeCell ref="M1:S1"/>
    <mergeCell ref="D189:G189"/>
    <mergeCell ref="D203:G203"/>
  </mergeCells>
  <conditionalFormatting sqref="A106:N116 U106:XFD116 A117:XFD1048576 K4:K176 A1:XFD105">
    <cfRule type="containsText" dxfId="150" priority="2" operator="containsText" text="Cycle Rikshaw">
      <formula>NOT(ISERROR(SEARCH("Cycle Rikshaw",A1)))</formula>
    </cfRule>
  </conditionalFormatting>
  <conditionalFormatting sqref="A1:XFD1048576">
    <cfRule type="containsText" dxfId="149" priority="13" operator="containsText" text="TAT">
      <formula>NOT(ISERROR(SEARCH("TAT",A1)))</formula>
    </cfRule>
  </conditionalFormatting>
  <conditionalFormatting sqref="D1:D178 D190:D1048576">
    <cfRule type="containsText" dxfId="148" priority="22" operator="containsText" text="LCV">
      <formula>NOT(ISERROR(SEARCH("LCV",D1)))</formula>
    </cfRule>
    <cfRule type="containsText" dxfId="147" priority="23" operator="containsText" text="Bus">
      <formula>NOT(ISERROR(SEARCH("Bus",D1)))</formula>
    </cfRule>
    <cfRule type="containsText" dxfId="146" priority="24" operator="containsText" text="Cycle">
      <formula>NOT(ISERROR(SEARCH("Cycle",D1)))</formula>
    </cfRule>
    <cfRule type="containsText" dxfId="145" priority="25" operator="containsText" text="Auto">
      <formula>NOT(ISERROR(SEARCH("Auto",D1)))</formula>
    </cfRule>
    <cfRule type="containsText" dxfId="144" priority="26" operator="containsText" text="Car">
      <formula>NOT(ISERROR(SEARCH("Car",D1)))</formula>
    </cfRule>
    <cfRule type="containsText" dxfId="143" priority="27" operator="containsText" text="TW">
      <formula>NOT(ISERROR(SEARCH("TW",D1)))</formula>
    </cfRule>
  </conditionalFormatting>
  <conditionalFormatting sqref="D190:D1048576 D1:D178">
    <cfRule type="containsText" dxfId="142" priority="21" operator="containsText" text="TAT">
      <formula>NOT(ISERROR(SEARCH("TAT",D1)))</formula>
    </cfRule>
  </conditionalFormatting>
  <conditionalFormatting sqref="D203 H203:I203">
    <cfRule type="containsText" dxfId="141" priority="4" operator="containsText" text="TAT">
      <formula>NOT(ISERROR(SEARCH("TAT",D203)))</formula>
    </cfRule>
  </conditionalFormatting>
  <conditionalFormatting sqref="D179:I179 D180:H185">
    <cfRule type="containsText" dxfId="140" priority="14" operator="containsText" text="LCV">
      <formula>NOT(ISERROR(SEARCH("LCV",D179)))</formula>
    </cfRule>
    <cfRule type="containsText" dxfId="139" priority="15" operator="containsText" text="TAT">
      <formula>NOT(ISERROR(SEARCH("TAT",D179)))</formula>
    </cfRule>
    <cfRule type="containsText" dxfId="138" priority="16" operator="containsText" text="Bus">
      <formula>NOT(ISERROR(SEARCH("Bus",D179)))</formula>
    </cfRule>
    <cfRule type="containsText" dxfId="137" priority="17" operator="containsText" text="Cycle">
      <formula>NOT(ISERROR(SEARCH("Cycle",D179)))</formula>
    </cfRule>
    <cfRule type="containsText" dxfId="136" priority="18" operator="containsText" text="Auto">
      <formula>NOT(ISERROR(SEARCH("Auto",D179)))</formula>
    </cfRule>
    <cfRule type="containsText" dxfId="135" priority="19" operator="containsText" text="TW">
      <formula>NOT(ISERROR(SEARCH("TW",D179)))</formula>
    </cfRule>
    <cfRule type="containsText" dxfId="134" priority="20" operator="containsText" text="Car">
      <formula>NOT(ISERROR(SEARCH("Car",D179)))</formula>
    </cfRule>
  </conditionalFormatting>
  <conditionalFormatting sqref="D193:I193 D194:H199">
    <cfRule type="containsText" dxfId="133" priority="5" operator="containsText" text="LCV">
      <formula>NOT(ISERROR(SEARCH("LCV",D193)))</formula>
    </cfRule>
    <cfRule type="containsText" dxfId="132" priority="6" operator="containsText" text="TAT">
      <formula>NOT(ISERROR(SEARCH("TAT",D193)))</formula>
    </cfRule>
    <cfRule type="containsText" dxfId="131" priority="7" operator="containsText" text="Bus">
      <formula>NOT(ISERROR(SEARCH("Bus",D193)))</formula>
    </cfRule>
    <cfRule type="containsText" dxfId="130" priority="8" operator="containsText" text="Cycle">
      <formula>NOT(ISERROR(SEARCH("Cycle",D193)))</formula>
    </cfRule>
    <cfRule type="containsText" dxfId="129" priority="9" operator="containsText" text="Auto">
      <formula>NOT(ISERROR(SEARCH("Auto",D193)))</formula>
    </cfRule>
    <cfRule type="containsText" dxfId="128" priority="10" operator="containsText" text="TW">
      <formula>NOT(ISERROR(SEARCH("TW",D193)))</formula>
    </cfRule>
    <cfRule type="containsText" dxfId="127" priority="11" operator="containsText" text="Car">
      <formula>NOT(ISERROR(SEARCH("Car",D193)))</formula>
    </cfRule>
  </conditionalFormatting>
  <conditionalFormatting sqref="L1:U103">
    <cfRule type="containsText" dxfId="126" priority="28" operator="containsText" text="TW">
      <formula>NOT(ISERROR(SEARCH("TW",L1)))</formula>
    </cfRule>
    <cfRule type="containsText" dxfId="125" priority="29" operator="containsText" text="Car">
      <formula>NOT(ISERROR(SEARCH("Car",L1)))</formula>
    </cfRule>
  </conditionalFormatting>
  <conditionalFormatting sqref="M1:M103">
    <cfRule type="containsText" dxfId="124" priority="31" operator="containsText" text="Bus">
      <formula>NOT(ISERROR(SEARCH("Bus",M1)))</formula>
    </cfRule>
    <cfRule type="containsText" dxfId="123" priority="32" operator="containsText" text="LCV">
      <formula>NOT(ISERROR(SEARCH("LCV",M1)))</formula>
    </cfRule>
    <cfRule type="containsText" dxfId="122" priority="33" operator="containsText" text="Cycle">
      <formula>NOT(ISERROR(SEARCH("Cycle",M1)))</formula>
    </cfRule>
    <cfRule type="containsText" dxfId="121" priority="34" operator="containsText" text="Auto">
      <formula>NOT(ISERROR(SEARCH("Auto",M1)))</formula>
    </cfRule>
    <cfRule type="containsText" dxfId="120" priority="35" operator="containsText" text="TW">
      <formula>NOT(ISERROR(SEARCH("TW",M1)))</formula>
    </cfRule>
    <cfRule type="containsText" dxfId="119" priority="36" operator="containsText" text="Car">
      <formula>NOT(ISERROR(SEARCH("Car",M1)))</formula>
    </cfRule>
  </conditionalFormatting>
  <conditionalFormatting sqref="Q29">
    <cfRule type="containsText" dxfId="118" priority="30" operator="containsText" text="Car">
      <formula>NOT(ISERROR(SEARCH("Car",Q29)))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E9C2-19C7-41CA-9663-0B6DD8D23541}">
  <dimension ref="A1:V182"/>
  <sheetViews>
    <sheetView topLeftCell="L115" zoomScale="85" zoomScaleNormal="85" workbookViewId="0">
      <selection activeCell="R129" sqref="R129"/>
    </sheetView>
  </sheetViews>
  <sheetFormatPr defaultRowHeight="15" x14ac:dyDescent="0.25"/>
  <cols>
    <col min="2" max="2" width="15.140625" customWidth="1"/>
    <col min="3" max="3" width="17.28515625" customWidth="1"/>
    <col min="4" max="4" width="16.5703125" customWidth="1"/>
    <col min="5" max="5" width="17.5703125" customWidth="1"/>
    <col min="6" max="6" width="14.7109375" customWidth="1"/>
    <col min="7" max="8" width="21.7109375" customWidth="1"/>
    <col min="9" max="9" width="21.85546875" bestFit="1" customWidth="1"/>
    <col min="12" max="12" width="14.28515625" customWidth="1"/>
    <col min="13" max="13" width="16.140625" customWidth="1"/>
    <col min="14" max="14" width="14.28515625" customWidth="1"/>
    <col min="15" max="15" width="17.7109375" customWidth="1"/>
    <col min="16" max="16" width="15.5703125" customWidth="1"/>
    <col min="17" max="18" width="21.85546875" customWidth="1"/>
    <col min="19" max="19" width="25" bestFit="1" customWidth="1"/>
    <col min="20" max="20" width="23.28515625" bestFit="1" customWidth="1"/>
  </cols>
  <sheetData>
    <row r="1" spans="1:22" ht="15.75" x14ac:dyDescent="0.3">
      <c r="C1" s="5"/>
      <c r="D1" s="54" t="s">
        <v>6</v>
      </c>
      <c r="E1" s="55"/>
      <c r="F1" s="55"/>
      <c r="G1" s="55"/>
      <c r="H1" s="55"/>
      <c r="I1" s="55"/>
      <c r="J1" s="5"/>
      <c r="L1" s="5"/>
      <c r="M1" s="54" t="s">
        <v>7</v>
      </c>
      <c r="N1" s="55"/>
      <c r="O1" s="55"/>
      <c r="P1" s="55"/>
      <c r="Q1" s="55"/>
      <c r="R1" s="55"/>
      <c r="S1" s="55"/>
      <c r="T1" s="5"/>
      <c r="U1" s="5"/>
    </row>
    <row r="2" spans="1:22" ht="31.5" x14ac:dyDescent="0.25">
      <c r="A2" t="s">
        <v>11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12</v>
      </c>
      <c r="J2" s="8" t="s">
        <v>17</v>
      </c>
      <c r="K2" s="1"/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15</v>
      </c>
      <c r="R2" s="8" t="s">
        <v>12</v>
      </c>
      <c r="S2" s="8" t="s">
        <v>16</v>
      </c>
      <c r="T2" s="8" t="s">
        <v>13</v>
      </c>
      <c r="U2" s="8" t="s">
        <v>17</v>
      </c>
    </row>
    <row r="3" spans="1:22" x14ac:dyDescent="0.25">
      <c r="A3">
        <v>45</v>
      </c>
      <c r="C3" s="5">
        <v>1</v>
      </c>
      <c r="D3" s="5" t="s">
        <v>20</v>
      </c>
      <c r="E3" s="5">
        <v>902.76</v>
      </c>
      <c r="F3" s="5">
        <v>906.28</v>
      </c>
      <c r="G3" s="5">
        <f>$A$3/(F3-E3)*3.6</f>
        <v>46.022727272727515</v>
      </c>
      <c r="H3" s="5">
        <v>2.58</v>
      </c>
      <c r="I3" s="5">
        <v>2.58</v>
      </c>
      <c r="J3" s="5">
        <f>(H3+I3)/2</f>
        <v>2.58</v>
      </c>
      <c r="K3">
        <f>(J3-3.115)^2</f>
        <v>0.28622500000000017</v>
      </c>
      <c r="L3" s="5">
        <v>1</v>
      </c>
      <c r="M3" s="5" t="s">
        <v>21</v>
      </c>
      <c r="N3" s="5">
        <v>901.6</v>
      </c>
      <c r="O3" s="5">
        <v>906.28</v>
      </c>
      <c r="P3" s="5">
        <f t="shared" ref="P3:P78" si="0">$A$3/(O3-N3)*3.6</f>
        <v>34.615384615384983</v>
      </c>
      <c r="Q3" s="5">
        <f>IF(M3="Car", R3 + 1.44, IF(M3="Bus", R3+2.43,IF(M3="Auto", R3+1.4,IF(M3="LCV",R3+2.1,IF(M3="TAT", R3 + 2.35, R3)))))</f>
        <v>8.01</v>
      </c>
      <c r="R3" s="5">
        <v>5.66</v>
      </c>
      <c r="S3" s="5">
        <f>$A$5-Q3</f>
        <v>0.99000000000000021</v>
      </c>
      <c r="T3" s="5">
        <f>$A$5-R3</f>
        <v>3.34</v>
      </c>
      <c r="U3" s="5">
        <f>(S3+T3)/2</f>
        <v>2.165</v>
      </c>
      <c r="V3">
        <f>(U3-1.85)^2</f>
        <v>9.9224999999999966E-2</v>
      </c>
    </row>
    <row r="4" spans="1:22" x14ac:dyDescent="0.25">
      <c r="A4" t="s">
        <v>14</v>
      </c>
      <c r="C4" s="5">
        <v>2</v>
      </c>
      <c r="D4" s="5" t="s">
        <v>18</v>
      </c>
      <c r="E4" s="5">
        <v>903.6</v>
      </c>
      <c r="F4" s="5">
        <v>907.36</v>
      </c>
      <c r="G4" s="5">
        <f t="shared" ref="G4:G67" si="1">$A$3/(F4-E4)*3.6</f>
        <v>43.085106382978829</v>
      </c>
      <c r="H4" s="5">
        <v>2.4700000000000002</v>
      </c>
      <c r="I4" s="5">
        <v>2.4700000000000002</v>
      </c>
      <c r="J4" s="5">
        <f t="shared" ref="J4:J67" si="2">(H4+I4)/2</f>
        <v>2.4700000000000002</v>
      </c>
      <c r="K4">
        <f t="shared" ref="K4:K67" si="3">(J4-3.115)^2</f>
        <v>0.41602500000000003</v>
      </c>
      <c r="L4" s="5">
        <v>2</v>
      </c>
      <c r="M4" s="5" t="s">
        <v>19</v>
      </c>
      <c r="N4" s="5">
        <v>902.96</v>
      </c>
      <c r="O4" s="5">
        <v>907.36</v>
      </c>
      <c r="P4" s="5">
        <f t="shared" si="0"/>
        <v>36.818181818182012</v>
      </c>
      <c r="Q4" s="5">
        <f t="shared" ref="Q4:Q67" si="4">IF(M4="Car", R4 + 1.44, IF(M4="Bus", R4+2.43,IF(M4="Auto", R4+1.4,IF(M4="LCV",R4+2.1,IF(M4="TAT", R4 + 2.35, R4)))))</f>
        <v>7.1899999999999995</v>
      </c>
      <c r="R4" s="5">
        <v>5.75</v>
      </c>
      <c r="S4" s="5">
        <f t="shared" ref="S4:T19" si="5">$A$5-Q4</f>
        <v>1.8100000000000005</v>
      </c>
      <c r="T4" s="5">
        <f t="shared" si="5"/>
        <v>3.25</v>
      </c>
      <c r="U4" s="5">
        <f t="shared" ref="U4:U67" si="6">(S4+T4)/2</f>
        <v>2.5300000000000002</v>
      </c>
      <c r="V4">
        <f t="shared" ref="V4:V67" si="7">(U4-1.85)^2</f>
        <v>0.4624000000000002</v>
      </c>
    </row>
    <row r="5" spans="1:22" x14ac:dyDescent="0.25">
      <c r="A5">
        <v>9</v>
      </c>
      <c r="C5" s="5">
        <v>3</v>
      </c>
      <c r="D5" s="5" t="s">
        <v>18</v>
      </c>
      <c r="E5" s="5">
        <v>904.84</v>
      </c>
      <c r="F5" s="5">
        <v>909.32</v>
      </c>
      <c r="G5" s="5">
        <f t="shared" si="1"/>
        <v>36.160714285714143</v>
      </c>
      <c r="H5" s="5">
        <v>2.72</v>
      </c>
      <c r="I5" s="5">
        <v>2.72</v>
      </c>
      <c r="J5" s="7">
        <f t="shared" si="2"/>
        <v>2.72</v>
      </c>
      <c r="K5">
        <f t="shared" si="3"/>
        <v>0.15602500000000002</v>
      </c>
      <c r="L5" s="5">
        <v>3</v>
      </c>
      <c r="M5" s="5" t="s">
        <v>20</v>
      </c>
      <c r="N5" s="5">
        <v>903.68</v>
      </c>
      <c r="O5" s="5">
        <v>908.24</v>
      </c>
      <c r="P5" s="5">
        <f t="shared" si="0"/>
        <v>35.526315789473223</v>
      </c>
      <c r="Q5" s="5">
        <f t="shared" si="4"/>
        <v>5.74</v>
      </c>
      <c r="R5" s="5">
        <v>5.74</v>
      </c>
      <c r="S5" s="5">
        <f t="shared" si="5"/>
        <v>3.26</v>
      </c>
      <c r="T5" s="5">
        <f t="shared" si="5"/>
        <v>3.26</v>
      </c>
      <c r="U5" s="5">
        <f t="shared" si="6"/>
        <v>3.26</v>
      </c>
      <c r="V5">
        <f t="shared" si="7"/>
        <v>1.9880999999999991</v>
      </c>
    </row>
    <row r="6" spans="1:22" x14ac:dyDescent="0.25">
      <c r="C6" s="5">
        <v>4</v>
      </c>
      <c r="D6" s="5" t="s">
        <v>19</v>
      </c>
      <c r="E6" s="5">
        <v>905.92</v>
      </c>
      <c r="F6" s="5">
        <v>910.08</v>
      </c>
      <c r="G6" s="5">
        <f t="shared" si="1"/>
        <v>38.942307692306933</v>
      </c>
      <c r="H6" s="5">
        <v>2.59</v>
      </c>
      <c r="I6" s="5">
        <v>3.89</v>
      </c>
      <c r="J6" s="5">
        <f t="shared" si="2"/>
        <v>3.24</v>
      </c>
      <c r="K6">
        <f t="shared" si="3"/>
        <v>1.5625E-2</v>
      </c>
      <c r="L6" s="5">
        <v>4</v>
      </c>
      <c r="M6" s="5" t="s">
        <v>20</v>
      </c>
      <c r="N6" s="5">
        <v>903.72</v>
      </c>
      <c r="O6" s="5">
        <v>908.36</v>
      </c>
      <c r="P6" s="5">
        <f t="shared" si="0"/>
        <v>34.913793103448384</v>
      </c>
      <c r="Q6" s="5">
        <f t="shared" si="4"/>
        <v>7.24</v>
      </c>
      <c r="R6" s="5">
        <v>7.24</v>
      </c>
      <c r="S6" s="5">
        <f t="shared" si="5"/>
        <v>1.7599999999999998</v>
      </c>
      <c r="T6" s="5">
        <f t="shared" si="5"/>
        <v>1.7599999999999998</v>
      </c>
      <c r="U6" s="5">
        <f t="shared" si="6"/>
        <v>1.7599999999999998</v>
      </c>
      <c r="V6">
        <f t="shared" si="7"/>
        <v>8.1000000000000551E-3</v>
      </c>
    </row>
    <row r="7" spans="1:22" x14ac:dyDescent="0.25">
      <c r="C7" s="5">
        <v>5</v>
      </c>
      <c r="D7" s="5" t="s">
        <v>19</v>
      </c>
      <c r="E7" s="5">
        <v>907.04</v>
      </c>
      <c r="F7" s="5">
        <v>911.4</v>
      </c>
      <c r="G7" s="5">
        <f t="shared" si="1"/>
        <v>37.155963302752177</v>
      </c>
      <c r="H7" s="5">
        <v>2.73</v>
      </c>
      <c r="I7" s="5">
        <v>4.37</v>
      </c>
      <c r="J7" s="5">
        <f t="shared" si="2"/>
        <v>3.55</v>
      </c>
      <c r="K7">
        <f t="shared" si="3"/>
        <v>0.18922499999999967</v>
      </c>
      <c r="L7" s="5">
        <v>5</v>
      </c>
      <c r="M7" s="5" t="s">
        <v>19</v>
      </c>
      <c r="N7" s="5">
        <v>904.68</v>
      </c>
      <c r="O7" s="5">
        <v>909.34</v>
      </c>
      <c r="P7" s="5">
        <f t="shared" si="0"/>
        <v>34.763948497853463</v>
      </c>
      <c r="Q7" s="5">
        <f t="shared" si="4"/>
        <v>8.84</v>
      </c>
      <c r="R7" s="5">
        <v>7.4</v>
      </c>
      <c r="S7" s="5">
        <f t="shared" si="5"/>
        <v>0.16000000000000014</v>
      </c>
      <c r="T7" s="5">
        <f t="shared" si="5"/>
        <v>1.5999999999999996</v>
      </c>
      <c r="U7" s="5">
        <f t="shared" si="6"/>
        <v>0.87999999999999989</v>
      </c>
      <c r="V7">
        <f t="shared" si="7"/>
        <v>0.9409000000000004</v>
      </c>
    </row>
    <row r="8" spans="1:22" x14ac:dyDescent="0.25">
      <c r="C8" s="5">
        <v>6</v>
      </c>
      <c r="D8" s="5" t="s">
        <v>20</v>
      </c>
      <c r="E8" s="5">
        <v>908.84</v>
      </c>
      <c r="F8" s="5">
        <v>912.64</v>
      </c>
      <c r="G8" s="5">
        <f t="shared" si="1"/>
        <v>42.631578947368929</v>
      </c>
      <c r="H8" s="5">
        <v>4</v>
      </c>
      <c r="I8" s="5">
        <v>4</v>
      </c>
      <c r="J8" s="5">
        <f t="shared" si="2"/>
        <v>4</v>
      </c>
      <c r="K8">
        <f t="shared" si="3"/>
        <v>0.78322499999999962</v>
      </c>
      <c r="L8" s="5">
        <v>6</v>
      </c>
      <c r="M8" s="5" t="s">
        <v>19</v>
      </c>
      <c r="N8" s="5">
        <v>904.92</v>
      </c>
      <c r="O8" s="5">
        <v>914.82</v>
      </c>
      <c r="P8" s="5">
        <f t="shared" si="0"/>
        <v>16.363636363636214</v>
      </c>
      <c r="Q8" s="5">
        <f t="shared" si="4"/>
        <v>6.9700000000000006</v>
      </c>
      <c r="R8" s="5">
        <v>5.53</v>
      </c>
      <c r="S8" s="5">
        <f t="shared" si="5"/>
        <v>2.0299999999999994</v>
      </c>
      <c r="T8" s="5">
        <f t="shared" si="5"/>
        <v>3.4699999999999998</v>
      </c>
      <c r="U8" s="5">
        <f t="shared" si="6"/>
        <v>2.7499999999999996</v>
      </c>
      <c r="V8">
        <f t="shared" si="7"/>
        <v>0.80999999999999905</v>
      </c>
    </row>
    <row r="9" spans="1:22" x14ac:dyDescent="0.25">
      <c r="C9" s="5">
        <v>7</v>
      </c>
      <c r="D9" s="5" t="s">
        <v>19</v>
      </c>
      <c r="E9" s="5">
        <v>911.28</v>
      </c>
      <c r="F9" s="5">
        <v>914.4</v>
      </c>
      <c r="G9" s="5">
        <f t="shared" si="1"/>
        <v>51.923076923076849</v>
      </c>
      <c r="H9" s="5">
        <v>2.94</v>
      </c>
      <c r="I9" s="5">
        <v>4.3899999999999997</v>
      </c>
      <c r="J9" s="7">
        <f t="shared" si="2"/>
        <v>3.665</v>
      </c>
      <c r="K9">
        <f t="shared" si="3"/>
        <v>0.30249999999999982</v>
      </c>
      <c r="L9" s="5">
        <v>7</v>
      </c>
      <c r="M9" s="5" t="s">
        <v>19</v>
      </c>
      <c r="N9" s="5">
        <v>906.36</v>
      </c>
      <c r="O9" s="5">
        <v>911.12</v>
      </c>
      <c r="P9" s="5">
        <f t="shared" si="0"/>
        <v>34.033613445378215</v>
      </c>
      <c r="Q9" s="5">
        <f t="shared" si="4"/>
        <v>6.9599999999999991</v>
      </c>
      <c r="R9" s="5">
        <v>5.52</v>
      </c>
      <c r="S9" s="5">
        <f t="shared" si="5"/>
        <v>2.0400000000000009</v>
      </c>
      <c r="T9" s="5">
        <f t="shared" si="5"/>
        <v>3.4800000000000004</v>
      </c>
      <c r="U9" s="5">
        <f t="shared" si="6"/>
        <v>2.7600000000000007</v>
      </c>
      <c r="V9">
        <f t="shared" si="7"/>
        <v>0.82810000000000106</v>
      </c>
    </row>
    <row r="10" spans="1:22" x14ac:dyDescent="0.25">
      <c r="C10" s="5">
        <v>8</v>
      </c>
      <c r="D10" s="5" t="s">
        <v>18</v>
      </c>
      <c r="E10" s="5">
        <v>914.12</v>
      </c>
      <c r="F10" s="5">
        <v>918.8</v>
      </c>
      <c r="G10" s="5">
        <f t="shared" si="1"/>
        <v>34.615384615384983</v>
      </c>
      <c r="H10" s="5">
        <v>1.88</v>
      </c>
      <c r="I10" s="5">
        <v>1.88</v>
      </c>
      <c r="J10" s="5">
        <f t="shared" si="2"/>
        <v>1.88</v>
      </c>
      <c r="K10">
        <f t="shared" si="3"/>
        <v>1.5252250000000007</v>
      </c>
      <c r="L10" s="5">
        <v>8</v>
      </c>
      <c r="M10" s="5" t="s">
        <v>20</v>
      </c>
      <c r="N10" s="5">
        <v>907.04</v>
      </c>
      <c r="O10" s="5">
        <v>911.84</v>
      </c>
      <c r="P10" s="5">
        <f t="shared" si="0"/>
        <v>33.749999999999524</v>
      </c>
      <c r="Q10" s="5">
        <f t="shared" si="4"/>
        <v>6.14</v>
      </c>
      <c r="R10" s="5">
        <v>6.14</v>
      </c>
      <c r="S10" s="5">
        <f t="shared" si="5"/>
        <v>2.8600000000000003</v>
      </c>
      <c r="T10" s="5">
        <f t="shared" si="5"/>
        <v>2.8600000000000003</v>
      </c>
      <c r="U10" s="5">
        <f t="shared" si="6"/>
        <v>2.8600000000000003</v>
      </c>
      <c r="V10">
        <f t="shared" si="7"/>
        <v>1.0201000000000005</v>
      </c>
    </row>
    <row r="11" spans="1:22" x14ac:dyDescent="0.25">
      <c r="C11" s="5">
        <v>9</v>
      </c>
      <c r="D11" s="5" t="s">
        <v>19</v>
      </c>
      <c r="E11" s="5">
        <v>915</v>
      </c>
      <c r="F11" s="5">
        <v>918.52</v>
      </c>
      <c r="G11" s="5">
        <f t="shared" si="1"/>
        <v>46.022727272727515</v>
      </c>
      <c r="H11" s="5">
        <v>3.42</v>
      </c>
      <c r="I11" s="5">
        <v>4.8099999999999996</v>
      </c>
      <c r="J11" s="5">
        <f t="shared" si="2"/>
        <v>4.1150000000000002</v>
      </c>
      <c r="K11">
        <f t="shared" si="3"/>
        <v>1</v>
      </c>
      <c r="L11" s="5">
        <v>9</v>
      </c>
      <c r="M11" s="5" t="s">
        <v>20</v>
      </c>
      <c r="N11" s="5">
        <v>907.68</v>
      </c>
      <c r="O11" s="5">
        <v>912.72</v>
      </c>
      <c r="P11" s="5">
        <f t="shared" si="0"/>
        <v>32.142857142856656</v>
      </c>
      <c r="Q11" s="5">
        <f t="shared" si="4"/>
        <v>6.64</v>
      </c>
      <c r="R11" s="5">
        <v>6.64</v>
      </c>
      <c r="S11" s="5">
        <f t="shared" si="5"/>
        <v>2.3600000000000003</v>
      </c>
      <c r="T11" s="5">
        <f t="shared" si="5"/>
        <v>2.3600000000000003</v>
      </c>
      <c r="U11" s="5">
        <f t="shared" si="6"/>
        <v>2.3600000000000003</v>
      </c>
      <c r="V11">
        <f t="shared" si="7"/>
        <v>0.26010000000000022</v>
      </c>
    </row>
    <row r="12" spans="1:22" x14ac:dyDescent="0.25">
      <c r="C12" s="5">
        <v>10</v>
      </c>
      <c r="D12" s="5" t="s">
        <v>19</v>
      </c>
      <c r="E12" s="5">
        <v>916.96</v>
      </c>
      <c r="F12" s="5">
        <v>920.28</v>
      </c>
      <c r="G12" s="5">
        <f t="shared" si="1"/>
        <v>48.795180722892503</v>
      </c>
      <c r="H12" s="5">
        <v>3.45</v>
      </c>
      <c r="I12" s="5">
        <v>4.78</v>
      </c>
      <c r="J12" s="5">
        <f t="shared" si="2"/>
        <v>4.1150000000000002</v>
      </c>
      <c r="K12">
        <f t="shared" si="3"/>
        <v>1</v>
      </c>
      <c r="L12" s="5">
        <v>10</v>
      </c>
      <c r="M12" s="5" t="s">
        <v>19</v>
      </c>
      <c r="N12" s="5">
        <v>913.36</v>
      </c>
      <c r="O12" s="5">
        <v>917</v>
      </c>
      <c r="P12" s="5">
        <f t="shared" si="0"/>
        <v>44.505494505494674</v>
      </c>
      <c r="Q12" s="5">
        <f t="shared" si="4"/>
        <v>7.4599999999999991</v>
      </c>
      <c r="R12" s="5">
        <v>6.02</v>
      </c>
      <c r="S12" s="5">
        <f t="shared" si="5"/>
        <v>1.5400000000000009</v>
      </c>
      <c r="T12" s="5">
        <f t="shared" si="5"/>
        <v>2.9800000000000004</v>
      </c>
      <c r="U12" s="5">
        <f t="shared" si="6"/>
        <v>2.2600000000000007</v>
      </c>
      <c r="V12">
        <f t="shared" si="7"/>
        <v>0.16810000000000047</v>
      </c>
    </row>
    <row r="13" spans="1:22" x14ac:dyDescent="0.25">
      <c r="C13" s="5">
        <v>11</v>
      </c>
      <c r="D13" s="5" t="s">
        <v>20</v>
      </c>
      <c r="E13" s="5">
        <v>920.8</v>
      </c>
      <c r="F13" s="5">
        <v>924.32</v>
      </c>
      <c r="G13" s="5">
        <f t="shared" si="1"/>
        <v>46.022727272726023</v>
      </c>
      <c r="H13" s="5">
        <v>2.33</v>
      </c>
      <c r="I13" s="5">
        <v>2.33</v>
      </c>
      <c r="J13" s="5">
        <f t="shared" si="2"/>
        <v>2.33</v>
      </c>
      <c r="K13">
        <f t="shared" si="3"/>
        <v>0.61622500000000024</v>
      </c>
      <c r="L13" s="5">
        <v>11</v>
      </c>
      <c r="M13" s="5" t="s">
        <v>19</v>
      </c>
      <c r="N13" s="5">
        <v>914.92</v>
      </c>
      <c r="O13" s="5">
        <v>918.56</v>
      </c>
      <c r="P13" s="5">
        <f t="shared" si="0"/>
        <v>44.505494505494674</v>
      </c>
      <c r="Q13" s="5">
        <f t="shared" si="4"/>
        <v>7.27</v>
      </c>
      <c r="R13" s="5">
        <v>5.83</v>
      </c>
      <c r="S13" s="5">
        <f t="shared" si="5"/>
        <v>1.7300000000000004</v>
      </c>
      <c r="T13" s="5">
        <f t="shared" si="5"/>
        <v>3.17</v>
      </c>
      <c r="U13" s="5">
        <f t="shared" si="6"/>
        <v>2.4500000000000002</v>
      </c>
      <c r="V13">
        <f t="shared" si="7"/>
        <v>0.3600000000000001</v>
      </c>
    </row>
    <row r="14" spans="1:22" x14ac:dyDescent="0.25">
      <c r="C14" s="5">
        <v>12</v>
      </c>
      <c r="D14" s="5" t="s">
        <v>20</v>
      </c>
      <c r="E14" s="5">
        <v>921.8</v>
      </c>
      <c r="F14" s="5">
        <v>925.96</v>
      </c>
      <c r="G14" s="5">
        <f t="shared" si="1"/>
        <v>38.942307692306933</v>
      </c>
      <c r="H14" s="5">
        <v>2.23</v>
      </c>
      <c r="I14" s="5">
        <v>2.23</v>
      </c>
      <c r="J14" s="5">
        <f t="shared" si="2"/>
        <v>2.23</v>
      </c>
      <c r="K14">
        <f t="shared" si="3"/>
        <v>0.78322500000000039</v>
      </c>
      <c r="L14" s="5">
        <v>12</v>
      </c>
      <c r="M14" s="5" t="s">
        <v>20</v>
      </c>
      <c r="N14" s="5">
        <v>917.04</v>
      </c>
      <c r="O14" s="5">
        <v>920.92</v>
      </c>
      <c r="P14" s="5">
        <f t="shared" si="0"/>
        <v>41.752577319587679</v>
      </c>
      <c r="Q14" s="5">
        <f t="shared" si="4"/>
        <v>6.14</v>
      </c>
      <c r="R14" s="5">
        <v>6.14</v>
      </c>
      <c r="S14" s="5">
        <f t="shared" si="5"/>
        <v>2.8600000000000003</v>
      </c>
      <c r="T14" s="5">
        <f t="shared" si="5"/>
        <v>2.8600000000000003</v>
      </c>
      <c r="U14" s="5">
        <f t="shared" si="6"/>
        <v>2.8600000000000003</v>
      </c>
      <c r="V14">
        <f t="shared" si="7"/>
        <v>1.0201000000000005</v>
      </c>
    </row>
    <row r="15" spans="1:22" x14ac:dyDescent="0.25">
      <c r="C15" s="5">
        <v>13</v>
      </c>
      <c r="D15" s="5" t="s">
        <v>19</v>
      </c>
      <c r="E15" s="5">
        <v>922.72</v>
      </c>
      <c r="F15" s="5">
        <v>926.24</v>
      </c>
      <c r="G15" s="5">
        <f t="shared" si="1"/>
        <v>46.022727272727515</v>
      </c>
      <c r="H15" s="5">
        <v>3.45</v>
      </c>
      <c r="I15" s="5">
        <v>4.68</v>
      </c>
      <c r="J15" s="5">
        <f t="shared" si="2"/>
        <v>4.0649999999999995</v>
      </c>
      <c r="K15">
        <f t="shared" si="3"/>
        <v>0.90249999999999864</v>
      </c>
      <c r="L15" s="5">
        <v>13</v>
      </c>
      <c r="M15" s="5" t="s">
        <v>19</v>
      </c>
      <c r="N15" s="5">
        <v>918.72</v>
      </c>
      <c r="O15" s="5">
        <v>922.52</v>
      </c>
      <c r="P15" s="5">
        <f t="shared" si="0"/>
        <v>42.631578947368929</v>
      </c>
      <c r="Q15" s="5">
        <f t="shared" si="4"/>
        <v>7.48</v>
      </c>
      <c r="R15" s="5">
        <v>6.04</v>
      </c>
      <c r="S15" s="5">
        <f t="shared" si="5"/>
        <v>1.5199999999999996</v>
      </c>
      <c r="T15" s="5">
        <f t="shared" si="5"/>
        <v>2.96</v>
      </c>
      <c r="U15" s="5">
        <f t="shared" si="6"/>
        <v>2.2399999999999998</v>
      </c>
      <c r="V15">
        <f t="shared" si="7"/>
        <v>0.15209999999999976</v>
      </c>
    </row>
    <row r="16" spans="1:22" x14ac:dyDescent="0.25">
      <c r="C16" s="5">
        <v>14</v>
      </c>
      <c r="D16" s="5" t="s">
        <v>19</v>
      </c>
      <c r="E16" s="5">
        <v>923.76</v>
      </c>
      <c r="F16" s="5">
        <v>927.2</v>
      </c>
      <c r="G16" s="5">
        <f t="shared" si="1"/>
        <v>47.093023255813208</v>
      </c>
      <c r="H16" s="5">
        <v>3.17</v>
      </c>
      <c r="I16" s="5">
        <v>4.4800000000000004</v>
      </c>
      <c r="J16" s="5">
        <f t="shared" si="2"/>
        <v>3.8250000000000002</v>
      </c>
      <c r="K16">
        <f t="shared" si="3"/>
        <v>0.50409999999999999</v>
      </c>
      <c r="L16" s="5">
        <v>14</v>
      </c>
      <c r="M16" s="5" t="s">
        <v>19</v>
      </c>
      <c r="N16" s="5">
        <v>921.8</v>
      </c>
      <c r="O16" s="5">
        <v>925.04</v>
      </c>
      <c r="P16" s="5">
        <f t="shared" si="0"/>
        <v>49.999999999999865</v>
      </c>
      <c r="Q16" s="5">
        <f t="shared" si="4"/>
        <v>7.0600000000000005</v>
      </c>
      <c r="R16" s="5">
        <v>5.62</v>
      </c>
      <c r="S16" s="5">
        <f t="shared" si="5"/>
        <v>1.9399999999999995</v>
      </c>
      <c r="T16" s="5">
        <f t="shared" si="5"/>
        <v>3.38</v>
      </c>
      <c r="U16" s="5">
        <f t="shared" si="6"/>
        <v>2.6599999999999997</v>
      </c>
      <c r="V16">
        <f t="shared" si="7"/>
        <v>0.65609999999999935</v>
      </c>
    </row>
    <row r="17" spans="3:22" x14ac:dyDescent="0.25">
      <c r="C17" s="5">
        <v>15</v>
      </c>
      <c r="D17" s="5" t="s">
        <v>19</v>
      </c>
      <c r="E17" s="5">
        <v>925.44</v>
      </c>
      <c r="F17" s="5">
        <v>928.84</v>
      </c>
      <c r="G17" s="5">
        <f t="shared" si="1"/>
        <v>47.647058823529733</v>
      </c>
      <c r="H17" s="5">
        <v>2.86</v>
      </c>
      <c r="I17" s="5">
        <v>4.3899999999999997</v>
      </c>
      <c r="J17" s="5">
        <f t="shared" si="2"/>
        <v>3.625</v>
      </c>
      <c r="K17">
        <f t="shared" si="3"/>
        <v>0.26009999999999978</v>
      </c>
      <c r="L17" s="5">
        <v>15</v>
      </c>
      <c r="M17" s="5" t="s">
        <v>20</v>
      </c>
      <c r="N17" s="5">
        <v>921.84</v>
      </c>
      <c r="O17" s="5">
        <v>926.02</v>
      </c>
      <c r="P17" s="5">
        <f t="shared" si="0"/>
        <v>38.755980861244481</v>
      </c>
      <c r="Q17" s="5">
        <f t="shared" si="4"/>
        <v>8.5</v>
      </c>
      <c r="R17" s="5">
        <v>8.5</v>
      </c>
      <c r="S17" s="5">
        <f t="shared" si="5"/>
        <v>0.5</v>
      </c>
      <c r="T17" s="5">
        <f t="shared" si="5"/>
        <v>0.5</v>
      </c>
      <c r="U17" s="5">
        <f t="shared" si="6"/>
        <v>0.5</v>
      </c>
      <c r="V17">
        <f t="shared" si="7"/>
        <v>1.8225000000000002</v>
      </c>
    </row>
    <row r="18" spans="3:22" x14ac:dyDescent="0.25">
      <c r="C18" s="5">
        <v>16</v>
      </c>
      <c r="D18" s="5" t="s">
        <v>20</v>
      </c>
      <c r="E18" s="5">
        <v>933.4</v>
      </c>
      <c r="F18" s="5">
        <v>937.64</v>
      </c>
      <c r="G18" s="5">
        <f t="shared" si="1"/>
        <v>38.207547169811235</v>
      </c>
      <c r="H18" s="5">
        <v>1.57</v>
      </c>
      <c r="I18" s="5">
        <v>1.57</v>
      </c>
      <c r="J18" s="5">
        <f t="shared" si="2"/>
        <v>1.57</v>
      </c>
      <c r="K18">
        <f t="shared" si="3"/>
        <v>2.3870250000000004</v>
      </c>
      <c r="L18" s="5">
        <v>16</v>
      </c>
      <c r="M18" s="5" t="s">
        <v>19</v>
      </c>
      <c r="N18" s="5">
        <v>922.6</v>
      </c>
      <c r="O18" s="5">
        <v>926.28</v>
      </c>
      <c r="P18" s="5">
        <f t="shared" si="0"/>
        <v>44.021739130435385</v>
      </c>
      <c r="Q18" s="5">
        <f t="shared" si="4"/>
        <v>6.98</v>
      </c>
      <c r="R18" s="5">
        <v>5.54</v>
      </c>
      <c r="S18" s="5">
        <f t="shared" si="5"/>
        <v>2.0199999999999996</v>
      </c>
      <c r="T18" s="5">
        <f t="shared" si="5"/>
        <v>3.46</v>
      </c>
      <c r="U18" s="5">
        <f t="shared" si="6"/>
        <v>2.7399999999999998</v>
      </c>
      <c r="V18">
        <f t="shared" si="7"/>
        <v>0.79209999999999947</v>
      </c>
    </row>
    <row r="19" spans="3:22" x14ac:dyDescent="0.25">
      <c r="C19" s="5">
        <v>17</v>
      </c>
      <c r="D19" s="5" t="s">
        <v>20</v>
      </c>
      <c r="E19" s="5">
        <v>934.28</v>
      </c>
      <c r="F19" s="5">
        <v>939.76</v>
      </c>
      <c r="G19" s="5">
        <f t="shared" si="1"/>
        <v>29.562043795620337</v>
      </c>
      <c r="H19" s="5">
        <v>0.56999999999999995</v>
      </c>
      <c r="I19" s="5">
        <v>0.56999999999999995</v>
      </c>
      <c r="J19" s="5">
        <f t="shared" si="2"/>
        <v>0.56999999999999995</v>
      </c>
      <c r="K19">
        <f t="shared" si="3"/>
        <v>6.477025000000002</v>
      </c>
      <c r="L19" s="5">
        <v>17</v>
      </c>
      <c r="M19" s="5" t="s">
        <v>20</v>
      </c>
      <c r="N19" s="5">
        <v>923.76</v>
      </c>
      <c r="O19" s="5">
        <v>926.44</v>
      </c>
      <c r="P19" s="5">
        <f t="shared" si="0"/>
        <v>60.447761194028416</v>
      </c>
      <c r="Q19" s="5">
        <f t="shared" si="4"/>
        <v>8.26</v>
      </c>
      <c r="R19" s="5">
        <v>8.26</v>
      </c>
      <c r="S19" s="5">
        <f t="shared" si="5"/>
        <v>0.74000000000000021</v>
      </c>
      <c r="T19" s="5">
        <f t="shared" si="5"/>
        <v>0.74000000000000021</v>
      </c>
      <c r="U19" s="5">
        <f t="shared" si="6"/>
        <v>0.74000000000000021</v>
      </c>
      <c r="V19">
        <f t="shared" si="7"/>
        <v>1.2320999999999998</v>
      </c>
    </row>
    <row r="20" spans="3:22" x14ac:dyDescent="0.25">
      <c r="C20" s="5">
        <v>18</v>
      </c>
      <c r="D20" s="5" t="s">
        <v>20</v>
      </c>
      <c r="E20" s="5">
        <v>946.12</v>
      </c>
      <c r="F20" s="5">
        <v>949.66</v>
      </c>
      <c r="G20" s="5">
        <f t="shared" si="1"/>
        <v>45.762711864407251</v>
      </c>
      <c r="H20" s="5">
        <v>2.23</v>
      </c>
      <c r="I20" s="5">
        <v>2.23</v>
      </c>
      <c r="J20" s="5">
        <f t="shared" si="2"/>
        <v>2.23</v>
      </c>
      <c r="K20">
        <f t="shared" si="3"/>
        <v>0.78322500000000039</v>
      </c>
      <c r="L20" s="5">
        <v>18</v>
      </c>
      <c r="M20" s="5" t="s">
        <v>19</v>
      </c>
      <c r="N20" s="5">
        <v>924.24</v>
      </c>
      <c r="O20" s="5">
        <v>927.84</v>
      </c>
      <c r="P20" s="5">
        <f t="shared" si="0"/>
        <v>44.999999999999723</v>
      </c>
      <c r="Q20" s="5">
        <f t="shared" si="4"/>
        <v>7.17</v>
      </c>
      <c r="R20" s="5">
        <v>5.73</v>
      </c>
      <c r="S20" s="5">
        <f t="shared" ref="S20:T83" si="8">$A$5-Q20</f>
        <v>1.83</v>
      </c>
      <c r="T20" s="5">
        <f t="shared" si="8"/>
        <v>3.2699999999999996</v>
      </c>
      <c r="U20" s="5">
        <f t="shared" si="6"/>
        <v>2.5499999999999998</v>
      </c>
      <c r="V20">
        <f t="shared" si="7"/>
        <v>0.4899999999999996</v>
      </c>
    </row>
    <row r="21" spans="3:22" x14ac:dyDescent="0.25">
      <c r="C21" s="5">
        <v>19</v>
      </c>
      <c r="D21" s="5" t="s">
        <v>22</v>
      </c>
      <c r="E21" s="5">
        <v>951.72</v>
      </c>
      <c r="F21" s="5">
        <v>957.28</v>
      </c>
      <c r="G21" s="5">
        <f t="shared" si="1"/>
        <v>29.136690647482304</v>
      </c>
      <c r="H21" s="5">
        <v>2.63</v>
      </c>
      <c r="I21" s="5">
        <v>5.21</v>
      </c>
      <c r="J21" s="5">
        <f t="shared" si="2"/>
        <v>3.92</v>
      </c>
      <c r="K21">
        <f t="shared" si="3"/>
        <v>0.64802499999999952</v>
      </c>
      <c r="L21" s="5">
        <v>19</v>
      </c>
      <c r="M21" s="5" t="s">
        <v>19</v>
      </c>
      <c r="N21" s="5">
        <v>925.36</v>
      </c>
      <c r="O21" s="5">
        <v>929.28</v>
      </c>
      <c r="P21" s="5">
        <f t="shared" si="0"/>
        <v>41.326530612245328</v>
      </c>
      <c r="Q21" s="5">
        <f t="shared" si="4"/>
        <v>7.5399999999999991</v>
      </c>
      <c r="R21" s="5">
        <v>6.1</v>
      </c>
      <c r="S21" s="5">
        <f t="shared" si="8"/>
        <v>1.4600000000000009</v>
      </c>
      <c r="T21" s="5">
        <f t="shared" si="8"/>
        <v>2.9000000000000004</v>
      </c>
      <c r="U21" s="5">
        <f t="shared" si="6"/>
        <v>2.1800000000000006</v>
      </c>
      <c r="V21">
        <f t="shared" si="7"/>
        <v>0.10890000000000034</v>
      </c>
    </row>
    <row r="22" spans="3:22" x14ac:dyDescent="0.25">
      <c r="C22" s="5">
        <v>20</v>
      </c>
      <c r="D22" s="5" t="s">
        <v>20</v>
      </c>
      <c r="E22" s="5">
        <v>952.72</v>
      </c>
      <c r="F22" s="5">
        <v>957.64</v>
      </c>
      <c r="G22" s="5">
        <f t="shared" si="1"/>
        <v>32.926829268292963</v>
      </c>
      <c r="H22" s="5">
        <v>0.95</v>
      </c>
      <c r="I22" s="5">
        <v>0.95</v>
      </c>
      <c r="J22" s="5">
        <f t="shared" si="2"/>
        <v>0.95</v>
      </c>
      <c r="K22">
        <f t="shared" si="3"/>
        <v>4.6872249999999998</v>
      </c>
      <c r="L22" s="5">
        <v>20</v>
      </c>
      <c r="M22" s="5" t="s">
        <v>19</v>
      </c>
      <c r="N22" s="5">
        <v>928.4</v>
      </c>
      <c r="O22" s="5">
        <v>931.88</v>
      </c>
      <c r="P22" s="5">
        <f t="shared" si="0"/>
        <v>46.55172413793079</v>
      </c>
      <c r="Q22" s="5">
        <f t="shared" si="4"/>
        <v>7.52</v>
      </c>
      <c r="R22" s="5">
        <v>6.08</v>
      </c>
      <c r="S22" s="5">
        <f t="shared" si="8"/>
        <v>1.4800000000000004</v>
      </c>
      <c r="T22" s="5">
        <f t="shared" si="8"/>
        <v>2.92</v>
      </c>
      <c r="U22" s="5">
        <f t="shared" si="6"/>
        <v>2.2000000000000002</v>
      </c>
      <c r="V22">
        <f t="shared" si="7"/>
        <v>0.12250000000000007</v>
      </c>
    </row>
    <row r="23" spans="3:22" x14ac:dyDescent="0.25">
      <c r="C23" s="5">
        <v>21</v>
      </c>
      <c r="D23" s="5" t="s">
        <v>19</v>
      </c>
      <c r="E23" s="5">
        <v>956</v>
      </c>
      <c r="F23" s="5">
        <v>960.12</v>
      </c>
      <c r="G23" s="5">
        <f t="shared" si="1"/>
        <v>39.320388349514516</v>
      </c>
      <c r="H23" s="5">
        <v>2.6</v>
      </c>
      <c r="I23" s="5">
        <v>4.21</v>
      </c>
      <c r="J23" s="5">
        <f t="shared" si="2"/>
        <v>3.4050000000000002</v>
      </c>
      <c r="K23">
        <f t="shared" si="3"/>
        <v>8.4100000000000022E-2</v>
      </c>
      <c r="L23" s="5">
        <v>21</v>
      </c>
      <c r="M23" s="5" t="s">
        <v>21</v>
      </c>
      <c r="N23" s="5">
        <v>931.28</v>
      </c>
      <c r="O23" s="5">
        <v>934.84</v>
      </c>
      <c r="P23" s="5">
        <f t="shared" si="0"/>
        <v>45.505617977527336</v>
      </c>
      <c r="Q23" s="5">
        <f t="shared" si="4"/>
        <v>8.93</v>
      </c>
      <c r="R23" s="5">
        <v>6.58</v>
      </c>
      <c r="S23" s="5">
        <f t="shared" si="8"/>
        <v>7.0000000000000284E-2</v>
      </c>
      <c r="T23" s="5">
        <f t="shared" si="8"/>
        <v>2.42</v>
      </c>
      <c r="U23" s="5">
        <f t="shared" si="6"/>
        <v>1.2450000000000001</v>
      </c>
      <c r="V23">
        <f t="shared" si="7"/>
        <v>0.36602499999999999</v>
      </c>
    </row>
    <row r="24" spans="3:22" x14ac:dyDescent="0.25">
      <c r="C24" s="5">
        <v>22</v>
      </c>
      <c r="D24" s="5" t="s">
        <v>19</v>
      </c>
      <c r="E24" s="5">
        <v>957.92</v>
      </c>
      <c r="F24" s="5">
        <v>962.96</v>
      </c>
      <c r="G24" s="5">
        <f t="shared" si="1"/>
        <v>32.142857142856656</v>
      </c>
      <c r="H24" s="5">
        <v>1.54</v>
      </c>
      <c r="I24" s="5">
        <v>2.97</v>
      </c>
      <c r="J24" s="5">
        <f t="shared" si="2"/>
        <v>2.2549999999999999</v>
      </c>
      <c r="K24">
        <f t="shared" si="3"/>
        <v>0.73960000000000059</v>
      </c>
      <c r="L24" s="5">
        <v>22</v>
      </c>
      <c r="M24" s="5" t="s">
        <v>19</v>
      </c>
      <c r="N24" s="5">
        <v>932.92</v>
      </c>
      <c r="O24" s="5">
        <v>936.68</v>
      </c>
      <c r="P24" s="5">
        <f t="shared" si="0"/>
        <v>43.085106382978829</v>
      </c>
      <c r="Q24" s="5">
        <f t="shared" si="4"/>
        <v>7.6099999999999994</v>
      </c>
      <c r="R24" s="5">
        <v>6.17</v>
      </c>
      <c r="S24" s="5">
        <f t="shared" si="8"/>
        <v>1.3900000000000006</v>
      </c>
      <c r="T24" s="5">
        <f t="shared" si="8"/>
        <v>2.83</v>
      </c>
      <c r="U24" s="5">
        <f t="shared" si="6"/>
        <v>2.1100000000000003</v>
      </c>
      <c r="V24">
        <f t="shared" si="7"/>
        <v>6.7600000000000118E-2</v>
      </c>
    </row>
    <row r="25" spans="3:22" x14ac:dyDescent="0.25">
      <c r="C25" s="5">
        <v>23</v>
      </c>
      <c r="D25" s="5" t="s">
        <v>19</v>
      </c>
      <c r="E25" s="5">
        <v>959.96</v>
      </c>
      <c r="F25" s="5">
        <v>964.52</v>
      </c>
      <c r="G25" s="5">
        <f t="shared" si="1"/>
        <v>35.526315789474111</v>
      </c>
      <c r="H25" s="5">
        <v>3.16</v>
      </c>
      <c r="I25" s="5">
        <v>4.5599999999999996</v>
      </c>
      <c r="J25" s="5">
        <f t="shared" si="2"/>
        <v>3.86</v>
      </c>
      <c r="K25">
        <f t="shared" si="3"/>
        <v>0.55502499999999955</v>
      </c>
      <c r="L25" s="5">
        <v>23</v>
      </c>
      <c r="M25" s="5" t="s">
        <v>20</v>
      </c>
      <c r="N25" s="5">
        <v>935.24</v>
      </c>
      <c r="O25" s="5">
        <v>938.92</v>
      </c>
      <c r="P25" s="5">
        <f t="shared" si="0"/>
        <v>44.021739130435385</v>
      </c>
      <c r="Q25" s="5">
        <f t="shared" si="4"/>
        <v>7.79</v>
      </c>
      <c r="R25" s="5">
        <v>7.79</v>
      </c>
      <c r="S25" s="5">
        <f t="shared" si="8"/>
        <v>1.21</v>
      </c>
      <c r="T25" s="5">
        <f t="shared" si="8"/>
        <v>1.21</v>
      </c>
      <c r="U25" s="5">
        <f t="shared" si="6"/>
        <v>1.21</v>
      </c>
      <c r="V25">
        <f t="shared" si="7"/>
        <v>0.40960000000000019</v>
      </c>
    </row>
    <row r="26" spans="3:22" x14ac:dyDescent="0.25">
      <c r="C26" s="5">
        <v>24</v>
      </c>
      <c r="D26" s="5" t="s">
        <v>20</v>
      </c>
      <c r="E26" s="5">
        <v>962.08</v>
      </c>
      <c r="F26" s="5">
        <v>967.28</v>
      </c>
      <c r="G26" s="5">
        <f t="shared" si="1"/>
        <v>31.153846153846562</v>
      </c>
      <c r="H26" s="5">
        <v>2.2000000000000002</v>
      </c>
      <c r="I26" s="5">
        <v>2.2000000000000002</v>
      </c>
      <c r="J26" s="5">
        <f t="shared" si="2"/>
        <v>2.2000000000000002</v>
      </c>
      <c r="K26">
        <f t="shared" si="3"/>
        <v>0.83722500000000011</v>
      </c>
      <c r="L26" s="5">
        <v>24</v>
      </c>
      <c r="M26" s="5" t="s">
        <v>20</v>
      </c>
      <c r="N26" s="5">
        <v>942.16</v>
      </c>
      <c r="O26" s="5">
        <v>945.02</v>
      </c>
      <c r="P26" s="5">
        <f t="shared" si="0"/>
        <v>56.64335664335637</v>
      </c>
      <c r="Q26" s="5">
        <f t="shared" si="4"/>
        <v>7.76</v>
      </c>
      <c r="R26" s="5">
        <v>7.76</v>
      </c>
      <c r="S26" s="5">
        <f t="shared" si="8"/>
        <v>1.2400000000000002</v>
      </c>
      <c r="T26" s="5">
        <f t="shared" si="8"/>
        <v>1.2400000000000002</v>
      </c>
      <c r="U26" s="5">
        <f t="shared" si="6"/>
        <v>1.2400000000000002</v>
      </c>
      <c r="V26">
        <f t="shared" si="7"/>
        <v>0.37209999999999988</v>
      </c>
    </row>
    <row r="27" spans="3:22" x14ac:dyDescent="0.25">
      <c r="C27" s="5">
        <v>25</v>
      </c>
      <c r="D27" s="5" t="s">
        <v>19</v>
      </c>
      <c r="E27" s="5">
        <v>963.48</v>
      </c>
      <c r="F27" s="5">
        <v>968.08</v>
      </c>
      <c r="G27" s="5">
        <f t="shared" si="1"/>
        <v>35.217391304347657</v>
      </c>
      <c r="H27" s="5">
        <v>3.36</v>
      </c>
      <c r="I27" s="5">
        <v>4.9000000000000004</v>
      </c>
      <c r="J27" s="5">
        <f t="shared" si="2"/>
        <v>4.13</v>
      </c>
      <c r="K27">
        <f t="shared" si="3"/>
        <v>1.0302249999999993</v>
      </c>
      <c r="L27" s="5">
        <v>25</v>
      </c>
      <c r="M27" s="5" t="s">
        <v>19</v>
      </c>
      <c r="N27" s="5">
        <v>945.64</v>
      </c>
      <c r="O27" s="5">
        <v>949.02</v>
      </c>
      <c r="P27" s="5">
        <f t="shared" si="0"/>
        <v>47.928994082840305</v>
      </c>
      <c r="Q27" s="5">
        <f t="shared" si="4"/>
        <v>7.65</v>
      </c>
      <c r="R27" s="5">
        <v>6.21</v>
      </c>
      <c r="S27" s="5">
        <f t="shared" si="8"/>
        <v>1.3499999999999996</v>
      </c>
      <c r="T27" s="5">
        <f t="shared" si="8"/>
        <v>2.79</v>
      </c>
      <c r="U27" s="5">
        <f t="shared" si="6"/>
        <v>2.0699999999999998</v>
      </c>
      <c r="V27">
        <f t="shared" si="7"/>
        <v>4.8399999999999888E-2</v>
      </c>
    </row>
    <row r="28" spans="3:22" x14ac:dyDescent="0.25">
      <c r="C28" s="5">
        <v>26</v>
      </c>
      <c r="D28" s="5" t="s">
        <v>19</v>
      </c>
      <c r="E28" s="5">
        <v>965.6</v>
      </c>
      <c r="F28" s="5">
        <v>970.2</v>
      </c>
      <c r="G28" s="5">
        <f t="shared" si="1"/>
        <v>35.217391304347657</v>
      </c>
      <c r="H28" s="5">
        <v>2.86</v>
      </c>
      <c r="I28" s="5">
        <v>4.12</v>
      </c>
      <c r="J28" s="5">
        <f t="shared" si="2"/>
        <v>3.49</v>
      </c>
      <c r="K28">
        <f t="shared" si="3"/>
        <v>0.140625</v>
      </c>
      <c r="L28" s="5">
        <v>26</v>
      </c>
      <c r="M28" s="5" t="s">
        <v>20</v>
      </c>
      <c r="N28" s="5">
        <v>946.6</v>
      </c>
      <c r="O28" s="5">
        <v>950.16</v>
      </c>
      <c r="P28" s="5">
        <f t="shared" si="0"/>
        <v>45.505617977528793</v>
      </c>
      <c r="Q28" s="5">
        <f t="shared" si="4"/>
        <v>7.61</v>
      </c>
      <c r="R28" s="5">
        <v>7.61</v>
      </c>
      <c r="S28" s="5">
        <f t="shared" si="8"/>
        <v>1.3899999999999997</v>
      </c>
      <c r="T28" s="5">
        <f t="shared" si="8"/>
        <v>1.3899999999999997</v>
      </c>
      <c r="U28" s="5">
        <f t="shared" si="6"/>
        <v>1.3899999999999997</v>
      </c>
      <c r="V28">
        <f t="shared" si="7"/>
        <v>0.21160000000000037</v>
      </c>
    </row>
    <row r="29" spans="3:22" x14ac:dyDescent="0.25">
      <c r="C29" s="5">
        <v>27</v>
      </c>
      <c r="D29" s="5" t="s">
        <v>19</v>
      </c>
      <c r="E29" s="5">
        <v>967.52</v>
      </c>
      <c r="F29" s="5">
        <v>971.84</v>
      </c>
      <c r="G29" s="5">
        <f t="shared" si="1"/>
        <v>37.499999999999567</v>
      </c>
      <c r="H29" s="5">
        <v>3.02</v>
      </c>
      <c r="I29" s="5">
        <v>4.6100000000000003</v>
      </c>
      <c r="J29" s="5">
        <f t="shared" si="2"/>
        <v>3.8150000000000004</v>
      </c>
      <c r="K29">
        <f t="shared" si="3"/>
        <v>0.49000000000000027</v>
      </c>
      <c r="L29" s="5">
        <v>27</v>
      </c>
      <c r="M29" s="5" t="s">
        <v>19</v>
      </c>
      <c r="N29" s="5">
        <v>950.84</v>
      </c>
      <c r="O29" s="5">
        <v>953.52</v>
      </c>
      <c r="P29" s="5">
        <f t="shared" si="0"/>
        <v>60.447761194030974</v>
      </c>
      <c r="Q29" s="5">
        <f t="shared" si="4"/>
        <v>5.73</v>
      </c>
      <c r="R29" s="5">
        <v>4.29</v>
      </c>
      <c r="S29" s="5">
        <f t="shared" si="8"/>
        <v>3.2699999999999996</v>
      </c>
      <c r="T29" s="5">
        <f t="shared" si="8"/>
        <v>4.71</v>
      </c>
      <c r="U29" s="5">
        <f t="shared" si="6"/>
        <v>3.9899999999999998</v>
      </c>
      <c r="V29">
        <f t="shared" si="7"/>
        <v>4.5795999999999983</v>
      </c>
    </row>
    <row r="30" spans="3:22" x14ac:dyDescent="0.25">
      <c r="C30" s="5">
        <v>28</v>
      </c>
      <c r="D30" s="5" t="s">
        <v>20</v>
      </c>
      <c r="E30" s="5">
        <v>968.4</v>
      </c>
      <c r="F30" s="5">
        <v>972.68</v>
      </c>
      <c r="G30" s="5">
        <f t="shared" si="1"/>
        <v>37.850467289719866</v>
      </c>
      <c r="H30" s="5">
        <v>1.5</v>
      </c>
      <c r="I30" s="5">
        <v>1.5</v>
      </c>
      <c r="J30" s="5">
        <f t="shared" si="2"/>
        <v>1.5</v>
      </c>
      <c r="K30">
        <f t="shared" si="3"/>
        <v>2.6082250000000009</v>
      </c>
      <c r="L30" s="5">
        <v>28</v>
      </c>
      <c r="M30" s="5" t="s">
        <v>18</v>
      </c>
      <c r="N30" s="5">
        <v>951.12</v>
      </c>
      <c r="O30" s="5">
        <v>955.44</v>
      </c>
      <c r="P30" s="5">
        <f t="shared" si="0"/>
        <v>37.499999999999567</v>
      </c>
      <c r="Q30" s="5">
        <f t="shared" si="4"/>
        <v>8.5299999999999994</v>
      </c>
      <c r="R30" s="5">
        <v>7.13</v>
      </c>
      <c r="S30" s="5">
        <f t="shared" si="8"/>
        <v>0.47000000000000064</v>
      </c>
      <c r="T30" s="5">
        <f t="shared" si="8"/>
        <v>1.87</v>
      </c>
      <c r="U30" s="5">
        <f t="shared" si="6"/>
        <v>1.1700000000000004</v>
      </c>
      <c r="V30">
        <f t="shared" si="7"/>
        <v>0.46239999999999959</v>
      </c>
    </row>
    <row r="31" spans="3:22" x14ac:dyDescent="0.25">
      <c r="C31" s="5">
        <v>29</v>
      </c>
      <c r="D31" s="5" t="s">
        <v>19</v>
      </c>
      <c r="E31" s="5">
        <v>969.88</v>
      </c>
      <c r="F31" s="5">
        <v>974.24</v>
      </c>
      <c r="G31" s="5">
        <f t="shared" si="1"/>
        <v>37.155963302752177</v>
      </c>
      <c r="H31" s="5">
        <v>2.79</v>
      </c>
      <c r="I31" s="5">
        <v>4.1900000000000004</v>
      </c>
      <c r="J31" s="5">
        <f t="shared" si="2"/>
        <v>3.49</v>
      </c>
      <c r="K31">
        <f t="shared" si="3"/>
        <v>0.140625</v>
      </c>
      <c r="L31" s="5">
        <v>29</v>
      </c>
      <c r="M31" s="5" t="s">
        <v>19</v>
      </c>
      <c r="N31" s="5">
        <v>952.4</v>
      </c>
      <c r="O31" s="5">
        <v>955.52</v>
      </c>
      <c r="P31" s="5">
        <f t="shared" si="0"/>
        <v>51.923076923076849</v>
      </c>
      <c r="Q31" s="5">
        <f t="shared" si="4"/>
        <v>6.91</v>
      </c>
      <c r="R31" s="5">
        <v>5.47</v>
      </c>
      <c r="S31" s="5">
        <f t="shared" si="8"/>
        <v>2.09</v>
      </c>
      <c r="T31" s="5">
        <f t="shared" si="8"/>
        <v>3.5300000000000002</v>
      </c>
      <c r="U31" s="5">
        <f t="shared" si="6"/>
        <v>2.81</v>
      </c>
      <c r="V31">
        <f t="shared" si="7"/>
        <v>0.92159999999999997</v>
      </c>
    </row>
    <row r="32" spans="3:22" x14ac:dyDescent="0.25">
      <c r="C32" s="5">
        <v>30</v>
      </c>
      <c r="D32" s="5" t="s">
        <v>20</v>
      </c>
      <c r="E32" s="5">
        <v>971.28</v>
      </c>
      <c r="F32" s="5">
        <v>974.88</v>
      </c>
      <c r="G32" s="5">
        <f t="shared" si="1"/>
        <v>44.999999999999723</v>
      </c>
      <c r="H32" s="5">
        <v>2.31</v>
      </c>
      <c r="I32" s="5">
        <v>2.31</v>
      </c>
      <c r="J32" s="5">
        <f t="shared" si="2"/>
        <v>2.31</v>
      </c>
      <c r="K32">
        <f t="shared" si="3"/>
        <v>0.6480250000000003</v>
      </c>
      <c r="L32" s="5">
        <v>30</v>
      </c>
      <c r="M32" s="5" t="s">
        <v>20</v>
      </c>
      <c r="N32" s="5">
        <v>952.64</v>
      </c>
      <c r="O32" s="5">
        <v>956.42</v>
      </c>
      <c r="P32" s="5">
        <f t="shared" si="0"/>
        <v>42.857142857143167</v>
      </c>
      <c r="Q32" s="5">
        <f t="shared" si="4"/>
        <v>7.96</v>
      </c>
      <c r="R32" s="5">
        <v>7.96</v>
      </c>
      <c r="S32" s="5">
        <f t="shared" si="8"/>
        <v>1.04</v>
      </c>
      <c r="T32" s="5">
        <f t="shared" si="8"/>
        <v>1.04</v>
      </c>
      <c r="U32" s="5">
        <f t="shared" si="6"/>
        <v>1.04</v>
      </c>
      <c r="V32">
        <f t="shared" si="7"/>
        <v>0.65610000000000013</v>
      </c>
    </row>
    <row r="33" spans="3:22" x14ac:dyDescent="0.25">
      <c r="C33" s="5">
        <v>31</v>
      </c>
      <c r="D33" s="5" t="s">
        <v>19</v>
      </c>
      <c r="E33" s="5">
        <v>975.16</v>
      </c>
      <c r="F33" s="5">
        <v>979.04</v>
      </c>
      <c r="G33" s="5">
        <f t="shared" si="1"/>
        <v>41.752577319587679</v>
      </c>
      <c r="H33" s="5">
        <v>2.96</v>
      </c>
      <c r="I33" s="5">
        <v>4.4000000000000004</v>
      </c>
      <c r="J33" s="5">
        <f t="shared" si="2"/>
        <v>3.68</v>
      </c>
      <c r="K33">
        <f t="shared" si="3"/>
        <v>0.31922499999999993</v>
      </c>
      <c r="L33" s="5">
        <v>31</v>
      </c>
      <c r="M33" s="5" t="s">
        <v>19</v>
      </c>
      <c r="N33" s="5">
        <v>954.8</v>
      </c>
      <c r="O33" s="5">
        <v>958.64</v>
      </c>
      <c r="P33" s="5">
        <f t="shared" si="0"/>
        <v>42.187499999999652</v>
      </c>
      <c r="Q33" s="5">
        <f t="shared" si="4"/>
        <v>7.32</v>
      </c>
      <c r="R33" s="5">
        <v>5.88</v>
      </c>
      <c r="S33" s="5">
        <f t="shared" si="8"/>
        <v>1.6799999999999997</v>
      </c>
      <c r="T33" s="5">
        <f t="shared" si="8"/>
        <v>3.12</v>
      </c>
      <c r="U33" s="5">
        <f t="shared" si="6"/>
        <v>2.4</v>
      </c>
      <c r="V33">
        <f t="shared" si="7"/>
        <v>0.30249999999999982</v>
      </c>
    </row>
    <row r="34" spans="3:22" x14ac:dyDescent="0.25">
      <c r="C34" s="5">
        <v>32</v>
      </c>
      <c r="D34" s="5" t="s">
        <v>20</v>
      </c>
      <c r="E34" s="5">
        <v>975.6</v>
      </c>
      <c r="F34" s="5">
        <v>978.52</v>
      </c>
      <c r="G34" s="5">
        <f t="shared" si="1"/>
        <v>55.479452054795296</v>
      </c>
      <c r="H34" s="5">
        <v>1.76</v>
      </c>
      <c r="I34" s="5">
        <v>1.76</v>
      </c>
      <c r="J34" s="5">
        <f t="shared" si="2"/>
        <v>1.76</v>
      </c>
      <c r="K34">
        <f t="shared" si="3"/>
        <v>1.8360250000000005</v>
      </c>
      <c r="L34" s="5">
        <v>32</v>
      </c>
      <c r="M34" s="5" t="s">
        <v>20</v>
      </c>
      <c r="N34" s="5">
        <v>955.52</v>
      </c>
      <c r="O34" s="5">
        <v>959.6</v>
      </c>
      <c r="P34" s="5">
        <f t="shared" si="0"/>
        <v>39.705882352940783</v>
      </c>
      <c r="Q34" s="5">
        <f t="shared" si="4"/>
        <v>8.48</v>
      </c>
      <c r="R34" s="5">
        <v>8.48</v>
      </c>
      <c r="S34" s="5">
        <f t="shared" si="8"/>
        <v>0.51999999999999957</v>
      </c>
      <c r="T34" s="5">
        <f t="shared" si="8"/>
        <v>0.51999999999999957</v>
      </c>
      <c r="U34" s="5">
        <f t="shared" si="6"/>
        <v>0.51999999999999957</v>
      </c>
      <c r="V34">
        <f t="shared" si="7"/>
        <v>1.7689000000000015</v>
      </c>
    </row>
    <row r="35" spans="3:22" x14ac:dyDescent="0.25">
      <c r="C35" s="5">
        <v>33</v>
      </c>
      <c r="D35" s="5" t="s">
        <v>19</v>
      </c>
      <c r="E35" s="5">
        <v>975.56</v>
      </c>
      <c r="F35" s="5">
        <v>980.24</v>
      </c>
      <c r="G35" s="5">
        <f t="shared" si="1"/>
        <v>34.615384615384151</v>
      </c>
      <c r="H35" s="5">
        <v>2.4900000000000002</v>
      </c>
      <c r="I35" s="5">
        <v>4.07</v>
      </c>
      <c r="J35" s="5">
        <f t="shared" si="2"/>
        <v>3.2800000000000002</v>
      </c>
      <c r="K35">
        <f t="shared" si="3"/>
        <v>2.7225000000000013E-2</v>
      </c>
      <c r="L35" s="5">
        <v>33</v>
      </c>
      <c r="M35" s="5" t="s">
        <v>19</v>
      </c>
      <c r="N35" s="5">
        <v>956.52</v>
      </c>
      <c r="O35" s="5">
        <v>960.36</v>
      </c>
      <c r="P35" s="5">
        <f t="shared" si="0"/>
        <v>42.187499999999652</v>
      </c>
      <c r="Q35" s="5">
        <f t="shared" si="4"/>
        <v>7.4</v>
      </c>
      <c r="R35" s="5">
        <v>5.96</v>
      </c>
      <c r="S35" s="5">
        <f t="shared" si="8"/>
        <v>1.5999999999999996</v>
      </c>
      <c r="T35" s="5">
        <f t="shared" si="8"/>
        <v>3.04</v>
      </c>
      <c r="U35" s="5">
        <f t="shared" si="6"/>
        <v>2.3199999999999998</v>
      </c>
      <c r="V35">
        <f t="shared" si="7"/>
        <v>0.22089999999999976</v>
      </c>
    </row>
    <row r="36" spans="3:22" x14ac:dyDescent="0.25">
      <c r="C36" s="5">
        <v>34</v>
      </c>
      <c r="D36" s="5" t="s">
        <v>19</v>
      </c>
      <c r="E36" s="5">
        <v>977.6</v>
      </c>
      <c r="F36" s="5">
        <v>981.08</v>
      </c>
      <c r="G36" s="5">
        <f t="shared" si="1"/>
        <v>46.55172413793079</v>
      </c>
      <c r="H36" s="5">
        <v>3.21</v>
      </c>
      <c r="I36" s="5">
        <v>4.55</v>
      </c>
      <c r="J36" s="5">
        <f t="shared" si="2"/>
        <v>3.88</v>
      </c>
      <c r="K36">
        <f t="shared" si="3"/>
        <v>0.58522499999999955</v>
      </c>
      <c r="L36" s="5">
        <v>34</v>
      </c>
      <c r="M36" s="5" t="s">
        <v>19</v>
      </c>
      <c r="N36" s="5">
        <v>957.4</v>
      </c>
      <c r="O36" s="5">
        <v>961.52</v>
      </c>
      <c r="P36" s="5">
        <f t="shared" si="0"/>
        <v>39.320388349514516</v>
      </c>
      <c r="Q36" s="5">
        <f t="shared" si="4"/>
        <v>7.4700000000000006</v>
      </c>
      <c r="R36" s="5">
        <v>6.03</v>
      </c>
      <c r="S36" s="5">
        <f t="shared" si="8"/>
        <v>1.5299999999999994</v>
      </c>
      <c r="T36" s="5">
        <f t="shared" si="8"/>
        <v>2.9699999999999998</v>
      </c>
      <c r="U36" s="5">
        <f t="shared" si="6"/>
        <v>2.2499999999999996</v>
      </c>
      <c r="V36">
        <f t="shared" si="7"/>
        <v>0.15999999999999959</v>
      </c>
    </row>
    <row r="37" spans="3:22" x14ac:dyDescent="0.25">
      <c r="C37" s="5">
        <v>35</v>
      </c>
      <c r="D37" s="5" t="s">
        <v>19</v>
      </c>
      <c r="E37" s="5">
        <v>978.44</v>
      </c>
      <c r="F37" s="5">
        <v>982.2</v>
      </c>
      <c r="G37" s="5">
        <f t="shared" si="1"/>
        <v>43.085106382978829</v>
      </c>
      <c r="H37" s="5">
        <v>3.18</v>
      </c>
      <c r="I37" s="5">
        <v>4.67</v>
      </c>
      <c r="J37" s="5">
        <f t="shared" si="2"/>
        <v>3.9249999999999998</v>
      </c>
      <c r="K37">
        <f t="shared" si="3"/>
        <v>0.65609999999999935</v>
      </c>
      <c r="L37" s="5">
        <v>35</v>
      </c>
      <c r="M37" s="5" t="s">
        <v>19</v>
      </c>
      <c r="N37" s="5">
        <v>962.16</v>
      </c>
      <c r="O37" s="5">
        <v>966.12</v>
      </c>
      <c r="P37" s="5">
        <f t="shared" si="0"/>
        <v>40.90909090909053</v>
      </c>
      <c r="Q37" s="5">
        <f t="shared" si="4"/>
        <v>8.48</v>
      </c>
      <c r="R37" s="5">
        <v>7.04</v>
      </c>
      <c r="S37" s="5">
        <f t="shared" si="8"/>
        <v>0.51999999999999957</v>
      </c>
      <c r="T37" s="5">
        <f t="shared" si="8"/>
        <v>1.96</v>
      </c>
      <c r="U37" s="5">
        <f t="shared" si="6"/>
        <v>1.2399999999999998</v>
      </c>
      <c r="V37">
        <f t="shared" si="7"/>
        <v>0.37210000000000037</v>
      </c>
    </row>
    <row r="38" spans="3:22" x14ac:dyDescent="0.25">
      <c r="C38" s="5">
        <v>36</v>
      </c>
      <c r="D38" s="5" t="s">
        <v>20</v>
      </c>
      <c r="E38" s="5">
        <v>979.04</v>
      </c>
      <c r="F38" s="5">
        <v>982.8</v>
      </c>
      <c r="G38" s="5">
        <f t="shared" si="1"/>
        <v>43.085106382978829</v>
      </c>
      <c r="H38" s="5">
        <v>2.17</v>
      </c>
      <c r="I38" s="5">
        <v>2.17</v>
      </c>
      <c r="J38" s="5">
        <f t="shared" si="2"/>
        <v>2.17</v>
      </c>
      <c r="K38">
        <f t="shared" si="3"/>
        <v>0.89302500000000051</v>
      </c>
      <c r="L38" s="5">
        <v>36</v>
      </c>
      <c r="M38" s="5" t="s">
        <v>20</v>
      </c>
      <c r="N38" s="5">
        <v>963.8</v>
      </c>
      <c r="O38" s="5">
        <v>967.84</v>
      </c>
      <c r="P38" s="5">
        <f t="shared" si="0"/>
        <v>40.09900990098933</v>
      </c>
      <c r="Q38" s="5">
        <f t="shared" si="4"/>
        <v>8.5</v>
      </c>
      <c r="R38" s="5">
        <v>8.5</v>
      </c>
      <c r="S38" s="5">
        <f t="shared" si="8"/>
        <v>0.5</v>
      </c>
      <c r="T38" s="5">
        <f t="shared" si="8"/>
        <v>0.5</v>
      </c>
      <c r="U38" s="5">
        <f t="shared" si="6"/>
        <v>0.5</v>
      </c>
      <c r="V38">
        <f t="shared" si="7"/>
        <v>1.8225000000000002</v>
      </c>
    </row>
    <row r="39" spans="3:22" x14ac:dyDescent="0.25">
      <c r="C39" s="5">
        <v>37</v>
      </c>
      <c r="D39" s="5" t="s">
        <v>20</v>
      </c>
      <c r="E39" s="5">
        <v>979.84</v>
      </c>
      <c r="F39" s="5">
        <v>983.16</v>
      </c>
      <c r="G39" s="5">
        <f t="shared" si="1"/>
        <v>48.795180722892503</v>
      </c>
      <c r="H39" s="5">
        <v>2.72</v>
      </c>
      <c r="I39" s="5">
        <v>2.72</v>
      </c>
      <c r="J39" s="5">
        <f t="shared" si="2"/>
        <v>2.72</v>
      </c>
      <c r="K39">
        <f t="shared" si="3"/>
        <v>0.15602500000000002</v>
      </c>
      <c r="L39" s="5">
        <v>37</v>
      </c>
      <c r="M39" s="5" t="s">
        <v>19</v>
      </c>
      <c r="N39" s="5">
        <v>966.64</v>
      </c>
      <c r="O39" s="5">
        <v>969.52</v>
      </c>
      <c r="P39" s="5">
        <f t="shared" si="0"/>
        <v>56.250000000000092</v>
      </c>
      <c r="Q39" s="5">
        <f t="shared" si="4"/>
        <v>7.4</v>
      </c>
      <c r="R39" s="5">
        <v>5.96</v>
      </c>
      <c r="S39" s="5">
        <f t="shared" si="8"/>
        <v>1.5999999999999996</v>
      </c>
      <c r="T39" s="5">
        <f t="shared" si="8"/>
        <v>3.04</v>
      </c>
      <c r="U39" s="5">
        <f t="shared" si="6"/>
        <v>2.3199999999999998</v>
      </c>
      <c r="V39">
        <f t="shared" si="7"/>
        <v>0.22089999999999976</v>
      </c>
    </row>
    <row r="40" spans="3:22" x14ac:dyDescent="0.25">
      <c r="C40" s="5">
        <v>38</v>
      </c>
      <c r="D40" s="5" t="s">
        <v>19</v>
      </c>
      <c r="E40" s="5">
        <v>981.12</v>
      </c>
      <c r="F40" s="5">
        <v>984.26</v>
      </c>
      <c r="G40" s="5">
        <f t="shared" si="1"/>
        <v>51.592356687898317</v>
      </c>
      <c r="H40" s="5">
        <v>3.23</v>
      </c>
      <c r="I40" s="5">
        <v>4.66</v>
      </c>
      <c r="J40" s="5">
        <f t="shared" si="2"/>
        <v>3.9450000000000003</v>
      </c>
      <c r="K40">
        <f t="shared" si="3"/>
        <v>0.68890000000000007</v>
      </c>
      <c r="L40" s="5">
        <v>38</v>
      </c>
      <c r="M40" s="5" t="s">
        <v>19</v>
      </c>
      <c r="N40" s="5">
        <v>974.48</v>
      </c>
      <c r="O40" s="5">
        <v>977.72</v>
      </c>
      <c r="P40" s="5">
        <f t="shared" si="0"/>
        <v>49.999999999999865</v>
      </c>
      <c r="Q40" s="5">
        <f t="shared" si="4"/>
        <v>7.83</v>
      </c>
      <c r="R40" s="5">
        <v>6.39</v>
      </c>
      <c r="S40" s="5">
        <f t="shared" si="8"/>
        <v>1.17</v>
      </c>
      <c r="T40" s="5">
        <f t="shared" si="8"/>
        <v>2.6100000000000003</v>
      </c>
      <c r="U40" s="5">
        <f t="shared" si="6"/>
        <v>1.8900000000000001</v>
      </c>
      <c r="V40">
        <f t="shared" si="7"/>
        <v>1.6000000000000029E-3</v>
      </c>
    </row>
    <row r="41" spans="3:22" x14ac:dyDescent="0.25">
      <c r="C41" s="5">
        <v>39</v>
      </c>
      <c r="D41" s="5" t="s">
        <v>19</v>
      </c>
      <c r="E41" s="5">
        <v>983.56</v>
      </c>
      <c r="F41" s="5">
        <v>986.32</v>
      </c>
      <c r="G41" s="5">
        <f t="shared" si="1"/>
        <v>58.695652173910823</v>
      </c>
      <c r="H41" s="5">
        <v>3</v>
      </c>
      <c r="I41" s="5">
        <v>4.3600000000000003</v>
      </c>
      <c r="J41" s="5">
        <f t="shared" si="2"/>
        <v>3.68</v>
      </c>
      <c r="K41">
        <f t="shared" si="3"/>
        <v>0.31922499999999993</v>
      </c>
      <c r="L41" s="5">
        <v>39</v>
      </c>
      <c r="M41" s="5" t="s">
        <v>20</v>
      </c>
      <c r="N41" s="5">
        <v>980.68</v>
      </c>
      <c r="O41" s="5">
        <v>984.48</v>
      </c>
      <c r="P41" s="5">
        <f t="shared" si="0"/>
        <v>42.631578947367657</v>
      </c>
      <c r="Q41" s="5">
        <f t="shared" si="4"/>
        <v>7.75</v>
      </c>
      <c r="R41" s="5">
        <v>7.75</v>
      </c>
      <c r="S41" s="5">
        <f t="shared" si="8"/>
        <v>1.25</v>
      </c>
      <c r="T41" s="5">
        <f t="shared" si="8"/>
        <v>1.25</v>
      </c>
      <c r="U41" s="5">
        <f t="shared" si="6"/>
        <v>1.25</v>
      </c>
      <c r="V41">
        <f t="shared" si="7"/>
        <v>0.3600000000000001</v>
      </c>
    </row>
    <row r="42" spans="3:22" x14ac:dyDescent="0.25">
      <c r="C42" s="5">
        <v>40</v>
      </c>
      <c r="D42" s="5" t="s">
        <v>20</v>
      </c>
      <c r="E42" s="5">
        <v>985.2</v>
      </c>
      <c r="F42" s="5">
        <v>988.76</v>
      </c>
      <c r="G42" s="5">
        <f t="shared" si="1"/>
        <v>45.505617977528793</v>
      </c>
      <c r="H42" s="5">
        <v>2.36</v>
      </c>
      <c r="I42" s="5">
        <v>2.36</v>
      </c>
      <c r="J42" s="5">
        <f t="shared" si="2"/>
        <v>2.36</v>
      </c>
      <c r="K42">
        <f t="shared" si="3"/>
        <v>0.57002500000000056</v>
      </c>
      <c r="L42" s="5">
        <v>40</v>
      </c>
      <c r="M42" s="5" t="s">
        <v>18</v>
      </c>
      <c r="N42" s="5">
        <v>981.04</v>
      </c>
      <c r="O42" s="5">
        <v>984.36</v>
      </c>
      <c r="P42" s="5">
        <f t="shared" si="0"/>
        <v>48.795180722890834</v>
      </c>
      <c r="Q42" s="5">
        <f t="shared" si="4"/>
        <v>7.4399999999999995</v>
      </c>
      <c r="R42" s="5">
        <v>6.04</v>
      </c>
      <c r="S42" s="5">
        <f t="shared" si="8"/>
        <v>1.5600000000000005</v>
      </c>
      <c r="T42" s="5">
        <f t="shared" si="8"/>
        <v>2.96</v>
      </c>
      <c r="U42" s="5">
        <f t="shared" si="6"/>
        <v>2.2600000000000002</v>
      </c>
      <c r="V42">
        <f t="shared" si="7"/>
        <v>0.16810000000000011</v>
      </c>
    </row>
    <row r="43" spans="3:22" x14ac:dyDescent="0.25">
      <c r="C43" s="5">
        <v>41</v>
      </c>
      <c r="D43" s="5" t="s">
        <v>19</v>
      </c>
      <c r="E43" s="5">
        <v>985.96</v>
      </c>
      <c r="F43" s="5">
        <v>989.36</v>
      </c>
      <c r="G43" s="5">
        <f t="shared" si="1"/>
        <v>47.647058823529733</v>
      </c>
      <c r="H43" s="5">
        <v>3.58</v>
      </c>
      <c r="I43" s="5">
        <v>5.03</v>
      </c>
      <c r="J43" s="5">
        <f t="shared" si="2"/>
        <v>4.3049999999999997</v>
      </c>
      <c r="K43">
        <f t="shared" si="3"/>
        <v>1.4160999999999988</v>
      </c>
      <c r="L43" s="5">
        <v>41</v>
      </c>
      <c r="M43" s="5" t="s">
        <v>20</v>
      </c>
      <c r="N43" s="5">
        <v>983.08</v>
      </c>
      <c r="O43" s="5">
        <v>987.48</v>
      </c>
      <c r="P43" s="5">
        <f t="shared" si="0"/>
        <v>36.818181818182012</v>
      </c>
      <c r="Q43" s="5">
        <f t="shared" si="4"/>
        <v>7.91</v>
      </c>
      <c r="R43" s="5">
        <v>7.91</v>
      </c>
      <c r="S43" s="5">
        <f t="shared" si="8"/>
        <v>1.0899999999999999</v>
      </c>
      <c r="T43" s="5">
        <f t="shared" si="8"/>
        <v>1.0899999999999999</v>
      </c>
      <c r="U43" s="5">
        <f t="shared" si="6"/>
        <v>1.0899999999999999</v>
      </c>
      <c r="V43">
        <f t="shared" si="7"/>
        <v>0.57760000000000034</v>
      </c>
    </row>
    <row r="44" spans="3:22" x14ac:dyDescent="0.25">
      <c r="C44" s="5">
        <v>42</v>
      </c>
      <c r="D44" s="5" t="s">
        <v>20</v>
      </c>
      <c r="E44" s="5">
        <v>986.48</v>
      </c>
      <c r="F44" s="5">
        <v>989.88</v>
      </c>
      <c r="G44" s="5">
        <f t="shared" si="1"/>
        <v>47.647058823529733</v>
      </c>
      <c r="H44" s="5">
        <v>2.65</v>
      </c>
      <c r="I44" s="5">
        <v>2.65</v>
      </c>
      <c r="J44" s="5">
        <f t="shared" si="2"/>
        <v>2.65</v>
      </c>
      <c r="K44">
        <f t="shared" si="3"/>
        <v>0.21622500000000028</v>
      </c>
      <c r="L44" s="5">
        <v>42</v>
      </c>
      <c r="M44" s="5" t="s">
        <v>19</v>
      </c>
      <c r="N44" s="5">
        <v>988.84</v>
      </c>
      <c r="O44" s="5">
        <v>991.96</v>
      </c>
      <c r="P44" s="5">
        <f t="shared" si="0"/>
        <v>51.923076923076849</v>
      </c>
      <c r="Q44" s="5">
        <f t="shared" si="4"/>
        <v>7.6899999999999995</v>
      </c>
      <c r="R44" s="5">
        <v>6.25</v>
      </c>
      <c r="S44" s="5">
        <f t="shared" si="8"/>
        <v>1.3100000000000005</v>
      </c>
      <c r="T44" s="5">
        <f t="shared" si="8"/>
        <v>2.75</v>
      </c>
      <c r="U44" s="5">
        <f t="shared" si="6"/>
        <v>2.0300000000000002</v>
      </c>
      <c r="V44">
        <f t="shared" si="7"/>
        <v>3.2400000000000061E-2</v>
      </c>
    </row>
    <row r="45" spans="3:22" x14ac:dyDescent="0.25">
      <c r="C45" s="5">
        <v>43</v>
      </c>
      <c r="D45" s="5" t="s">
        <v>19</v>
      </c>
      <c r="E45" s="5">
        <v>987.48</v>
      </c>
      <c r="F45" s="5">
        <v>990.6</v>
      </c>
      <c r="G45" s="5">
        <f t="shared" si="1"/>
        <v>51.923076923076849</v>
      </c>
      <c r="H45" s="5">
        <v>3.1</v>
      </c>
      <c r="I45" s="5">
        <v>4.41</v>
      </c>
      <c r="J45" s="5">
        <f t="shared" si="2"/>
        <v>3.7549999999999999</v>
      </c>
      <c r="K45">
        <f t="shared" si="3"/>
        <v>0.40959999999999958</v>
      </c>
      <c r="L45" s="5">
        <v>43</v>
      </c>
      <c r="M45" s="5" t="s">
        <v>19</v>
      </c>
      <c r="N45" s="5">
        <v>990.8</v>
      </c>
      <c r="O45" s="5">
        <v>994.4</v>
      </c>
      <c r="P45" s="5">
        <f t="shared" si="0"/>
        <v>44.999999999999723</v>
      </c>
      <c r="Q45" s="5">
        <f t="shared" si="4"/>
        <v>7.6</v>
      </c>
      <c r="R45" s="5">
        <v>6.16</v>
      </c>
      <c r="S45" s="5">
        <f t="shared" si="8"/>
        <v>1.4000000000000004</v>
      </c>
      <c r="T45" s="5">
        <f t="shared" si="8"/>
        <v>2.84</v>
      </c>
      <c r="U45" s="5">
        <f t="shared" si="6"/>
        <v>2.12</v>
      </c>
      <c r="V45">
        <f t="shared" si="7"/>
        <v>7.2900000000000006E-2</v>
      </c>
    </row>
    <row r="46" spans="3:22" x14ac:dyDescent="0.25">
      <c r="C46" s="5">
        <v>44</v>
      </c>
      <c r="D46" s="5" t="s">
        <v>19</v>
      </c>
      <c r="E46" s="5">
        <v>988.16</v>
      </c>
      <c r="F46" s="5">
        <v>991.46</v>
      </c>
      <c r="G46" s="5">
        <f t="shared" si="1"/>
        <v>49.090909090908077</v>
      </c>
      <c r="H46" s="5">
        <v>3.15</v>
      </c>
      <c r="I46" s="5">
        <v>4.5599999999999996</v>
      </c>
      <c r="J46" s="5">
        <f t="shared" si="2"/>
        <v>3.8549999999999995</v>
      </c>
      <c r="K46">
        <f t="shared" si="3"/>
        <v>0.54759999999999898</v>
      </c>
      <c r="L46" s="5">
        <v>44</v>
      </c>
      <c r="M46" s="5" t="s">
        <v>19</v>
      </c>
      <c r="N46" s="5">
        <v>992.8</v>
      </c>
      <c r="O46" s="5">
        <v>996.32</v>
      </c>
      <c r="P46" s="5">
        <f t="shared" si="0"/>
        <v>46.022727272726023</v>
      </c>
      <c r="Q46" s="5">
        <f t="shared" si="4"/>
        <v>7.1999999999999993</v>
      </c>
      <c r="R46" s="5">
        <v>5.76</v>
      </c>
      <c r="S46" s="5">
        <f t="shared" si="8"/>
        <v>1.8000000000000007</v>
      </c>
      <c r="T46" s="5">
        <f t="shared" si="8"/>
        <v>3.24</v>
      </c>
      <c r="U46" s="5">
        <f t="shared" si="6"/>
        <v>2.5200000000000005</v>
      </c>
      <c r="V46">
        <f t="shared" si="7"/>
        <v>0.44890000000000052</v>
      </c>
    </row>
    <row r="47" spans="3:22" x14ac:dyDescent="0.25">
      <c r="C47" s="5">
        <v>45</v>
      </c>
      <c r="D47" s="5" t="s">
        <v>19</v>
      </c>
      <c r="E47" s="5">
        <v>989.28</v>
      </c>
      <c r="F47" s="5">
        <v>992.8</v>
      </c>
      <c r="G47" s="5">
        <f t="shared" si="1"/>
        <v>46.022727272727515</v>
      </c>
      <c r="H47" s="5">
        <v>3.06</v>
      </c>
      <c r="I47" s="5">
        <v>4.4000000000000004</v>
      </c>
      <c r="J47" s="5">
        <f t="shared" si="2"/>
        <v>3.7300000000000004</v>
      </c>
      <c r="K47">
        <f t="shared" si="3"/>
        <v>0.37822500000000026</v>
      </c>
      <c r="L47" s="5">
        <v>45</v>
      </c>
      <c r="M47" s="5" t="s">
        <v>20</v>
      </c>
      <c r="N47" s="5">
        <v>993.32</v>
      </c>
      <c r="O47" s="5">
        <v>997.04</v>
      </c>
      <c r="P47" s="5">
        <f t="shared" si="0"/>
        <v>43.548387096775208</v>
      </c>
      <c r="Q47" s="5">
        <f t="shared" si="4"/>
        <v>6.9</v>
      </c>
      <c r="R47" s="5">
        <v>6.9</v>
      </c>
      <c r="S47" s="5">
        <f t="shared" si="8"/>
        <v>2.0999999999999996</v>
      </c>
      <c r="T47" s="5">
        <f t="shared" si="8"/>
        <v>2.0999999999999996</v>
      </c>
      <c r="U47" s="5">
        <f t="shared" si="6"/>
        <v>2.0999999999999996</v>
      </c>
      <c r="V47">
        <f t="shared" si="7"/>
        <v>6.2499999999999778E-2</v>
      </c>
    </row>
    <row r="48" spans="3:22" x14ac:dyDescent="0.25">
      <c r="C48" s="5">
        <v>46</v>
      </c>
      <c r="D48" s="5" t="s">
        <v>20</v>
      </c>
      <c r="E48" s="5">
        <v>997.48</v>
      </c>
      <c r="F48" s="5">
        <v>1000.96</v>
      </c>
      <c r="G48" s="5">
        <f t="shared" si="1"/>
        <v>46.55172413793079</v>
      </c>
      <c r="H48" s="5">
        <v>3.1</v>
      </c>
      <c r="I48" s="5">
        <v>3.1</v>
      </c>
      <c r="J48" s="5">
        <f t="shared" si="2"/>
        <v>3.1</v>
      </c>
      <c r="K48">
        <f t="shared" si="3"/>
        <v>2.2500000000000373E-4</v>
      </c>
      <c r="L48" s="5">
        <v>46</v>
      </c>
      <c r="M48" s="5" t="s">
        <v>20</v>
      </c>
      <c r="N48" s="5">
        <v>993.48</v>
      </c>
      <c r="O48" s="5">
        <v>998.24</v>
      </c>
      <c r="P48" s="5">
        <f t="shared" si="0"/>
        <v>34.033613445378215</v>
      </c>
      <c r="Q48" s="5">
        <f t="shared" si="4"/>
        <v>8.11</v>
      </c>
      <c r="R48" s="5">
        <v>8.11</v>
      </c>
      <c r="S48" s="5">
        <f t="shared" si="8"/>
        <v>0.89000000000000057</v>
      </c>
      <c r="T48" s="5">
        <f t="shared" si="8"/>
        <v>0.89000000000000057</v>
      </c>
      <c r="U48" s="5">
        <f t="shared" si="6"/>
        <v>0.89000000000000057</v>
      </c>
      <c r="V48">
        <f t="shared" si="7"/>
        <v>0.92159999999999909</v>
      </c>
    </row>
    <row r="49" spans="3:22" x14ac:dyDescent="0.25">
      <c r="C49" s="5">
        <v>47</v>
      </c>
      <c r="D49" s="5" t="s">
        <v>19</v>
      </c>
      <c r="E49" s="5">
        <v>1001.8</v>
      </c>
      <c r="F49" s="5">
        <v>1005.08</v>
      </c>
      <c r="G49" s="5">
        <f t="shared" si="1"/>
        <v>49.390243902437724</v>
      </c>
      <c r="H49" s="5">
        <v>3.65</v>
      </c>
      <c r="I49" s="5">
        <v>5.12</v>
      </c>
      <c r="J49" s="5">
        <f t="shared" si="2"/>
        <v>4.3849999999999998</v>
      </c>
      <c r="K49">
        <f t="shared" si="3"/>
        <v>1.6128999999999989</v>
      </c>
      <c r="L49" s="5">
        <v>47</v>
      </c>
      <c r="M49" s="5" t="s">
        <v>20</v>
      </c>
      <c r="N49" s="5">
        <v>994.2</v>
      </c>
      <c r="O49" s="5">
        <v>999.2</v>
      </c>
      <c r="P49" s="5">
        <f t="shared" si="0"/>
        <v>32.4</v>
      </c>
      <c r="Q49" s="5">
        <f t="shared" si="4"/>
        <v>6.84</v>
      </c>
      <c r="R49" s="5">
        <v>6.84</v>
      </c>
      <c r="S49" s="5">
        <f t="shared" si="8"/>
        <v>2.16</v>
      </c>
      <c r="T49" s="5">
        <f t="shared" si="8"/>
        <v>2.16</v>
      </c>
      <c r="U49" s="5">
        <f t="shared" si="6"/>
        <v>2.16</v>
      </c>
      <c r="V49">
        <f t="shared" si="7"/>
        <v>9.6100000000000033E-2</v>
      </c>
    </row>
    <row r="50" spans="3:22" x14ac:dyDescent="0.25">
      <c r="C50" s="5">
        <v>48</v>
      </c>
      <c r="D50" s="5" t="s">
        <v>20</v>
      </c>
      <c r="E50" s="5">
        <v>1003.36</v>
      </c>
      <c r="F50" s="5">
        <v>1006.08</v>
      </c>
      <c r="G50" s="5">
        <f t="shared" si="1"/>
        <v>59.558823529411171</v>
      </c>
      <c r="H50" s="5">
        <v>3.43</v>
      </c>
      <c r="I50" s="5">
        <v>3.43</v>
      </c>
      <c r="J50" s="5">
        <f t="shared" si="2"/>
        <v>3.43</v>
      </c>
      <c r="K50">
        <f t="shared" si="3"/>
        <v>9.9224999999999966E-2</v>
      </c>
      <c r="L50" s="5">
        <v>48</v>
      </c>
      <c r="M50" s="5" t="s">
        <v>20</v>
      </c>
      <c r="N50" s="5">
        <v>995.08</v>
      </c>
      <c r="O50" s="5">
        <v>1000.36</v>
      </c>
      <c r="P50" s="5">
        <f t="shared" si="0"/>
        <v>30.68181818181834</v>
      </c>
      <c r="Q50" s="5">
        <f t="shared" si="4"/>
        <v>7.56</v>
      </c>
      <c r="R50" s="5">
        <v>7.56</v>
      </c>
      <c r="S50" s="5">
        <f t="shared" si="8"/>
        <v>1.4400000000000004</v>
      </c>
      <c r="T50" s="5">
        <f t="shared" si="8"/>
        <v>1.4400000000000004</v>
      </c>
      <c r="U50" s="5">
        <f t="shared" si="6"/>
        <v>1.4400000000000004</v>
      </c>
      <c r="V50">
        <f t="shared" si="7"/>
        <v>0.16809999999999975</v>
      </c>
    </row>
    <row r="51" spans="3:22" x14ac:dyDescent="0.25">
      <c r="C51" s="5">
        <v>49</v>
      </c>
      <c r="D51" s="5" t="s">
        <v>21</v>
      </c>
      <c r="E51" s="5">
        <v>1004.48</v>
      </c>
      <c r="F51" s="5">
        <v>1008.76</v>
      </c>
      <c r="G51" s="5">
        <f t="shared" si="1"/>
        <v>37.850467289719866</v>
      </c>
      <c r="H51" s="5">
        <v>3.26</v>
      </c>
      <c r="I51" s="5">
        <v>5.08</v>
      </c>
      <c r="J51" s="5">
        <f t="shared" si="2"/>
        <v>4.17</v>
      </c>
      <c r="K51">
        <f t="shared" si="3"/>
        <v>1.1130249999999995</v>
      </c>
      <c r="L51" s="5">
        <v>49</v>
      </c>
      <c r="M51" s="5" t="s">
        <v>20</v>
      </c>
      <c r="N51" s="5">
        <v>995.4</v>
      </c>
      <c r="O51" s="5">
        <v>1001.02</v>
      </c>
      <c r="P51" s="5">
        <f t="shared" si="0"/>
        <v>28.825622775800692</v>
      </c>
      <c r="Q51" s="5">
        <f t="shared" si="4"/>
        <v>6.58</v>
      </c>
      <c r="R51" s="5">
        <v>6.58</v>
      </c>
      <c r="S51" s="5">
        <f t="shared" si="8"/>
        <v>2.42</v>
      </c>
      <c r="T51" s="5">
        <f t="shared" si="8"/>
        <v>2.42</v>
      </c>
      <c r="U51" s="5">
        <f t="shared" si="6"/>
        <v>2.42</v>
      </c>
      <c r="V51">
        <f t="shared" si="7"/>
        <v>0.3248999999999998</v>
      </c>
    </row>
    <row r="52" spans="3:22" x14ac:dyDescent="0.25">
      <c r="C52" s="5">
        <v>50</v>
      </c>
      <c r="D52" s="5" t="s">
        <v>19</v>
      </c>
      <c r="E52" s="5">
        <v>1007.08</v>
      </c>
      <c r="F52" s="5">
        <v>1011.16</v>
      </c>
      <c r="G52" s="5">
        <f t="shared" si="1"/>
        <v>39.705882352941885</v>
      </c>
      <c r="H52" s="5">
        <v>3.6</v>
      </c>
      <c r="I52" s="5">
        <v>4.87</v>
      </c>
      <c r="J52" s="5">
        <f t="shared" si="2"/>
        <v>4.2350000000000003</v>
      </c>
      <c r="K52">
        <f t="shared" si="3"/>
        <v>1.2544000000000002</v>
      </c>
      <c r="L52" s="5">
        <v>50</v>
      </c>
      <c r="M52" s="5" t="s">
        <v>19</v>
      </c>
      <c r="N52" s="5">
        <v>996.76</v>
      </c>
      <c r="O52" s="5">
        <v>1000.32</v>
      </c>
      <c r="P52" s="5">
        <f t="shared" si="0"/>
        <v>45.505617977527336</v>
      </c>
      <c r="Q52" s="5">
        <f t="shared" si="4"/>
        <v>6.6400000000000006</v>
      </c>
      <c r="R52" s="5">
        <v>5.2</v>
      </c>
      <c r="S52" s="5">
        <f t="shared" si="8"/>
        <v>2.3599999999999994</v>
      </c>
      <c r="T52" s="5">
        <f t="shared" si="8"/>
        <v>3.8</v>
      </c>
      <c r="U52" s="5">
        <f t="shared" si="6"/>
        <v>3.0799999999999996</v>
      </c>
      <c r="V52">
        <f t="shared" si="7"/>
        <v>1.5128999999999988</v>
      </c>
    </row>
    <row r="53" spans="3:22" x14ac:dyDescent="0.25">
      <c r="C53" s="5">
        <v>51</v>
      </c>
      <c r="D53" s="5" t="s">
        <v>20</v>
      </c>
      <c r="E53" s="5">
        <v>1007.92</v>
      </c>
      <c r="F53" s="5">
        <v>1012.4</v>
      </c>
      <c r="G53" s="5">
        <f t="shared" si="1"/>
        <v>36.160714285714143</v>
      </c>
      <c r="H53" s="5">
        <v>2.31</v>
      </c>
      <c r="I53" s="5">
        <v>2.31</v>
      </c>
      <c r="J53" s="5">
        <f t="shared" si="2"/>
        <v>2.31</v>
      </c>
      <c r="K53">
        <f t="shared" si="3"/>
        <v>0.6480250000000003</v>
      </c>
      <c r="L53" s="5">
        <v>51</v>
      </c>
      <c r="M53" s="5" t="s">
        <v>20</v>
      </c>
      <c r="N53" s="5">
        <v>999.16</v>
      </c>
      <c r="O53" s="5">
        <v>1003.48</v>
      </c>
      <c r="P53" s="5">
        <f t="shared" si="0"/>
        <v>37.499999999999567</v>
      </c>
      <c r="Q53" s="5">
        <f t="shared" si="4"/>
        <v>7.26</v>
      </c>
      <c r="R53" s="5">
        <v>7.26</v>
      </c>
      <c r="S53" s="5">
        <f t="shared" si="8"/>
        <v>1.7400000000000002</v>
      </c>
      <c r="T53" s="5">
        <f t="shared" si="8"/>
        <v>1.7400000000000002</v>
      </c>
      <c r="U53" s="5">
        <f t="shared" si="6"/>
        <v>1.7400000000000002</v>
      </c>
      <c r="V53">
        <f t="shared" si="7"/>
        <v>1.2099999999999972E-2</v>
      </c>
    </row>
    <row r="54" spans="3:22" x14ac:dyDescent="0.25">
      <c r="C54" s="5">
        <v>52</v>
      </c>
      <c r="D54" s="5" t="s">
        <v>19</v>
      </c>
      <c r="E54" s="5">
        <v>1008.52</v>
      </c>
      <c r="F54" s="5">
        <v>1012.16</v>
      </c>
      <c r="G54" s="5">
        <f t="shared" si="1"/>
        <v>44.505494505494674</v>
      </c>
      <c r="H54" s="5">
        <v>3.85</v>
      </c>
      <c r="I54" s="5">
        <v>5.43</v>
      </c>
      <c r="J54" s="5">
        <f t="shared" si="2"/>
        <v>4.6399999999999997</v>
      </c>
      <c r="K54">
        <f t="shared" si="3"/>
        <v>2.3256249999999983</v>
      </c>
      <c r="L54" s="5">
        <v>52</v>
      </c>
      <c r="M54" s="5" t="s">
        <v>20</v>
      </c>
      <c r="N54" s="5">
        <v>1000.84</v>
      </c>
      <c r="O54" s="5">
        <v>1006</v>
      </c>
      <c r="P54" s="5">
        <f t="shared" si="0"/>
        <v>31.3953488372095</v>
      </c>
      <c r="Q54" s="5">
        <f t="shared" si="4"/>
        <v>7.55</v>
      </c>
      <c r="R54" s="5">
        <v>7.55</v>
      </c>
      <c r="S54" s="5">
        <f t="shared" si="8"/>
        <v>1.4500000000000002</v>
      </c>
      <c r="T54" s="5">
        <f t="shared" si="8"/>
        <v>1.4500000000000002</v>
      </c>
      <c r="U54" s="5">
        <f t="shared" si="6"/>
        <v>1.4500000000000002</v>
      </c>
      <c r="V54">
        <f t="shared" si="7"/>
        <v>0.15999999999999992</v>
      </c>
    </row>
    <row r="55" spans="3:22" x14ac:dyDescent="0.25">
      <c r="C55" s="5">
        <v>53</v>
      </c>
      <c r="D55" s="5" t="s">
        <v>20</v>
      </c>
      <c r="E55" s="5">
        <v>1008.92</v>
      </c>
      <c r="F55" s="5">
        <v>1013.64</v>
      </c>
      <c r="G55" s="5">
        <f t="shared" si="1"/>
        <v>34.322033898304888</v>
      </c>
      <c r="H55" s="5">
        <v>2.41</v>
      </c>
      <c r="I55" s="5">
        <v>2.41</v>
      </c>
      <c r="J55" s="5">
        <f t="shared" si="2"/>
        <v>2.41</v>
      </c>
      <c r="K55">
        <f t="shared" si="3"/>
        <v>0.49702500000000011</v>
      </c>
      <c r="L55" s="5">
        <v>53</v>
      </c>
      <c r="M55" s="5" t="s">
        <v>20</v>
      </c>
      <c r="N55" s="5">
        <v>1003.52</v>
      </c>
      <c r="O55" s="5">
        <v>1009.72</v>
      </c>
      <c r="P55" s="5">
        <f t="shared" si="0"/>
        <v>26.129032258064324</v>
      </c>
      <c r="Q55" s="5">
        <f t="shared" si="4"/>
        <v>8.27</v>
      </c>
      <c r="R55" s="5">
        <v>8.27</v>
      </c>
      <c r="S55" s="5">
        <f t="shared" si="8"/>
        <v>0.73000000000000043</v>
      </c>
      <c r="T55" s="5">
        <f t="shared" si="8"/>
        <v>0.73000000000000043</v>
      </c>
      <c r="U55" s="5">
        <f t="shared" si="6"/>
        <v>0.73000000000000043</v>
      </c>
      <c r="V55">
        <f t="shared" si="7"/>
        <v>1.2543999999999993</v>
      </c>
    </row>
    <row r="56" spans="3:22" x14ac:dyDescent="0.25">
      <c r="C56" s="5">
        <v>54</v>
      </c>
      <c r="D56" s="5" t="s">
        <v>19</v>
      </c>
      <c r="E56" s="5">
        <v>1009.6</v>
      </c>
      <c r="F56" s="5">
        <v>1013.16</v>
      </c>
      <c r="G56" s="5">
        <f t="shared" si="1"/>
        <v>45.505617977528793</v>
      </c>
      <c r="H56" s="5">
        <v>3.92</v>
      </c>
      <c r="I56" s="5">
        <v>5.37</v>
      </c>
      <c r="J56" s="5">
        <f t="shared" si="2"/>
        <v>4.6449999999999996</v>
      </c>
      <c r="K56">
        <f t="shared" si="3"/>
        <v>2.3408999999999982</v>
      </c>
      <c r="L56" s="5">
        <v>54</v>
      </c>
      <c r="M56" s="5" t="s">
        <v>18</v>
      </c>
      <c r="N56" s="5">
        <v>1026.48</v>
      </c>
      <c r="O56" s="5">
        <v>1030.6600000000001</v>
      </c>
      <c r="P56" s="5">
        <f t="shared" si="0"/>
        <v>38.75598086124343</v>
      </c>
      <c r="Q56" s="5">
        <f t="shared" si="4"/>
        <v>8.09</v>
      </c>
      <c r="R56" s="5">
        <v>6.69</v>
      </c>
      <c r="S56" s="5">
        <f t="shared" si="8"/>
        <v>0.91000000000000014</v>
      </c>
      <c r="T56" s="5">
        <f t="shared" si="8"/>
        <v>2.3099999999999996</v>
      </c>
      <c r="U56" s="5">
        <f t="shared" si="6"/>
        <v>1.6099999999999999</v>
      </c>
      <c r="V56">
        <f t="shared" si="7"/>
        <v>5.7600000000000103E-2</v>
      </c>
    </row>
    <row r="57" spans="3:22" x14ac:dyDescent="0.25">
      <c r="C57" s="5">
        <v>55</v>
      </c>
      <c r="D57" s="5" t="s">
        <v>20</v>
      </c>
      <c r="E57" s="5">
        <v>1011.08</v>
      </c>
      <c r="F57" s="5">
        <v>1016.28</v>
      </c>
      <c r="G57" s="5">
        <f t="shared" si="1"/>
        <v>31.153846153846562</v>
      </c>
      <c r="H57" s="5">
        <v>2.29</v>
      </c>
      <c r="I57" s="5">
        <v>2.29</v>
      </c>
      <c r="J57" s="5">
        <f t="shared" si="2"/>
        <v>2.29</v>
      </c>
      <c r="K57">
        <f t="shared" si="3"/>
        <v>0.68062500000000026</v>
      </c>
      <c r="L57" s="5">
        <v>55</v>
      </c>
      <c r="M57" s="5" t="s">
        <v>19</v>
      </c>
      <c r="N57" s="5">
        <v>1027.48</v>
      </c>
      <c r="O57" s="5">
        <v>1032.28</v>
      </c>
      <c r="P57" s="5">
        <f t="shared" si="0"/>
        <v>33.75000000000032</v>
      </c>
      <c r="Q57" s="5">
        <f t="shared" si="4"/>
        <v>7.65</v>
      </c>
      <c r="R57" s="5">
        <v>6.21</v>
      </c>
      <c r="S57" s="5">
        <f t="shared" si="8"/>
        <v>1.3499999999999996</v>
      </c>
      <c r="T57" s="5">
        <f t="shared" si="8"/>
        <v>2.79</v>
      </c>
      <c r="U57" s="5">
        <f t="shared" si="6"/>
        <v>2.0699999999999998</v>
      </c>
      <c r="V57">
        <f t="shared" si="7"/>
        <v>4.8399999999999888E-2</v>
      </c>
    </row>
    <row r="58" spans="3:22" x14ac:dyDescent="0.25">
      <c r="C58" s="5">
        <v>56</v>
      </c>
      <c r="D58" s="5" t="s">
        <v>18</v>
      </c>
      <c r="E58" s="5">
        <v>1012.16</v>
      </c>
      <c r="F58" s="5">
        <v>1016.12</v>
      </c>
      <c r="G58" s="5">
        <f t="shared" si="1"/>
        <v>40.90909090909053</v>
      </c>
      <c r="H58" s="5">
        <v>3.77</v>
      </c>
      <c r="I58" s="5">
        <v>4.79</v>
      </c>
      <c r="J58" s="5">
        <f t="shared" si="2"/>
        <v>4.28</v>
      </c>
      <c r="K58">
        <f t="shared" si="3"/>
        <v>1.3572250000000001</v>
      </c>
      <c r="L58" s="5">
        <v>56</v>
      </c>
      <c r="M58" s="5" t="s">
        <v>41</v>
      </c>
      <c r="N58" s="5">
        <v>1027.8800000000001</v>
      </c>
      <c r="O58" s="5">
        <v>1045.44</v>
      </c>
      <c r="P58" s="5">
        <f t="shared" si="0"/>
        <v>9.2255125284738337</v>
      </c>
      <c r="Q58" s="5">
        <f t="shared" si="4"/>
        <v>8.6300000000000008</v>
      </c>
      <c r="R58" s="5">
        <v>8.6300000000000008</v>
      </c>
      <c r="S58" s="5">
        <f t="shared" si="8"/>
        <v>0.36999999999999922</v>
      </c>
      <c r="T58" s="5">
        <f t="shared" si="8"/>
        <v>0.36999999999999922</v>
      </c>
      <c r="U58" s="5">
        <f t="shared" si="6"/>
        <v>0.36999999999999922</v>
      </c>
      <c r="V58">
        <f t="shared" si="7"/>
        <v>2.1904000000000026</v>
      </c>
    </row>
    <row r="59" spans="3:22" x14ac:dyDescent="0.25">
      <c r="C59" s="5">
        <v>57</v>
      </c>
      <c r="D59" s="5" t="s">
        <v>19</v>
      </c>
      <c r="E59" s="5">
        <v>1014.92</v>
      </c>
      <c r="F59" s="5">
        <v>1018.1</v>
      </c>
      <c r="G59" s="5">
        <f t="shared" si="1"/>
        <v>50.94339622641408</v>
      </c>
      <c r="H59" s="5">
        <v>3.46</v>
      </c>
      <c r="I59" s="5">
        <v>5.01</v>
      </c>
      <c r="J59" s="5">
        <f t="shared" si="2"/>
        <v>4.2349999999999994</v>
      </c>
      <c r="K59">
        <f t="shared" si="3"/>
        <v>1.2543999999999982</v>
      </c>
      <c r="L59" s="5">
        <v>57</v>
      </c>
      <c r="M59" s="5" t="s">
        <v>41</v>
      </c>
      <c r="N59" s="5">
        <v>1028.96</v>
      </c>
      <c r="O59" s="5">
        <v>1043.4000000000001</v>
      </c>
      <c r="P59" s="5">
        <f t="shared" si="0"/>
        <v>11.218836565096911</v>
      </c>
      <c r="Q59" s="5">
        <f t="shared" si="4"/>
        <v>8.25</v>
      </c>
      <c r="R59" s="5">
        <v>8.25</v>
      </c>
      <c r="S59" s="5">
        <f t="shared" si="8"/>
        <v>0.75</v>
      </c>
      <c r="T59" s="5">
        <f t="shared" si="8"/>
        <v>0.75</v>
      </c>
      <c r="U59" s="5">
        <f t="shared" si="6"/>
        <v>0.75</v>
      </c>
      <c r="V59">
        <f t="shared" si="7"/>
        <v>1.2100000000000002</v>
      </c>
    </row>
    <row r="60" spans="3:22" x14ac:dyDescent="0.25">
      <c r="C60" s="5">
        <v>58</v>
      </c>
      <c r="D60" s="5" t="s">
        <v>20</v>
      </c>
      <c r="E60" s="5">
        <v>1016.84</v>
      </c>
      <c r="F60" s="5">
        <v>1020.04</v>
      </c>
      <c r="G60" s="5">
        <f t="shared" si="1"/>
        <v>50.62500000000108</v>
      </c>
      <c r="H60" s="5">
        <v>3</v>
      </c>
      <c r="I60" s="5">
        <v>3</v>
      </c>
      <c r="J60" s="5">
        <f t="shared" si="2"/>
        <v>3</v>
      </c>
      <c r="K60">
        <f t="shared" si="3"/>
        <v>1.3225000000000049E-2</v>
      </c>
      <c r="L60" s="5">
        <v>58</v>
      </c>
      <c r="M60" s="5" t="s">
        <v>20</v>
      </c>
      <c r="N60" s="5">
        <v>1036.6400000000001</v>
      </c>
      <c r="O60" s="5">
        <v>1040.08</v>
      </c>
      <c r="P60" s="5">
        <f t="shared" si="0"/>
        <v>47.09302325581632</v>
      </c>
      <c r="Q60" s="5">
        <f t="shared" si="4"/>
        <v>6.53</v>
      </c>
      <c r="R60" s="5">
        <v>6.53</v>
      </c>
      <c r="S60" s="5">
        <f t="shared" si="8"/>
        <v>2.4699999999999998</v>
      </c>
      <c r="T60" s="5">
        <f t="shared" si="8"/>
        <v>2.4699999999999998</v>
      </c>
      <c r="U60" s="5">
        <f t="shared" si="6"/>
        <v>2.4699999999999998</v>
      </c>
      <c r="V60">
        <f t="shared" si="7"/>
        <v>0.38439999999999958</v>
      </c>
    </row>
    <row r="61" spans="3:22" x14ac:dyDescent="0.25">
      <c r="C61" s="5">
        <v>59</v>
      </c>
      <c r="D61" s="5" t="s">
        <v>19</v>
      </c>
      <c r="E61" s="5">
        <v>1018.48</v>
      </c>
      <c r="F61" s="5">
        <v>1021.88</v>
      </c>
      <c r="G61" s="5">
        <f t="shared" si="1"/>
        <v>47.647058823529733</v>
      </c>
      <c r="H61" s="5">
        <v>3.65</v>
      </c>
      <c r="I61" s="5">
        <v>5.16</v>
      </c>
      <c r="J61" s="5">
        <f t="shared" si="2"/>
        <v>4.4050000000000002</v>
      </c>
      <c r="K61">
        <f t="shared" si="3"/>
        <v>1.6641000000000001</v>
      </c>
      <c r="L61" s="5">
        <v>59</v>
      </c>
      <c r="M61" s="5" t="s">
        <v>19</v>
      </c>
      <c r="N61" s="5">
        <v>1044.56</v>
      </c>
      <c r="O61" s="5">
        <v>1047.67</v>
      </c>
      <c r="P61" s="5">
        <f t="shared" si="0"/>
        <v>52.090032154338701</v>
      </c>
      <c r="Q61" s="5">
        <f t="shared" si="4"/>
        <v>7.1199999999999992</v>
      </c>
      <c r="R61" s="5">
        <v>5.68</v>
      </c>
      <c r="S61" s="5">
        <f t="shared" si="8"/>
        <v>1.8800000000000008</v>
      </c>
      <c r="T61" s="5">
        <f t="shared" si="8"/>
        <v>3.3200000000000003</v>
      </c>
      <c r="U61" s="5">
        <f t="shared" si="6"/>
        <v>2.6000000000000005</v>
      </c>
      <c r="V61">
        <f t="shared" si="7"/>
        <v>0.56250000000000067</v>
      </c>
    </row>
    <row r="62" spans="3:22" x14ac:dyDescent="0.25">
      <c r="C62" s="5">
        <v>60</v>
      </c>
      <c r="D62" s="5" t="s">
        <v>19</v>
      </c>
      <c r="E62" s="5">
        <v>1019.96</v>
      </c>
      <c r="F62" s="5">
        <v>1023.32</v>
      </c>
      <c r="G62" s="5">
        <f t="shared" si="1"/>
        <v>48.214285714285523</v>
      </c>
      <c r="H62" s="5">
        <v>3.09</v>
      </c>
      <c r="I62" s="5">
        <v>4.6500000000000004</v>
      </c>
      <c r="J62" s="5">
        <f t="shared" si="2"/>
        <v>3.87</v>
      </c>
      <c r="K62">
        <f t="shared" si="3"/>
        <v>0.57002499999999989</v>
      </c>
      <c r="L62" s="5">
        <v>60</v>
      </c>
      <c r="M62" s="5" t="s">
        <v>20</v>
      </c>
      <c r="N62" s="5">
        <v>1046.02</v>
      </c>
      <c r="O62" s="5">
        <v>1049.8399999999999</v>
      </c>
      <c r="P62" s="5">
        <f t="shared" si="0"/>
        <v>42.408376963351493</v>
      </c>
      <c r="Q62" s="5">
        <f t="shared" si="4"/>
        <v>8.06</v>
      </c>
      <c r="R62" s="5">
        <v>8.06</v>
      </c>
      <c r="S62" s="5">
        <f t="shared" si="8"/>
        <v>0.9399999999999995</v>
      </c>
      <c r="T62" s="5">
        <f t="shared" si="8"/>
        <v>0.9399999999999995</v>
      </c>
      <c r="U62" s="5">
        <f t="shared" si="6"/>
        <v>0.9399999999999995</v>
      </c>
      <c r="V62">
        <f t="shared" si="7"/>
        <v>0.82810000000000106</v>
      </c>
    </row>
    <row r="63" spans="3:22" x14ac:dyDescent="0.25">
      <c r="C63" s="5">
        <v>61</v>
      </c>
      <c r="D63" s="5" t="s">
        <v>19</v>
      </c>
      <c r="E63" s="5">
        <v>1023.16</v>
      </c>
      <c r="F63" s="5">
        <v>1027.32</v>
      </c>
      <c r="G63" s="5">
        <f t="shared" si="1"/>
        <v>38.942307692307992</v>
      </c>
      <c r="H63" s="5">
        <v>2.66</v>
      </c>
      <c r="I63" s="5">
        <v>4.25</v>
      </c>
      <c r="J63" s="5">
        <f t="shared" si="2"/>
        <v>3.4550000000000001</v>
      </c>
      <c r="K63">
        <f t="shared" si="3"/>
        <v>0.1155999999999999</v>
      </c>
      <c r="L63" s="5">
        <v>61</v>
      </c>
      <c r="M63" s="5" t="s">
        <v>19</v>
      </c>
      <c r="N63" s="5">
        <v>1050.2</v>
      </c>
      <c r="O63" s="5">
        <v>1053.56</v>
      </c>
      <c r="P63" s="5">
        <f t="shared" si="0"/>
        <v>48.214285714287151</v>
      </c>
      <c r="Q63" s="5">
        <f t="shared" si="4"/>
        <v>6.68</v>
      </c>
      <c r="R63" s="5">
        <v>5.24</v>
      </c>
      <c r="S63" s="5">
        <f t="shared" si="8"/>
        <v>2.3200000000000003</v>
      </c>
      <c r="T63" s="5">
        <f t="shared" si="8"/>
        <v>3.76</v>
      </c>
      <c r="U63" s="5">
        <f t="shared" si="6"/>
        <v>3.04</v>
      </c>
      <c r="V63">
        <f t="shared" si="7"/>
        <v>1.4160999999999999</v>
      </c>
    </row>
    <row r="64" spans="3:22" x14ac:dyDescent="0.25">
      <c r="C64" s="5">
        <v>62</v>
      </c>
      <c r="D64" s="5" t="s">
        <v>22</v>
      </c>
      <c r="E64" s="5">
        <v>1024.6400000000001</v>
      </c>
      <c r="F64" s="5">
        <v>1029.8800000000001</v>
      </c>
      <c r="G64" s="5">
        <f t="shared" si="1"/>
        <v>30.916030534351091</v>
      </c>
      <c r="H64" s="5">
        <v>3.01</v>
      </c>
      <c r="I64" s="5">
        <v>5.96</v>
      </c>
      <c r="J64" s="5">
        <f t="shared" si="2"/>
        <v>4.4849999999999994</v>
      </c>
      <c r="K64">
        <f t="shared" si="3"/>
        <v>1.8768999999999978</v>
      </c>
      <c r="L64" s="5">
        <v>62</v>
      </c>
      <c r="M64" s="5" t="s">
        <v>24</v>
      </c>
      <c r="N64" s="5">
        <v>1050.8800000000001</v>
      </c>
      <c r="O64" s="5">
        <v>1062.1600000000001</v>
      </c>
      <c r="P64" s="5">
        <f t="shared" si="0"/>
        <v>14.361702127659608</v>
      </c>
      <c r="Q64" s="5">
        <f t="shared" si="4"/>
        <v>8.9600000000000009</v>
      </c>
      <c r="R64" s="5">
        <v>8.9600000000000009</v>
      </c>
      <c r="S64" s="5">
        <f t="shared" si="8"/>
        <v>3.9999999999999147E-2</v>
      </c>
      <c r="T64" s="5">
        <f t="shared" si="8"/>
        <v>3.9999999999999147E-2</v>
      </c>
      <c r="U64" s="5">
        <f t="shared" si="6"/>
        <v>3.9999999999999147E-2</v>
      </c>
      <c r="V64">
        <f t="shared" si="7"/>
        <v>3.2761000000000036</v>
      </c>
    </row>
    <row r="65" spans="3:22" x14ac:dyDescent="0.25">
      <c r="C65" s="5">
        <v>63</v>
      </c>
      <c r="D65" s="5" t="s">
        <v>20</v>
      </c>
      <c r="E65" s="5">
        <v>1025.04</v>
      </c>
      <c r="F65" s="5">
        <v>1031.56</v>
      </c>
      <c r="G65" s="5">
        <f t="shared" si="1"/>
        <v>24.846625766871234</v>
      </c>
      <c r="H65" s="5">
        <v>5.0999999999999996</v>
      </c>
      <c r="I65" s="5">
        <v>5.0999999999999996</v>
      </c>
      <c r="J65" s="5">
        <f t="shared" si="2"/>
        <v>5.0999999999999996</v>
      </c>
      <c r="K65">
        <f t="shared" si="3"/>
        <v>3.9402249999999976</v>
      </c>
      <c r="L65" s="5">
        <v>63</v>
      </c>
      <c r="M65" s="5" t="s">
        <v>20</v>
      </c>
      <c r="N65" s="5">
        <v>1052.32</v>
      </c>
      <c r="O65" s="5">
        <v>1055.44</v>
      </c>
      <c r="P65" s="5">
        <f t="shared" si="0"/>
        <v>51.923076923074959</v>
      </c>
      <c r="Q65" s="5">
        <f t="shared" si="4"/>
        <v>7.04</v>
      </c>
      <c r="R65" s="5">
        <v>7.04</v>
      </c>
      <c r="S65" s="5">
        <f t="shared" si="8"/>
        <v>1.96</v>
      </c>
      <c r="T65" s="5">
        <f t="shared" si="8"/>
        <v>1.96</v>
      </c>
      <c r="U65" s="5">
        <f t="shared" si="6"/>
        <v>1.96</v>
      </c>
      <c r="V65">
        <f t="shared" si="7"/>
        <v>1.2099999999999972E-2</v>
      </c>
    </row>
    <row r="66" spans="3:22" x14ac:dyDescent="0.25">
      <c r="C66" s="5">
        <v>64</v>
      </c>
      <c r="D66" s="5" t="s">
        <v>20</v>
      </c>
      <c r="E66" s="5">
        <v>1036.68</v>
      </c>
      <c r="F66" s="5">
        <v>1039.8800000000001</v>
      </c>
      <c r="G66" s="5">
        <f t="shared" si="1"/>
        <v>50.624999999999282</v>
      </c>
      <c r="H66" s="5">
        <v>2.31</v>
      </c>
      <c r="I66" s="5">
        <v>2.31</v>
      </c>
      <c r="J66" s="5">
        <f t="shared" si="2"/>
        <v>2.31</v>
      </c>
      <c r="K66">
        <f t="shared" si="3"/>
        <v>0.6480250000000003</v>
      </c>
      <c r="L66" s="5">
        <v>64</v>
      </c>
      <c r="M66" s="5" t="s">
        <v>20</v>
      </c>
      <c r="N66" s="5">
        <v>1054</v>
      </c>
      <c r="O66" s="5">
        <v>1057.3599999999999</v>
      </c>
      <c r="P66" s="5">
        <f t="shared" si="0"/>
        <v>48.214285714287151</v>
      </c>
      <c r="Q66" s="5">
        <f t="shared" si="4"/>
        <v>6.75</v>
      </c>
      <c r="R66" s="5">
        <v>6.75</v>
      </c>
      <c r="S66" s="5">
        <f t="shared" si="8"/>
        <v>2.25</v>
      </c>
      <c r="T66" s="5">
        <f t="shared" si="8"/>
        <v>2.25</v>
      </c>
      <c r="U66" s="5">
        <f t="shared" si="6"/>
        <v>2.25</v>
      </c>
      <c r="V66">
        <f t="shared" si="7"/>
        <v>0.15999999999999992</v>
      </c>
    </row>
    <row r="67" spans="3:22" x14ac:dyDescent="0.25">
      <c r="C67" s="5">
        <v>65</v>
      </c>
      <c r="D67" s="5" t="s">
        <v>24</v>
      </c>
      <c r="E67" s="5">
        <v>1039.28</v>
      </c>
      <c r="F67" s="5">
        <v>1050.1199999999999</v>
      </c>
      <c r="G67" s="5">
        <f t="shared" si="1"/>
        <v>14.944649446494578</v>
      </c>
      <c r="H67" s="5">
        <v>0.26</v>
      </c>
      <c r="I67" s="5">
        <v>0.26</v>
      </c>
      <c r="J67" s="5">
        <f t="shared" si="2"/>
        <v>0.26</v>
      </c>
      <c r="K67">
        <f t="shared" si="3"/>
        <v>8.1510250000000024</v>
      </c>
      <c r="L67" s="5">
        <v>65</v>
      </c>
      <c r="M67" s="5" t="s">
        <v>19</v>
      </c>
      <c r="N67" s="5">
        <v>1057.1600000000001</v>
      </c>
      <c r="O67" s="5">
        <v>1066.8</v>
      </c>
      <c r="P67" s="5">
        <f t="shared" si="0"/>
        <v>16.804979253112254</v>
      </c>
      <c r="Q67" s="5">
        <f t="shared" si="4"/>
        <v>8.8000000000000007</v>
      </c>
      <c r="R67" s="5">
        <v>7.36</v>
      </c>
      <c r="S67" s="5">
        <f t="shared" si="8"/>
        <v>0.19999999999999929</v>
      </c>
      <c r="T67" s="5">
        <f t="shared" si="8"/>
        <v>1.6399999999999997</v>
      </c>
      <c r="U67" s="5">
        <f t="shared" si="6"/>
        <v>0.91999999999999948</v>
      </c>
      <c r="V67">
        <f t="shared" si="7"/>
        <v>0.86490000000000111</v>
      </c>
    </row>
    <row r="68" spans="3:22" x14ac:dyDescent="0.25">
      <c r="C68" s="5">
        <v>66</v>
      </c>
      <c r="D68" s="5" t="s">
        <v>19</v>
      </c>
      <c r="E68" s="5">
        <v>1042.1600000000001</v>
      </c>
      <c r="F68" s="5">
        <v>1044.92</v>
      </c>
      <c r="G68" s="5">
        <f t="shared" ref="G68:G131" si="9">$A$3/(F68-E68)*3.6</f>
        <v>58.695652173913238</v>
      </c>
      <c r="H68" s="5">
        <v>2.72</v>
      </c>
      <c r="I68" s="5">
        <v>4.08</v>
      </c>
      <c r="J68" s="5">
        <f t="shared" ref="J68:J131" si="10">(H68+I68)/2</f>
        <v>3.4000000000000004</v>
      </c>
      <c r="K68">
        <f t="shared" ref="K68:K131" si="11">(J68-3.115)^2</f>
        <v>8.1225000000000075E-2</v>
      </c>
      <c r="L68" s="5">
        <v>66</v>
      </c>
      <c r="M68" s="5" t="s">
        <v>20</v>
      </c>
      <c r="N68" s="5">
        <v>1067.8</v>
      </c>
      <c r="O68" s="5">
        <v>1071.48</v>
      </c>
      <c r="P68" s="5">
        <f t="shared" si="0"/>
        <v>44.021739130434021</v>
      </c>
      <c r="Q68" s="5">
        <f t="shared" ref="Q68:Q116" si="12">IF(M68="Car", R68 + 1.44, IF(M68="Bus", R68+2.43,IF(M68="Auto", R68+1.4,IF(M68="LCV",R68+2.1,IF(M68="TAT", R68 + 2.35, R68)))))</f>
        <v>7.74</v>
      </c>
      <c r="R68" s="5">
        <v>7.74</v>
      </c>
      <c r="S68" s="5">
        <f t="shared" si="8"/>
        <v>1.2599999999999998</v>
      </c>
      <c r="T68" s="5">
        <f t="shared" si="8"/>
        <v>1.2599999999999998</v>
      </c>
      <c r="U68" s="5">
        <f t="shared" ref="U68:U116" si="13">(S68+T68)/2</f>
        <v>1.2599999999999998</v>
      </c>
      <c r="V68">
        <f t="shared" ref="V68:V116" si="14">(U68-1.85)^2</f>
        <v>0.34810000000000035</v>
      </c>
    </row>
    <row r="69" spans="3:22" x14ac:dyDescent="0.25">
      <c r="C69" s="5">
        <v>67</v>
      </c>
      <c r="D69" s="5" t="s">
        <v>18</v>
      </c>
      <c r="E69" s="5">
        <v>1053.1199999999999</v>
      </c>
      <c r="F69" s="5">
        <v>1059.8399999999999</v>
      </c>
      <c r="G69" s="5">
        <f t="shared" si="9"/>
        <v>24.107142857142762</v>
      </c>
      <c r="H69" s="5">
        <v>2.91</v>
      </c>
      <c r="I69" s="5">
        <v>2.91</v>
      </c>
      <c r="J69" s="5">
        <f t="shared" si="10"/>
        <v>2.91</v>
      </c>
      <c r="K69">
        <f t="shared" si="11"/>
        <v>4.2025000000000028E-2</v>
      </c>
      <c r="L69" s="5">
        <v>67</v>
      </c>
      <c r="M69" s="5" t="s">
        <v>20</v>
      </c>
      <c r="N69" s="5">
        <v>1070.56</v>
      </c>
      <c r="O69" s="5">
        <v>1074.44</v>
      </c>
      <c r="P69" s="5">
        <f t="shared" si="0"/>
        <v>41.752577319586457</v>
      </c>
      <c r="Q69" s="5">
        <f t="shared" si="12"/>
        <v>7.91</v>
      </c>
      <c r="R69" s="5">
        <v>7.91</v>
      </c>
      <c r="S69" s="5">
        <f t="shared" si="8"/>
        <v>1.0899999999999999</v>
      </c>
      <c r="T69" s="5">
        <f t="shared" si="8"/>
        <v>1.0899999999999999</v>
      </c>
      <c r="U69" s="5">
        <f t="shared" si="13"/>
        <v>1.0899999999999999</v>
      </c>
      <c r="V69">
        <f t="shared" si="14"/>
        <v>0.57760000000000034</v>
      </c>
    </row>
    <row r="70" spans="3:22" x14ac:dyDescent="0.25">
      <c r="C70" s="5">
        <v>68</v>
      </c>
      <c r="D70" s="5" t="s">
        <v>21</v>
      </c>
      <c r="E70" s="5">
        <v>1058.68</v>
      </c>
      <c r="F70" s="5">
        <v>1063.78</v>
      </c>
      <c r="G70" s="5">
        <f t="shared" si="9"/>
        <v>31.764705882353507</v>
      </c>
      <c r="H70" s="5">
        <v>2.78</v>
      </c>
      <c r="I70" s="5">
        <v>4.95</v>
      </c>
      <c r="J70" s="5">
        <f t="shared" si="10"/>
        <v>3.8650000000000002</v>
      </c>
      <c r="K70">
        <f t="shared" si="11"/>
        <v>0.5625</v>
      </c>
      <c r="L70" s="5">
        <v>68</v>
      </c>
      <c r="M70" s="5" t="s">
        <v>20</v>
      </c>
      <c r="N70" s="5">
        <v>1073.1600000000001</v>
      </c>
      <c r="O70" s="5">
        <v>1078.2</v>
      </c>
      <c r="P70" s="5">
        <f t="shared" si="0"/>
        <v>32.142857142857373</v>
      </c>
      <c r="Q70" s="5">
        <f t="shared" si="12"/>
        <v>7.98</v>
      </c>
      <c r="R70" s="5">
        <v>7.98</v>
      </c>
      <c r="S70" s="5">
        <f t="shared" si="8"/>
        <v>1.0199999999999996</v>
      </c>
      <c r="T70" s="5">
        <f t="shared" si="8"/>
        <v>1.0199999999999996</v>
      </c>
      <c r="U70" s="5">
        <f t="shared" si="13"/>
        <v>1.0199999999999996</v>
      </c>
      <c r="V70">
        <f t="shared" si="14"/>
        <v>0.68890000000000085</v>
      </c>
    </row>
    <row r="71" spans="3:22" x14ac:dyDescent="0.25">
      <c r="C71" s="5">
        <v>69</v>
      </c>
      <c r="D71" s="5" t="s">
        <v>20</v>
      </c>
      <c r="E71" s="5">
        <v>1058.7</v>
      </c>
      <c r="F71" s="5">
        <v>1062.2</v>
      </c>
      <c r="G71" s="5">
        <f t="shared" si="9"/>
        <v>46.285714285714292</v>
      </c>
      <c r="H71" s="5">
        <v>2.6</v>
      </c>
      <c r="I71" s="5">
        <v>2.6</v>
      </c>
      <c r="J71" s="5">
        <f t="shared" si="10"/>
        <v>2.6</v>
      </c>
      <c r="K71">
        <f t="shared" si="11"/>
        <v>0.26522500000000016</v>
      </c>
      <c r="L71" s="5">
        <v>69</v>
      </c>
      <c r="M71" s="5" t="s">
        <v>20</v>
      </c>
      <c r="N71" s="5">
        <v>1074.6400000000001</v>
      </c>
      <c r="O71" s="5">
        <v>1078.96</v>
      </c>
      <c r="P71" s="5">
        <f t="shared" si="0"/>
        <v>37.500000000000554</v>
      </c>
      <c r="Q71" s="5">
        <f t="shared" si="12"/>
        <v>7.37</v>
      </c>
      <c r="R71" s="5">
        <v>7.37</v>
      </c>
      <c r="S71" s="5">
        <f t="shared" si="8"/>
        <v>1.63</v>
      </c>
      <c r="T71" s="5">
        <f t="shared" si="8"/>
        <v>1.63</v>
      </c>
      <c r="U71" s="5">
        <f t="shared" si="13"/>
        <v>1.63</v>
      </c>
      <c r="V71">
        <f t="shared" si="14"/>
        <v>4.8400000000000089E-2</v>
      </c>
    </row>
    <row r="72" spans="3:22" x14ac:dyDescent="0.25">
      <c r="C72" s="5">
        <v>70</v>
      </c>
      <c r="D72" s="5" t="s">
        <v>19</v>
      </c>
      <c r="E72" s="5">
        <v>1061</v>
      </c>
      <c r="F72" s="5">
        <v>1065.92</v>
      </c>
      <c r="G72" s="5">
        <f t="shared" si="9"/>
        <v>32.926829268292195</v>
      </c>
      <c r="H72" s="5">
        <v>2.1</v>
      </c>
      <c r="I72" s="5">
        <v>3.68</v>
      </c>
      <c r="J72" s="5">
        <f t="shared" si="10"/>
        <v>2.89</v>
      </c>
      <c r="K72">
        <f t="shared" si="11"/>
        <v>5.0625000000000038E-2</v>
      </c>
      <c r="L72" s="5">
        <v>70</v>
      </c>
      <c r="M72" s="5" t="s">
        <v>20</v>
      </c>
      <c r="N72" s="5">
        <v>1074.8399999999999</v>
      </c>
      <c r="O72" s="5">
        <v>1079.4000000000001</v>
      </c>
      <c r="P72" s="5">
        <f t="shared" si="0"/>
        <v>35.526315789472342</v>
      </c>
      <c r="Q72" s="5">
        <f t="shared" si="12"/>
        <v>6.81</v>
      </c>
      <c r="R72" s="5">
        <v>6.81</v>
      </c>
      <c r="S72" s="5">
        <f t="shared" si="8"/>
        <v>2.1900000000000004</v>
      </c>
      <c r="T72" s="5">
        <f t="shared" si="8"/>
        <v>2.1900000000000004</v>
      </c>
      <c r="U72" s="5">
        <f t="shared" si="13"/>
        <v>2.1900000000000004</v>
      </c>
      <c r="V72">
        <f t="shared" si="14"/>
        <v>0.1156000000000002</v>
      </c>
    </row>
    <row r="73" spans="3:22" x14ac:dyDescent="0.25">
      <c r="C73" s="5">
        <v>71</v>
      </c>
      <c r="D73" s="5" t="s">
        <v>19</v>
      </c>
      <c r="E73" s="5">
        <v>1062.4000000000001</v>
      </c>
      <c r="F73" s="5">
        <v>1067.24</v>
      </c>
      <c r="G73" s="5">
        <f t="shared" si="9"/>
        <v>33.471074380165859</v>
      </c>
      <c r="H73" s="5">
        <v>2.7</v>
      </c>
      <c r="I73" s="5">
        <v>4.46</v>
      </c>
      <c r="J73" s="5">
        <f t="shared" si="10"/>
        <v>3.58</v>
      </c>
      <c r="K73">
        <f t="shared" si="11"/>
        <v>0.21622499999999986</v>
      </c>
      <c r="L73" s="5">
        <v>71</v>
      </c>
      <c r="M73" s="5" t="s">
        <v>19</v>
      </c>
      <c r="N73" s="5">
        <v>1075.8399999999999</v>
      </c>
      <c r="O73" s="5">
        <v>1081.8</v>
      </c>
      <c r="P73" s="5">
        <f t="shared" si="0"/>
        <v>27.181208053691112</v>
      </c>
      <c r="Q73" s="5">
        <f t="shared" si="12"/>
        <v>9.5299999999999994</v>
      </c>
      <c r="R73" s="5">
        <v>8.09</v>
      </c>
      <c r="S73" s="5">
        <f t="shared" si="8"/>
        <v>-0.52999999999999936</v>
      </c>
      <c r="T73" s="5">
        <f t="shared" si="8"/>
        <v>0.91000000000000014</v>
      </c>
      <c r="U73" s="5">
        <f t="shared" si="13"/>
        <v>0.19000000000000039</v>
      </c>
      <c r="V73">
        <f t="shared" si="14"/>
        <v>2.7555999999999989</v>
      </c>
    </row>
    <row r="74" spans="3:22" x14ac:dyDescent="0.25">
      <c r="C74" s="5">
        <v>72</v>
      </c>
      <c r="D74" s="5" t="s">
        <v>19</v>
      </c>
      <c r="E74" s="5">
        <v>1063.76</v>
      </c>
      <c r="F74" s="5">
        <v>1068.52</v>
      </c>
      <c r="G74" s="5">
        <f t="shared" si="9"/>
        <v>34.033613445378215</v>
      </c>
      <c r="H74" s="5">
        <v>2.4700000000000002</v>
      </c>
      <c r="I74" s="5">
        <v>3.92</v>
      </c>
      <c r="J74" s="5">
        <f t="shared" si="10"/>
        <v>3.1950000000000003</v>
      </c>
      <c r="K74">
        <f t="shared" si="11"/>
        <v>6.4000000000000116E-3</v>
      </c>
      <c r="L74" s="5">
        <v>72</v>
      </c>
      <c r="M74" s="5" t="s">
        <v>20</v>
      </c>
      <c r="N74" s="5">
        <v>1076.8399999999999</v>
      </c>
      <c r="O74" s="5">
        <v>1081.8</v>
      </c>
      <c r="P74" s="5">
        <f t="shared" si="0"/>
        <v>32.661290322580406</v>
      </c>
      <c r="Q74" s="5">
        <f t="shared" si="12"/>
        <v>6.26</v>
      </c>
      <c r="R74" s="5">
        <v>6.26</v>
      </c>
      <c r="S74" s="5">
        <f t="shared" si="8"/>
        <v>2.74</v>
      </c>
      <c r="T74" s="5">
        <f t="shared" si="8"/>
        <v>2.74</v>
      </c>
      <c r="U74" s="5">
        <f t="shared" si="13"/>
        <v>2.74</v>
      </c>
      <c r="V74">
        <f t="shared" si="14"/>
        <v>0.79210000000000025</v>
      </c>
    </row>
    <row r="75" spans="3:22" x14ac:dyDescent="0.25">
      <c r="C75" s="5">
        <v>73</v>
      </c>
      <c r="D75" s="5" t="s">
        <v>19</v>
      </c>
      <c r="E75" s="5">
        <v>1065.52</v>
      </c>
      <c r="F75" s="5">
        <v>1069.8399999999999</v>
      </c>
      <c r="G75" s="5">
        <f t="shared" si="9"/>
        <v>37.500000000000554</v>
      </c>
      <c r="H75" s="5">
        <v>3.63</v>
      </c>
      <c r="I75" s="5">
        <v>4.93</v>
      </c>
      <c r="J75" s="5">
        <f t="shared" si="10"/>
        <v>4.2799999999999994</v>
      </c>
      <c r="K75">
        <f t="shared" si="11"/>
        <v>1.3572249999999979</v>
      </c>
      <c r="L75" s="5">
        <v>73</v>
      </c>
      <c r="M75" s="5" t="s">
        <v>19</v>
      </c>
      <c r="N75" s="5">
        <v>1078.6400000000001</v>
      </c>
      <c r="O75" s="5">
        <v>1084.32</v>
      </c>
      <c r="P75" s="5">
        <f t="shared" si="0"/>
        <v>28.521126760564204</v>
      </c>
      <c r="Q75" s="5">
        <f t="shared" si="12"/>
        <v>7.7200000000000006</v>
      </c>
      <c r="R75" s="5">
        <v>6.28</v>
      </c>
      <c r="S75" s="5">
        <f t="shared" si="8"/>
        <v>1.2799999999999994</v>
      </c>
      <c r="T75" s="5">
        <f t="shared" si="8"/>
        <v>2.7199999999999998</v>
      </c>
      <c r="U75" s="5">
        <f t="shared" si="13"/>
        <v>1.9999999999999996</v>
      </c>
      <c r="V75">
        <f t="shared" si="14"/>
        <v>2.249999999999984E-2</v>
      </c>
    </row>
    <row r="76" spans="3:22" x14ac:dyDescent="0.25">
      <c r="C76" s="5">
        <v>74</v>
      </c>
      <c r="D76" s="5" t="s">
        <v>20</v>
      </c>
      <c r="E76" s="5">
        <v>1065.6400000000001</v>
      </c>
      <c r="F76" s="5">
        <v>1071.68</v>
      </c>
      <c r="G76" s="5">
        <f t="shared" si="9"/>
        <v>26.821192052980294</v>
      </c>
      <c r="H76" s="5">
        <v>1.35</v>
      </c>
      <c r="I76" s="5">
        <v>1.35</v>
      </c>
      <c r="J76" s="5">
        <f t="shared" si="10"/>
        <v>1.35</v>
      </c>
      <c r="K76">
        <f t="shared" si="11"/>
        <v>3.1152250000000006</v>
      </c>
      <c r="L76" s="5">
        <v>74</v>
      </c>
      <c r="M76" s="5" t="s">
        <v>22</v>
      </c>
      <c r="N76" s="5">
        <v>1080.8</v>
      </c>
      <c r="O76" s="5">
        <v>1086.76</v>
      </c>
      <c r="P76" s="5">
        <f t="shared" si="0"/>
        <v>27.181208053691112</v>
      </c>
      <c r="Q76" s="5">
        <f t="shared" si="12"/>
        <v>7.85</v>
      </c>
      <c r="R76" s="5">
        <v>5.42</v>
      </c>
      <c r="S76" s="5">
        <f t="shared" si="8"/>
        <v>1.1500000000000004</v>
      </c>
      <c r="T76" s="5">
        <f t="shared" si="8"/>
        <v>3.58</v>
      </c>
      <c r="U76" s="5">
        <f t="shared" si="13"/>
        <v>2.3650000000000002</v>
      </c>
      <c r="V76">
        <f t="shared" si="14"/>
        <v>0.26522500000000016</v>
      </c>
    </row>
    <row r="77" spans="3:22" x14ac:dyDescent="0.25">
      <c r="C77" s="5">
        <v>75</v>
      </c>
      <c r="D77" s="5" t="s">
        <v>19</v>
      </c>
      <c r="E77" s="5">
        <v>1065.8800000000001</v>
      </c>
      <c r="F77" s="5">
        <v>1071.02</v>
      </c>
      <c r="G77" s="5">
        <f t="shared" si="9"/>
        <v>31.517509727627242</v>
      </c>
      <c r="H77" s="5">
        <v>2.4300000000000002</v>
      </c>
      <c r="I77" s="5">
        <v>3.97</v>
      </c>
      <c r="J77" s="5">
        <f t="shared" si="10"/>
        <v>3.2</v>
      </c>
      <c r="K77">
        <f t="shared" si="11"/>
        <v>7.2249999999999936E-3</v>
      </c>
      <c r="L77" s="5">
        <v>75</v>
      </c>
      <c r="M77" s="5" t="s">
        <v>20</v>
      </c>
      <c r="N77" s="5">
        <v>1081.76</v>
      </c>
      <c r="O77" s="5">
        <v>1087.8800000000001</v>
      </c>
      <c r="P77" s="5">
        <f t="shared" si="0"/>
        <v>26.470588235293604</v>
      </c>
      <c r="Q77" s="5">
        <f t="shared" si="12"/>
        <v>8.4</v>
      </c>
      <c r="R77" s="5">
        <v>8.4</v>
      </c>
      <c r="S77" s="5">
        <f t="shared" si="8"/>
        <v>0.59999999999999964</v>
      </c>
      <c r="T77" s="5">
        <f t="shared" si="8"/>
        <v>0.59999999999999964</v>
      </c>
      <c r="U77" s="5">
        <f t="shared" si="13"/>
        <v>0.59999999999999964</v>
      </c>
      <c r="V77">
        <f t="shared" si="14"/>
        <v>1.5625000000000011</v>
      </c>
    </row>
    <row r="78" spans="3:22" x14ac:dyDescent="0.25">
      <c r="C78" s="5">
        <v>76</v>
      </c>
      <c r="D78" s="5" t="s">
        <v>19</v>
      </c>
      <c r="E78" s="5">
        <v>1067.4000000000001</v>
      </c>
      <c r="F78" s="5">
        <v>1072.32</v>
      </c>
      <c r="G78" s="5">
        <f t="shared" si="9"/>
        <v>32.926829268293723</v>
      </c>
      <c r="H78" s="5">
        <v>3.53</v>
      </c>
      <c r="I78" s="5">
        <v>5.0599999999999996</v>
      </c>
      <c r="J78" s="5">
        <f t="shared" si="10"/>
        <v>4.2949999999999999</v>
      </c>
      <c r="K78">
        <f t="shared" si="11"/>
        <v>1.3923999999999994</v>
      </c>
      <c r="L78" s="5">
        <v>76</v>
      </c>
      <c r="M78" s="5" t="s">
        <v>20</v>
      </c>
      <c r="N78" s="5">
        <v>1081.92</v>
      </c>
      <c r="O78" s="5">
        <v>1087.98</v>
      </c>
      <c r="P78" s="5">
        <f t="shared" si="0"/>
        <v>26.732673267326973</v>
      </c>
      <c r="Q78" s="5">
        <f t="shared" si="12"/>
        <v>5.77</v>
      </c>
      <c r="R78" s="5">
        <v>5.77</v>
      </c>
      <c r="S78" s="5">
        <f t="shared" si="8"/>
        <v>3.2300000000000004</v>
      </c>
      <c r="T78" s="5">
        <f t="shared" si="8"/>
        <v>3.2300000000000004</v>
      </c>
      <c r="U78" s="5">
        <f t="shared" si="13"/>
        <v>3.2300000000000004</v>
      </c>
      <c r="V78">
        <f t="shared" si="14"/>
        <v>1.904400000000001</v>
      </c>
    </row>
    <row r="79" spans="3:22" x14ac:dyDescent="0.25">
      <c r="C79" s="5">
        <v>77</v>
      </c>
      <c r="D79" s="5" t="s">
        <v>19</v>
      </c>
      <c r="E79" s="5">
        <v>1068.8399999999999</v>
      </c>
      <c r="F79" s="5">
        <v>1073.8800000000001</v>
      </c>
      <c r="G79" s="5">
        <f t="shared" si="9"/>
        <v>32.142857142855924</v>
      </c>
      <c r="H79" s="5">
        <v>2.65</v>
      </c>
      <c r="I79" s="5">
        <v>4.09</v>
      </c>
      <c r="J79" s="5">
        <f t="shared" si="10"/>
        <v>3.37</v>
      </c>
      <c r="K79">
        <f t="shared" si="11"/>
        <v>6.5024999999999944E-2</v>
      </c>
      <c r="L79" s="5">
        <v>77</v>
      </c>
      <c r="M79" s="5" t="s">
        <v>19</v>
      </c>
      <c r="N79" s="5">
        <v>1082.8399999999999</v>
      </c>
      <c r="O79" s="5">
        <v>1089.08</v>
      </c>
      <c r="P79" s="5">
        <f t="shared" ref="P79:P116" si="15">$A$3/(O79-N79)*3.6</f>
        <v>25.961538461538424</v>
      </c>
      <c r="Q79" s="5">
        <f t="shared" si="12"/>
        <v>7.3000000000000007</v>
      </c>
      <c r="R79" s="5">
        <v>5.86</v>
      </c>
      <c r="S79" s="5">
        <f t="shared" si="8"/>
        <v>1.6999999999999993</v>
      </c>
      <c r="T79" s="5">
        <f t="shared" si="8"/>
        <v>3.1399999999999997</v>
      </c>
      <c r="U79" s="5">
        <f t="shared" si="13"/>
        <v>2.4199999999999995</v>
      </c>
      <c r="V79">
        <f t="shared" si="14"/>
        <v>0.3248999999999993</v>
      </c>
    </row>
    <row r="80" spans="3:22" x14ac:dyDescent="0.25">
      <c r="C80" s="5">
        <v>78</v>
      </c>
      <c r="D80" s="5" t="s">
        <v>20</v>
      </c>
      <c r="E80" s="5">
        <v>1070</v>
      </c>
      <c r="F80" s="5">
        <v>1074.4000000000001</v>
      </c>
      <c r="G80" s="5">
        <f t="shared" si="9"/>
        <v>36.818181818181053</v>
      </c>
      <c r="H80" s="5">
        <v>1.1000000000000001</v>
      </c>
      <c r="I80" s="5">
        <v>1.1000000000000001</v>
      </c>
      <c r="J80" s="5">
        <f t="shared" si="10"/>
        <v>1.1000000000000001</v>
      </c>
      <c r="K80">
        <f t="shared" si="11"/>
        <v>4.0602250000000009</v>
      </c>
      <c r="L80" s="5">
        <v>78</v>
      </c>
      <c r="M80" s="5" t="s">
        <v>18</v>
      </c>
      <c r="N80" s="5">
        <v>1085.1600000000001</v>
      </c>
      <c r="O80" s="5">
        <v>1090.24</v>
      </c>
      <c r="P80" s="5">
        <f t="shared" si="15"/>
        <v>31.889763779528014</v>
      </c>
      <c r="Q80" s="5">
        <f t="shared" si="12"/>
        <v>8.85</v>
      </c>
      <c r="R80" s="5">
        <v>7.45</v>
      </c>
      <c r="S80" s="5">
        <f t="shared" si="8"/>
        <v>0.15000000000000036</v>
      </c>
      <c r="T80" s="5">
        <f t="shared" si="8"/>
        <v>1.5499999999999998</v>
      </c>
      <c r="U80" s="5">
        <f t="shared" si="13"/>
        <v>0.85000000000000009</v>
      </c>
      <c r="V80">
        <f t="shared" si="14"/>
        <v>1</v>
      </c>
    </row>
    <row r="81" spans="3:22" x14ac:dyDescent="0.25">
      <c r="C81" s="5">
        <v>79</v>
      </c>
      <c r="D81" s="5" t="s">
        <v>19</v>
      </c>
      <c r="E81" s="5">
        <v>1072.1199999999999</v>
      </c>
      <c r="F81" s="5">
        <v>1076.96</v>
      </c>
      <c r="G81" s="5">
        <f t="shared" si="9"/>
        <v>33.471074380164289</v>
      </c>
      <c r="H81" s="5">
        <v>2.5299999999999998</v>
      </c>
      <c r="I81" s="5">
        <v>3.81</v>
      </c>
      <c r="J81" s="5">
        <f t="shared" si="10"/>
        <v>3.17</v>
      </c>
      <c r="K81">
        <f t="shared" si="11"/>
        <v>3.0249999999999687E-3</v>
      </c>
      <c r="L81" s="5">
        <v>79</v>
      </c>
      <c r="M81" s="5" t="s">
        <v>19</v>
      </c>
      <c r="N81" s="5">
        <v>1085.96</v>
      </c>
      <c r="O81" s="5">
        <v>1091.76</v>
      </c>
      <c r="P81" s="5">
        <f t="shared" si="15"/>
        <v>27.931034482758839</v>
      </c>
      <c r="Q81" s="5">
        <f t="shared" si="12"/>
        <v>7.08</v>
      </c>
      <c r="R81" s="5">
        <v>5.64</v>
      </c>
      <c r="S81" s="5">
        <f t="shared" si="8"/>
        <v>1.92</v>
      </c>
      <c r="T81" s="5">
        <f t="shared" si="8"/>
        <v>3.3600000000000003</v>
      </c>
      <c r="U81" s="5">
        <f t="shared" si="13"/>
        <v>2.64</v>
      </c>
      <c r="V81">
        <f t="shared" si="14"/>
        <v>0.6241000000000001</v>
      </c>
    </row>
    <row r="82" spans="3:22" x14ac:dyDescent="0.25">
      <c r="C82" s="5">
        <v>80</v>
      </c>
      <c r="D82" s="5" t="s">
        <v>19</v>
      </c>
      <c r="E82" s="5">
        <v>1074.1199999999999</v>
      </c>
      <c r="F82" s="5">
        <v>1079.08</v>
      </c>
      <c r="G82" s="5">
        <f t="shared" si="9"/>
        <v>32.661290322580406</v>
      </c>
      <c r="H82" s="5">
        <v>1.92</v>
      </c>
      <c r="I82" s="5">
        <v>3.27</v>
      </c>
      <c r="J82" s="5">
        <f t="shared" si="10"/>
        <v>2.5949999999999998</v>
      </c>
      <c r="K82">
        <f t="shared" si="11"/>
        <v>0.27040000000000047</v>
      </c>
      <c r="L82" s="5">
        <v>80</v>
      </c>
      <c r="M82" s="5" t="s">
        <v>20</v>
      </c>
      <c r="N82" s="5">
        <v>1086.8</v>
      </c>
      <c r="O82" s="5">
        <v>1092.96</v>
      </c>
      <c r="P82" s="5">
        <f t="shared" si="15"/>
        <v>26.298701298700951</v>
      </c>
      <c r="Q82" s="5">
        <f t="shared" si="12"/>
        <v>6.98</v>
      </c>
      <c r="R82" s="5">
        <v>6.98</v>
      </c>
      <c r="S82" s="5">
        <f t="shared" si="8"/>
        <v>2.0199999999999996</v>
      </c>
      <c r="T82" s="5">
        <f t="shared" si="8"/>
        <v>2.0199999999999996</v>
      </c>
      <c r="U82" s="5">
        <f t="shared" si="13"/>
        <v>2.0199999999999996</v>
      </c>
      <c r="V82">
        <f t="shared" si="14"/>
        <v>2.8899999999999825E-2</v>
      </c>
    </row>
    <row r="83" spans="3:22" x14ac:dyDescent="0.25">
      <c r="C83" s="5">
        <v>81</v>
      </c>
      <c r="D83" s="5" t="s">
        <v>19</v>
      </c>
      <c r="E83" s="5">
        <v>1075.6400000000001</v>
      </c>
      <c r="F83" s="5">
        <v>1080.5999999999999</v>
      </c>
      <c r="G83" s="5">
        <f t="shared" si="9"/>
        <v>32.661290322581905</v>
      </c>
      <c r="H83" s="5">
        <v>1.26</v>
      </c>
      <c r="I83" s="5">
        <v>2.7</v>
      </c>
      <c r="J83" s="5">
        <f t="shared" si="10"/>
        <v>1.98</v>
      </c>
      <c r="K83">
        <f t="shared" si="11"/>
        <v>1.2882250000000006</v>
      </c>
      <c r="L83" s="5">
        <v>81</v>
      </c>
      <c r="M83" s="5" t="s">
        <v>22</v>
      </c>
      <c r="N83" s="5">
        <v>1094.72</v>
      </c>
      <c r="O83" s="5">
        <v>1100.28</v>
      </c>
      <c r="P83" s="5">
        <f t="shared" si="15"/>
        <v>29.136690647482304</v>
      </c>
      <c r="Q83" s="5">
        <f t="shared" si="12"/>
        <v>9.69</v>
      </c>
      <c r="R83" s="5">
        <v>7.26</v>
      </c>
      <c r="S83" s="5">
        <f t="shared" si="8"/>
        <v>-0.6899999999999995</v>
      </c>
      <c r="T83" s="5">
        <f t="shared" si="8"/>
        <v>1.7400000000000002</v>
      </c>
      <c r="U83" s="5">
        <f t="shared" si="13"/>
        <v>0.52500000000000036</v>
      </c>
      <c r="V83">
        <f t="shared" si="14"/>
        <v>1.7556249999999993</v>
      </c>
    </row>
    <row r="84" spans="3:22" x14ac:dyDescent="0.25">
      <c r="C84" s="5">
        <v>82</v>
      </c>
      <c r="D84" s="5" t="s">
        <v>19</v>
      </c>
      <c r="E84" s="5">
        <v>1076.48</v>
      </c>
      <c r="F84" s="5">
        <v>1081.52</v>
      </c>
      <c r="G84" s="5">
        <f t="shared" si="9"/>
        <v>32.142857142857373</v>
      </c>
      <c r="H84" s="5">
        <v>2.91</v>
      </c>
      <c r="I84" s="5">
        <v>4.63</v>
      </c>
      <c r="J84" s="5">
        <f t="shared" si="10"/>
        <v>3.77</v>
      </c>
      <c r="K84">
        <f t="shared" si="11"/>
        <v>0.42902499999999977</v>
      </c>
      <c r="L84" s="5">
        <v>82</v>
      </c>
      <c r="M84" s="5" t="s">
        <v>20</v>
      </c>
      <c r="N84" s="5">
        <v>1096</v>
      </c>
      <c r="O84" s="5">
        <v>1101.04</v>
      </c>
      <c r="P84" s="5">
        <f t="shared" si="15"/>
        <v>32.142857142857373</v>
      </c>
      <c r="Q84" s="5">
        <f t="shared" si="12"/>
        <v>7.7</v>
      </c>
      <c r="R84" s="5">
        <v>7.7</v>
      </c>
      <c r="S84" s="5">
        <f t="shared" ref="S84:T116" si="16">$A$5-Q84</f>
        <v>1.2999999999999998</v>
      </c>
      <c r="T84" s="5">
        <f t="shared" si="16"/>
        <v>1.2999999999999998</v>
      </c>
      <c r="U84" s="5">
        <f t="shared" si="13"/>
        <v>1.2999999999999998</v>
      </c>
      <c r="V84">
        <f t="shared" si="14"/>
        <v>0.30250000000000027</v>
      </c>
    </row>
    <row r="85" spans="3:22" x14ac:dyDescent="0.25">
      <c r="C85" s="5">
        <v>83</v>
      </c>
      <c r="D85" s="5" t="s">
        <v>19</v>
      </c>
      <c r="E85" s="5">
        <v>1077.76</v>
      </c>
      <c r="F85" s="5">
        <v>1082.48</v>
      </c>
      <c r="G85" s="5">
        <f t="shared" si="9"/>
        <v>34.322033898304888</v>
      </c>
      <c r="H85" s="5">
        <v>2.95</v>
      </c>
      <c r="I85" s="5">
        <v>4.53</v>
      </c>
      <c r="J85" s="5">
        <f t="shared" si="10"/>
        <v>3.74</v>
      </c>
      <c r="K85">
        <f t="shared" si="11"/>
        <v>0.390625</v>
      </c>
      <c r="L85" s="5">
        <v>83</v>
      </c>
      <c r="M85" s="5" t="s">
        <v>19</v>
      </c>
      <c r="N85" s="5">
        <v>1097.2</v>
      </c>
      <c r="O85" s="5">
        <v>1102.68</v>
      </c>
      <c r="P85" s="5">
        <f t="shared" si="15"/>
        <v>29.562043795620337</v>
      </c>
      <c r="Q85" s="5">
        <f t="shared" si="12"/>
        <v>7.91</v>
      </c>
      <c r="R85" s="5">
        <v>6.47</v>
      </c>
      <c r="S85" s="5">
        <f t="shared" si="16"/>
        <v>1.0899999999999999</v>
      </c>
      <c r="T85" s="5">
        <f t="shared" si="16"/>
        <v>2.5300000000000002</v>
      </c>
      <c r="U85" s="5">
        <f t="shared" si="13"/>
        <v>1.81</v>
      </c>
      <c r="V85">
        <f t="shared" si="14"/>
        <v>1.6000000000000029E-3</v>
      </c>
    </row>
    <row r="86" spans="3:22" x14ac:dyDescent="0.25">
      <c r="C86" s="5">
        <v>84</v>
      </c>
      <c r="D86" s="5" t="s">
        <v>19</v>
      </c>
      <c r="E86" s="5">
        <v>1078.3599999999999</v>
      </c>
      <c r="F86" s="5">
        <v>1083.44</v>
      </c>
      <c r="G86" s="5">
        <f t="shared" si="9"/>
        <v>31.889763779526589</v>
      </c>
      <c r="H86" s="5">
        <v>0.78</v>
      </c>
      <c r="I86" s="5">
        <v>2.2799999999999998</v>
      </c>
      <c r="J86" s="5">
        <f t="shared" si="10"/>
        <v>1.5299999999999998</v>
      </c>
      <c r="K86">
        <f t="shared" si="11"/>
        <v>2.5122250000000013</v>
      </c>
      <c r="L86" s="5">
        <v>84</v>
      </c>
      <c r="M86" s="5" t="s">
        <v>20</v>
      </c>
      <c r="N86" s="5">
        <v>1098.24</v>
      </c>
      <c r="O86" s="5">
        <v>1103.08</v>
      </c>
      <c r="P86" s="5">
        <f t="shared" si="15"/>
        <v>33.471074380165859</v>
      </c>
      <c r="Q86" s="5">
        <f t="shared" si="12"/>
        <v>7.72</v>
      </c>
      <c r="R86" s="5">
        <v>7.72</v>
      </c>
      <c r="S86" s="5">
        <f t="shared" si="16"/>
        <v>1.2800000000000002</v>
      </c>
      <c r="T86" s="5">
        <f t="shared" si="16"/>
        <v>1.2800000000000002</v>
      </c>
      <c r="U86" s="5">
        <f t="shared" si="13"/>
        <v>1.2800000000000002</v>
      </c>
      <c r="V86">
        <f t="shared" si="14"/>
        <v>0.3248999999999998</v>
      </c>
    </row>
    <row r="87" spans="3:22" x14ac:dyDescent="0.25">
      <c r="C87" s="5">
        <v>85</v>
      </c>
      <c r="D87" s="5" t="s">
        <v>19</v>
      </c>
      <c r="E87" s="5">
        <v>1079.6400000000001</v>
      </c>
      <c r="F87" s="5">
        <v>1084.1600000000001</v>
      </c>
      <c r="G87" s="5">
        <f t="shared" si="9"/>
        <v>35.840707964601911</v>
      </c>
      <c r="H87" s="5">
        <v>3.58</v>
      </c>
      <c r="I87" s="5">
        <v>4.87</v>
      </c>
      <c r="J87" s="5">
        <f t="shared" si="10"/>
        <v>4.2249999999999996</v>
      </c>
      <c r="K87">
        <f t="shared" si="11"/>
        <v>1.2320999999999986</v>
      </c>
      <c r="L87" s="5">
        <v>85</v>
      </c>
      <c r="M87" s="5" t="s">
        <v>20</v>
      </c>
      <c r="N87" s="5">
        <v>1098.8800000000001</v>
      </c>
      <c r="O87" s="5">
        <v>1104.3599999999999</v>
      </c>
      <c r="P87" s="5">
        <f t="shared" si="15"/>
        <v>29.562043795621566</v>
      </c>
      <c r="Q87" s="5">
        <f t="shared" si="12"/>
        <v>7.33</v>
      </c>
      <c r="R87" s="5">
        <v>7.33</v>
      </c>
      <c r="S87" s="5">
        <f t="shared" si="16"/>
        <v>1.67</v>
      </c>
      <c r="T87" s="5">
        <f t="shared" si="16"/>
        <v>1.67</v>
      </c>
      <c r="U87" s="5">
        <f t="shared" si="13"/>
        <v>1.67</v>
      </c>
      <c r="V87">
        <f t="shared" si="14"/>
        <v>3.2400000000000061E-2</v>
      </c>
    </row>
    <row r="88" spans="3:22" x14ac:dyDescent="0.25">
      <c r="C88" s="5">
        <v>86</v>
      </c>
      <c r="D88" s="5" t="s">
        <v>20</v>
      </c>
      <c r="E88" s="5">
        <v>1079.6600000000001</v>
      </c>
      <c r="F88" s="5">
        <v>1084.24</v>
      </c>
      <c r="G88" s="5">
        <f t="shared" si="9"/>
        <v>35.371179039301879</v>
      </c>
      <c r="H88" s="5">
        <v>0.4</v>
      </c>
      <c r="I88" s="5">
        <v>0.4</v>
      </c>
      <c r="J88" s="5">
        <f t="shared" si="10"/>
        <v>0.4</v>
      </c>
      <c r="K88">
        <f t="shared" si="11"/>
        <v>7.3712250000000017</v>
      </c>
      <c r="L88" s="5">
        <v>86</v>
      </c>
      <c r="M88" s="5" t="s">
        <v>20</v>
      </c>
      <c r="N88" s="5">
        <v>1100.04</v>
      </c>
      <c r="O88" s="5">
        <v>1105.1600000000001</v>
      </c>
      <c r="P88" s="5">
        <f t="shared" si="15"/>
        <v>31.640624999999272</v>
      </c>
      <c r="Q88" s="5">
        <f t="shared" si="12"/>
        <v>7.62</v>
      </c>
      <c r="R88" s="5">
        <v>7.62</v>
      </c>
      <c r="S88" s="5">
        <f t="shared" si="16"/>
        <v>1.38</v>
      </c>
      <c r="T88" s="5">
        <f t="shared" si="16"/>
        <v>1.38</v>
      </c>
      <c r="U88" s="5">
        <f t="shared" si="13"/>
        <v>1.38</v>
      </c>
      <c r="V88">
        <f t="shared" si="14"/>
        <v>0.22090000000000018</v>
      </c>
    </row>
    <row r="89" spans="3:22" x14ac:dyDescent="0.25">
      <c r="C89" s="5">
        <v>87</v>
      </c>
      <c r="D89" s="5" t="s">
        <v>19</v>
      </c>
      <c r="E89" s="5">
        <v>1082.08</v>
      </c>
      <c r="F89" s="5">
        <v>1086.8800000000001</v>
      </c>
      <c r="G89" s="5">
        <f t="shared" si="9"/>
        <v>33.749999999998721</v>
      </c>
      <c r="H89" s="5">
        <v>2.41</v>
      </c>
      <c r="I89" s="5">
        <v>3.65</v>
      </c>
      <c r="J89" s="5">
        <f t="shared" si="10"/>
        <v>3.0300000000000002</v>
      </c>
      <c r="K89">
        <f t="shared" si="11"/>
        <v>7.2249999999999936E-3</v>
      </c>
      <c r="L89" s="5">
        <v>87</v>
      </c>
      <c r="M89" s="5" t="s">
        <v>19</v>
      </c>
      <c r="N89" s="5">
        <v>1100.96</v>
      </c>
      <c r="O89" s="5">
        <v>1106.52</v>
      </c>
      <c r="P89" s="5">
        <f t="shared" si="15"/>
        <v>29.136690647482304</v>
      </c>
      <c r="Q89" s="5">
        <f t="shared" si="12"/>
        <v>7.68</v>
      </c>
      <c r="R89" s="5">
        <v>6.24</v>
      </c>
      <c r="S89" s="5">
        <f t="shared" si="16"/>
        <v>1.3200000000000003</v>
      </c>
      <c r="T89" s="5">
        <f t="shared" si="16"/>
        <v>2.76</v>
      </c>
      <c r="U89" s="5">
        <f t="shared" si="13"/>
        <v>2.04</v>
      </c>
      <c r="V89">
        <f t="shared" si="14"/>
        <v>3.6099999999999979E-2</v>
      </c>
    </row>
    <row r="90" spans="3:22" x14ac:dyDescent="0.25">
      <c r="C90" s="5">
        <v>88</v>
      </c>
      <c r="D90" s="5" t="s">
        <v>19</v>
      </c>
      <c r="E90" s="5">
        <v>1083.24</v>
      </c>
      <c r="F90" s="5">
        <v>1088.08</v>
      </c>
      <c r="G90" s="5">
        <f t="shared" si="9"/>
        <v>33.471074380165859</v>
      </c>
      <c r="H90" s="5">
        <v>2.92</v>
      </c>
      <c r="I90" s="5">
        <v>4.47</v>
      </c>
      <c r="J90" s="5">
        <f t="shared" si="10"/>
        <v>3.6949999999999998</v>
      </c>
      <c r="K90">
        <f t="shared" si="11"/>
        <v>0.33639999999999959</v>
      </c>
      <c r="L90" s="5">
        <v>88</v>
      </c>
      <c r="M90" s="5" t="s">
        <v>19</v>
      </c>
      <c r="N90" s="5">
        <v>1102.32</v>
      </c>
      <c r="O90" s="5">
        <v>1107.8399999999999</v>
      </c>
      <c r="P90" s="5">
        <f t="shared" si="15"/>
        <v>29.347826086956619</v>
      </c>
      <c r="Q90" s="5">
        <f t="shared" si="12"/>
        <v>6.92</v>
      </c>
      <c r="R90" s="5">
        <v>5.48</v>
      </c>
      <c r="S90" s="5">
        <f t="shared" si="16"/>
        <v>2.08</v>
      </c>
      <c r="T90" s="5">
        <f t="shared" si="16"/>
        <v>3.5199999999999996</v>
      </c>
      <c r="U90" s="5">
        <f t="shared" si="13"/>
        <v>2.8</v>
      </c>
      <c r="V90">
        <f t="shared" si="14"/>
        <v>0.90249999999999952</v>
      </c>
    </row>
    <row r="91" spans="3:22" x14ac:dyDescent="0.25">
      <c r="C91" s="5">
        <v>89</v>
      </c>
      <c r="D91" s="5" t="s">
        <v>19</v>
      </c>
      <c r="E91" s="5">
        <v>1086.76</v>
      </c>
      <c r="F91" s="5">
        <v>1092.1600000000001</v>
      </c>
      <c r="G91" s="5">
        <f t="shared" si="9"/>
        <v>29.999999999999499</v>
      </c>
      <c r="H91" s="5">
        <v>1.65</v>
      </c>
      <c r="I91" s="5">
        <v>3.32</v>
      </c>
      <c r="J91" s="5">
        <f t="shared" si="10"/>
        <v>2.4849999999999999</v>
      </c>
      <c r="K91">
        <f t="shared" si="11"/>
        <v>0.39690000000000042</v>
      </c>
      <c r="L91" s="5">
        <v>89</v>
      </c>
      <c r="M91" s="5" t="s">
        <v>19</v>
      </c>
      <c r="N91" s="5">
        <v>1104.1199999999999</v>
      </c>
      <c r="O91" s="5">
        <v>1109.44</v>
      </c>
      <c r="P91" s="5">
        <f t="shared" si="15"/>
        <v>30.451127819547938</v>
      </c>
      <c r="Q91" s="5">
        <f t="shared" si="12"/>
        <v>7.09</v>
      </c>
      <c r="R91" s="5">
        <v>5.65</v>
      </c>
      <c r="S91" s="5">
        <f t="shared" si="16"/>
        <v>1.9100000000000001</v>
      </c>
      <c r="T91" s="5">
        <f t="shared" si="16"/>
        <v>3.3499999999999996</v>
      </c>
      <c r="U91" s="5">
        <f t="shared" si="13"/>
        <v>2.63</v>
      </c>
      <c r="V91">
        <f t="shared" si="14"/>
        <v>0.60839999999999972</v>
      </c>
    </row>
    <row r="92" spans="3:22" x14ac:dyDescent="0.25">
      <c r="C92" s="5">
        <v>90</v>
      </c>
      <c r="D92" s="5" t="s">
        <v>19</v>
      </c>
      <c r="E92" s="5">
        <v>1088.6400000000001</v>
      </c>
      <c r="F92" s="5">
        <v>1093.2</v>
      </c>
      <c r="G92" s="5">
        <f t="shared" si="9"/>
        <v>35.526315789474111</v>
      </c>
      <c r="H92" s="5">
        <v>3.57</v>
      </c>
      <c r="I92" s="5">
        <v>5.53</v>
      </c>
      <c r="J92" s="5">
        <f t="shared" si="10"/>
        <v>4.55</v>
      </c>
      <c r="K92">
        <f t="shared" si="11"/>
        <v>2.0592249999999988</v>
      </c>
      <c r="L92" s="5">
        <v>90</v>
      </c>
      <c r="M92" s="5" t="s">
        <v>20</v>
      </c>
      <c r="N92" s="5">
        <v>1104.6400000000001</v>
      </c>
      <c r="O92" s="5">
        <v>1109.76</v>
      </c>
      <c r="P92" s="5">
        <f t="shared" si="15"/>
        <v>31.640625000000671</v>
      </c>
      <c r="Q92" s="5">
        <f t="shared" si="12"/>
        <v>7.49</v>
      </c>
      <c r="R92" s="5">
        <v>7.49</v>
      </c>
      <c r="S92" s="5">
        <f t="shared" si="16"/>
        <v>1.5099999999999998</v>
      </c>
      <c r="T92" s="5">
        <f t="shared" si="16"/>
        <v>1.5099999999999998</v>
      </c>
      <c r="U92" s="5">
        <f t="shared" si="13"/>
        <v>1.5099999999999998</v>
      </c>
      <c r="V92">
        <f t="shared" si="14"/>
        <v>0.1156000000000002</v>
      </c>
    </row>
    <row r="93" spans="3:22" x14ac:dyDescent="0.25">
      <c r="C93" s="5">
        <v>91</v>
      </c>
      <c r="D93" s="5" t="s">
        <v>19</v>
      </c>
      <c r="E93" s="5">
        <v>1089.76</v>
      </c>
      <c r="F93" s="5">
        <v>1094.08</v>
      </c>
      <c r="G93" s="5">
        <f t="shared" si="9"/>
        <v>37.500000000000554</v>
      </c>
      <c r="H93" s="5">
        <v>2.6</v>
      </c>
      <c r="I93" s="5">
        <v>4.34</v>
      </c>
      <c r="J93" s="5">
        <f t="shared" si="10"/>
        <v>3.4699999999999998</v>
      </c>
      <c r="K93">
        <f t="shared" si="11"/>
        <v>0.12602499999999967</v>
      </c>
      <c r="L93" s="5">
        <v>91</v>
      </c>
      <c r="M93" s="5" t="s">
        <v>20</v>
      </c>
      <c r="N93" s="5">
        <v>1109.8399999999999</v>
      </c>
      <c r="O93" s="5">
        <v>1114.08</v>
      </c>
      <c r="P93" s="5">
        <f t="shared" si="15"/>
        <v>38.207547169811235</v>
      </c>
      <c r="Q93" s="5">
        <f t="shared" si="12"/>
        <v>8.34</v>
      </c>
      <c r="R93" s="5">
        <v>8.34</v>
      </c>
      <c r="S93" s="5">
        <f t="shared" si="16"/>
        <v>0.66000000000000014</v>
      </c>
      <c r="T93" s="5">
        <f t="shared" si="16"/>
        <v>0.66000000000000014</v>
      </c>
      <c r="U93" s="5">
        <f t="shared" si="13"/>
        <v>0.66000000000000014</v>
      </c>
      <c r="V93">
        <f t="shared" si="14"/>
        <v>1.4160999999999999</v>
      </c>
    </row>
    <row r="94" spans="3:22" x14ac:dyDescent="0.25">
      <c r="C94" s="5">
        <v>92</v>
      </c>
      <c r="D94" s="5" t="s">
        <v>19</v>
      </c>
      <c r="E94" s="5">
        <v>1091.28</v>
      </c>
      <c r="F94" s="5">
        <v>1097.1199999999999</v>
      </c>
      <c r="G94" s="5">
        <f t="shared" si="9"/>
        <v>27.739726027397648</v>
      </c>
      <c r="H94" s="5">
        <v>2.5299999999999998</v>
      </c>
      <c r="I94" s="5">
        <v>3.89</v>
      </c>
      <c r="J94" s="5">
        <f t="shared" si="10"/>
        <v>3.21</v>
      </c>
      <c r="K94">
        <f t="shared" si="11"/>
        <v>9.0249999999999532E-3</v>
      </c>
      <c r="L94" s="5">
        <v>92</v>
      </c>
      <c r="M94" s="5" t="s">
        <v>20</v>
      </c>
      <c r="N94" s="5">
        <v>1110.04</v>
      </c>
      <c r="O94" s="5">
        <v>1114.26</v>
      </c>
      <c r="P94" s="5">
        <f t="shared" si="15"/>
        <v>38.388625592416815</v>
      </c>
      <c r="Q94" s="5">
        <f t="shared" si="12"/>
        <v>7.57</v>
      </c>
      <c r="R94" s="5">
        <v>7.57</v>
      </c>
      <c r="S94" s="5">
        <f t="shared" si="16"/>
        <v>1.4299999999999997</v>
      </c>
      <c r="T94" s="5">
        <f t="shared" si="16"/>
        <v>1.4299999999999997</v>
      </c>
      <c r="U94" s="5">
        <f t="shared" si="13"/>
        <v>1.4299999999999997</v>
      </c>
      <c r="V94">
        <f t="shared" si="14"/>
        <v>0.17640000000000031</v>
      </c>
    </row>
    <row r="95" spans="3:22" x14ac:dyDescent="0.25">
      <c r="C95" s="5">
        <v>93</v>
      </c>
      <c r="D95" s="5" t="s">
        <v>19</v>
      </c>
      <c r="E95" s="5">
        <v>1092.56</v>
      </c>
      <c r="F95" s="5">
        <v>1098.1199999999999</v>
      </c>
      <c r="G95" s="5">
        <f t="shared" si="9"/>
        <v>29.136690647482304</v>
      </c>
      <c r="H95" s="5">
        <v>2.98</v>
      </c>
      <c r="I95" s="5">
        <v>4.25</v>
      </c>
      <c r="J95" s="5">
        <f t="shared" si="10"/>
        <v>3.6150000000000002</v>
      </c>
      <c r="K95">
        <f t="shared" si="11"/>
        <v>0.25</v>
      </c>
      <c r="L95" s="5">
        <v>93</v>
      </c>
      <c r="M95" s="5" t="s">
        <v>19</v>
      </c>
      <c r="N95" s="5">
        <v>1110.92</v>
      </c>
      <c r="O95" s="5">
        <v>1115.48</v>
      </c>
      <c r="P95" s="5">
        <f t="shared" si="15"/>
        <v>35.526315789474111</v>
      </c>
      <c r="Q95" s="5">
        <f t="shared" si="12"/>
        <v>7.8699999999999992</v>
      </c>
      <c r="R95" s="5">
        <v>6.43</v>
      </c>
      <c r="S95" s="5">
        <f t="shared" si="16"/>
        <v>1.1300000000000008</v>
      </c>
      <c r="T95" s="5">
        <f t="shared" si="16"/>
        <v>2.5700000000000003</v>
      </c>
      <c r="U95" s="5">
        <f t="shared" si="13"/>
        <v>1.8500000000000005</v>
      </c>
      <c r="V95">
        <f t="shared" si="14"/>
        <v>1.9721522630525295E-31</v>
      </c>
    </row>
    <row r="96" spans="3:22" x14ac:dyDescent="0.25">
      <c r="C96" s="5">
        <v>94</v>
      </c>
      <c r="D96" s="5" t="s">
        <v>19</v>
      </c>
      <c r="E96" s="5">
        <v>1093</v>
      </c>
      <c r="F96" s="5">
        <v>1099.1199999999999</v>
      </c>
      <c r="G96" s="5">
        <f t="shared" si="9"/>
        <v>26.470588235294588</v>
      </c>
      <c r="H96" s="5">
        <v>2.4700000000000002</v>
      </c>
      <c r="I96" s="5">
        <v>3.87</v>
      </c>
      <c r="J96" s="5">
        <f t="shared" si="10"/>
        <v>3.17</v>
      </c>
      <c r="K96">
        <f t="shared" si="11"/>
        <v>3.0249999999999687E-3</v>
      </c>
      <c r="L96" s="5">
        <v>94</v>
      </c>
      <c r="M96" s="5" t="s">
        <v>19</v>
      </c>
      <c r="N96" s="5">
        <v>1112.52</v>
      </c>
      <c r="O96" s="5">
        <v>1117.08</v>
      </c>
      <c r="P96" s="5">
        <f t="shared" si="15"/>
        <v>35.526315789474111</v>
      </c>
      <c r="Q96" s="5">
        <f t="shared" si="12"/>
        <v>7.6</v>
      </c>
      <c r="R96" s="5">
        <v>6.16</v>
      </c>
      <c r="S96" s="5">
        <f t="shared" si="16"/>
        <v>1.4000000000000004</v>
      </c>
      <c r="T96" s="5">
        <f t="shared" si="16"/>
        <v>2.84</v>
      </c>
      <c r="U96" s="5">
        <f t="shared" si="13"/>
        <v>2.12</v>
      </c>
      <c r="V96">
        <f t="shared" si="14"/>
        <v>7.2900000000000006E-2</v>
      </c>
    </row>
    <row r="97" spans="3:22" x14ac:dyDescent="0.25">
      <c r="C97" s="5">
        <v>95</v>
      </c>
      <c r="D97" s="5" t="s">
        <v>20</v>
      </c>
      <c r="E97" s="5">
        <v>1094.32</v>
      </c>
      <c r="F97" s="5">
        <v>1099.8399999999999</v>
      </c>
      <c r="G97" s="5">
        <f t="shared" si="9"/>
        <v>29.347826086956619</v>
      </c>
      <c r="H97" s="5">
        <v>2.1800000000000002</v>
      </c>
      <c r="I97" s="5">
        <v>2.1800000000000002</v>
      </c>
      <c r="J97" s="5">
        <f t="shared" si="10"/>
        <v>2.1800000000000002</v>
      </c>
      <c r="K97">
        <f t="shared" si="11"/>
        <v>0.87422500000000014</v>
      </c>
      <c r="L97" s="5">
        <v>95</v>
      </c>
      <c r="M97" s="5" t="s">
        <v>19</v>
      </c>
      <c r="N97" s="5">
        <v>1122</v>
      </c>
      <c r="O97" s="5">
        <v>1127.04</v>
      </c>
      <c r="P97" s="5">
        <f t="shared" si="15"/>
        <v>32.142857142857373</v>
      </c>
      <c r="Q97" s="5">
        <f t="shared" si="12"/>
        <v>7.92</v>
      </c>
      <c r="R97" s="5">
        <v>6.48</v>
      </c>
      <c r="S97" s="5">
        <f t="shared" si="16"/>
        <v>1.08</v>
      </c>
      <c r="T97" s="5">
        <f t="shared" si="16"/>
        <v>2.5199999999999996</v>
      </c>
      <c r="U97" s="5">
        <f t="shared" si="13"/>
        <v>1.7999999999999998</v>
      </c>
      <c r="V97">
        <f t="shared" si="14"/>
        <v>2.5000000000000265E-3</v>
      </c>
    </row>
    <row r="98" spans="3:22" x14ac:dyDescent="0.25">
      <c r="C98" s="5">
        <v>96</v>
      </c>
      <c r="D98" s="5" t="s">
        <v>19</v>
      </c>
      <c r="E98" s="5">
        <v>1095.4000000000001</v>
      </c>
      <c r="F98" s="5">
        <v>1100.44</v>
      </c>
      <c r="G98" s="5">
        <f t="shared" si="9"/>
        <v>32.142857142857373</v>
      </c>
      <c r="H98" s="5">
        <v>3.55</v>
      </c>
      <c r="I98" s="5">
        <v>5.07</v>
      </c>
      <c r="J98" s="5">
        <f t="shared" si="10"/>
        <v>4.3100000000000005</v>
      </c>
      <c r="K98">
        <f t="shared" si="11"/>
        <v>1.4280250000000008</v>
      </c>
      <c r="L98" s="5">
        <v>96</v>
      </c>
      <c r="M98" s="5" t="s">
        <v>20</v>
      </c>
      <c r="N98" s="5">
        <v>1124.96</v>
      </c>
      <c r="O98" s="5">
        <v>1128.8800000000001</v>
      </c>
      <c r="P98" s="5">
        <f t="shared" si="15"/>
        <v>41.326530612244127</v>
      </c>
      <c r="Q98" s="5">
        <f t="shared" si="12"/>
        <v>7.59</v>
      </c>
      <c r="R98" s="5">
        <v>7.59</v>
      </c>
      <c r="S98" s="5">
        <f t="shared" si="16"/>
        <v>1.4100000000000001</v>
      </c>
      <c r="T98" s="5">
        <f t="shared" si="16"/>
        <v>1.4100000000000001</v>
      </c>
      <c r="U98" s="5">
        <f t="shared" si="13"/>
        <v>1.4100000000000001</v>
      </c>
      <c r="V98">
        <f t="shared" si="14"/>
        <v>0.19359999999999997</v>
      </c>
    </row>
    <row r="99" spans="3:22" x14ac:dyDescent="0.25">
      <c r="C99" s="5">
        <v>97</v>
      </c>
      <c r="D99" s="5" t="s">
        <v>19</v>
      </c>
      <c r="E99" s="5">
        <v>1096.68</v>
      </c>
      <c r="F99" s="5">
        <v>1102.4000000000001</v>
      </c>
      <c r="G99" s="5">
        <f t="shared" si="9"/>
        <v>28.321678321678185</v>
      </c>
      <c r="H99" s="5">
        <v>2.61</v>
      </c>
      <c r="I99" s="5">
        <v>4.17</v>
      </c>
      <c r="J99" s="5">
        <f t="shared" si="10"/>
        <v>3.3899999999999997</v>
      </c>
      <c r="K99">
        <f t="shared" si="11"/>
        <v>7.5624999999999706E-2</v>
      </c>
      <c r="L99" s="5">
        <v>97</v>
      </c>
      <c r="M99" s="5" t="s">
        <v>19</v>
      </c>
      <c r="N99" s="5">
        <v>1127.3599999999999</v>
      </c>
      <c r="O99" s="5">
        <v>1131.08</v>
      </c>
      <c r="P99" s="5">
        <f t="shared" si="15"/>
        <v>43.54838709677388</v>
      </c>
      <c r="Q99" s="5">
        <f t="shared" si="12"/>
        <v>7.8599999999999994</v>
      </c>
      <c r="R99" s="5">
        <v>6.42</v>
      </c>
      <c r="S99" s="5">
        <f t="shared" si="16"/>
        <v>1.1400000000000006</v>
      </c>
      <c r="T99" s="5">
        <f t="shared" si="16"/>
        <v>2.58</v>
      </c>
      <c r="U99" s="5">
        <f t="shared" si="13"/>
        <v>1.8600000000000003</v>
      </c>
      <c r="V99">
        <f t="shared" si="14"/>
        <v>1.0000000000000461E-4</v>
      </c>
    </row>
    <row r="100" spans="3:22" x14ac:dyDescent="0.25">
      <c r="C100" s="5">
        <v>98</v>
      </c>
      <c r="D100" s="5" t="s">
        <v>20</v>
      </c>
      <c r="E100" s="5">
        <v>1097.08</v>
      </c>
      <c r="F100" s="5">
        <v>1100.8399999999999</v>
      </c>
      <c r="G100" s="5">
        <f t="shared" si="9"/>
        <v>43.085106382978829</v>
      </c>
      <c r="H100" s="5">
        <v>2.57</v>
      </c>
      <c r="I100" s="5">
        <v>2.57</v>
      </c>
      <c r="J100" s="5">
        <f t="shared" si="10"/>
        <v>2.57</v>
      </c>
      <c r="K100">
        <f t="shared" si="11"/>
        <v>0.29702500000000043</v>
      </c>
      <c r="L100" s="5">
        <v>98</v>
      </c>
      <c r="M100" s="5" t="s">
        <v>19</v>
      </c>
      <c r="N100" s="5">
        <v>1130.3599999999999</v>
      </c>
      <c r="O100" s="5">
        <v>1134.4000000000001</v>
      </c>
      <c r="P100" s="5">
        <f t="shared" si="15"/>
        <v>40.0990099009882</v>
      </c>
      <c r="Q100" s="5">
        <f t="shared" si="12"/>
        <v>7.4499999999999993</v>
      </c>
      <c r="R100" s="5">
        <v>6.01</v>
      </c>
      <c r="S100" s="5">
        <f t="shared" si="16"/>
        <v>1.5500000000000007</v>
      </c>
      <c r="T100" s="5">
        <f t="shared" si="16"/>
        <v>2.99</v>
      </c>
      <c r="U100" s="5">
        <f t="shared" si="13"/>
        <v>2.2700000000000005</v>
      </c>
      <c r="V100">
        <f t="shared" si="14"/>
        <v>0.17640000000000031</v>
      </c>
    </row>
    <row r="101" spans="3:22" x14ac:dyDescent="0.25">
      <c r="C101" s="5">
        <v>99</v>
      </c>
      <c r="D101" s="5" t="s">
        <v>18</v>
      </c>
      <c r="E101" s="5">
        <v>1098.56</v>
      </c>
      <c r="F101" s="5">
        <v>1104.08</v>
      </c>
      <c r="G101" s="5">
        <f t="shared" si="9"/>
        <v>29.347826086956619</v>
      </c>
      <c r="H101" s="5">
        <v>3.07</v>
      </c>
      <c r="I101" s="5">
        <v>3.07</v>
      </c>
      <c r="J101" s="5">
        <f t="shared" si="10"/>
        <v>3.07</v>
      </c>
      <c r="K101">
        <f t="shared" si="11"/>
        <v>2.0250000000000337E-3</v>
      </c>
      <c r="L101" s="5">
        <v>99</v>
      </c>
      <c r="M101" s="5" t="s">
        <v>19</v>
      </c>
      <c r="N101" s="5">
        <v>1132.08</v>
      </c>
      <c r="O101" s="5">
        <v>1136.2</v>
      </c>
      <c r="P101" s="5">
        <f t="shared" si="15"/>
        <v>39.320388349513436</v>
      </c>
      <c r="Q101" s="5">
        <f t="shared" si="12"/>
        <v>7.34</v>
      </c>
      <c r="R101" s="5">
        <v>5.9</v>
      </c>
      <c r="S101" s="5">
        <f t="shared" si="16"/>
        <v>1.6600000000000001</v>
      </c>
      <c r="T101" s="5">
        <f t="shared" si="16"/>
        <v>3.0999999999999996</v>
      </c>
      <c r="U101" s="5">
        <f t="shared" si="13"/>
        <v>2.38</v>
      </c>
      <c r="V101">
        <f t="shared" si="14"/>
        <v>0.28089999999999982</v>
      </c>
    </row>
    <row r="102" spans="3:22" x14ac:dyDescent="0.25">
      <c r="C102" s="5">
        <v>100</v>
      </c>
      <c r="D102" s="5" t="s">
        <v>19</v>
      </c>
      <c r="E102" s="5">
        <v>1100.1600000000001</v>
      </c>
      <c r="F102" s="5">
        <v>1105.4000000000001</v>
      </c>
      <c r="G102" s="5">
        <f t="shared" si="9"/>
        <v>30.916030534351091</v>
      </c>
      <c r="H102" s="5">
        <v>3.5</v>
      </c>
      <c r="I102" s="5">
        <v>4.6399999999999997</v>
      </c>
      <c r="J102" s="5">
        <f t="shared" si="10"/>
        <v>4.07</v>
      </c>
      <c r="K102">
        <f t="shared" si="11"/>
        <v>0.91202500000000009</v>
      </c>
      <c r="L102" s="5">
        <v>100</v>
      </c>
      <c r="M102" s="5" t="s">
        <v>21</v>
      </c>
      <c r="N102" s="5">
        <v>1136.68</v>
      </c>
      <c r="O102" s="5">
        <v>1140.56</v>
      </c>
      <c r="P102" s="5">
        <f t="shared" si="15"/>
        <v>41.752577319588902</v>
      </c>
      <c r="Q102" s="5">
        <f t="shared" si="12"/>
        <v>6.3100000000000005</v>
      </c>
      <c r="R102" s="5">
        <v>3.96</v>
      </c>
      <c r="S102" s="5">
        <f t="shared" si="16"/>
        <v>2.6899999999999995</v>
      </c>
      <c r="T102" s="5">
        <f t="shared" si="16"/>
        <v>5.04</v>
      </c>
      <c r="U102" s="5">
        <f t="shared" si="13"/>
        <v>3.8649999999999998</v>
      </c>
      <c r="V102">
        <f t="shared" si="14"/>
        <v>4.0602249999999991</v>
      </c>
    </row>
    <row r="103" spans="3:22" x14ac:dyDescent="0.25">
      <c r="C103" s="5">
        <v>101</v>
      </c>
      <c r="D103" s="5" t="s">
        <v>20</v>
      </c>
      <c r="E103" s="5">
        <v>1100.1600000000001</v>
      </c>
      <c r="F103" s="5">
        <v>1105.5999999999999</v>
      </c>
      <c r="G103" s="5">
        <f t="shared" si="9"/>
        <v>29.779411764706829</v>
      </c>
      <c r="H103" s="5">
        <v>1.41</v>
      </c>
      <c r="I103" s="5">
        <v>1.47</v>
      </c>
      <c r="J103" s="5">
        <f t="shared" si="10"/>
        <v>1.44</v>
      </c>
      <c r="K103">
        <f t="shared" si="11"/>
        <v>2.8056250000000009</v>
      </c>
      <c r="L103" s="5">
        <v>101</v>
      </c>
      <c r="M103" s="5" t="s">
        <v>20</v>
      </c>
      <c r="N103" s="5">
        <v>1137.69</v>
      </c>
      <c r="O103" s="5">
        <v>1141.8399999999999</v>
      </c>
      <c r="P103" s="5">
        <f t="shared" si="15"/>
        <v>39.036144578314541</v>
      </c>
      <c r="Q103" s="5">
        <f t="shared" si="12"/>
        <v>5.28</v>
      </c>
      <c r="R103" s="5">
        <v>5.28</v>
      </c>
      <c r="S103" s="5">
        <f t="shared" si="16"/>
        <v>3.7199999999999998</v>
      </c>
      <c r="T103" s="5">
        <f t="shared" si="16"/>
        <v>3.7199999999999998</v>
      </c>
      <c r="U103" s="5">
        <f t="shared" si="13"/>
        <v>3.7199999999999998</v>
      </c>
      <c r="V103">
        <f t="shared" si="14"/>
        <v>3.4968999999999988</v>
      </c>
    </row>
    <row r="104" spans="3:22" x14ac:dyDescent="0.25">
      <c r="C104" s="5">
        <v>102</v>
      </c>
      <c r="D104" s="5" t="s">
        <v>19</v>
      </c>
      <c r="E104" s="5">
        <v>1103.1199999999999</v>
      </c>
      <c r="F104" s="5">
        <v>1107.3599999999999</v>
      </c>
      <c r="G104" s="5">
        <f t="shared" si="9"/>
        <v>38.207547169811235</v>
      </c>
      <c r="H104" s="5">
        <v>3.21</v>
      </c>
      <c r="I104" s="5">
        <v>4.5</v>
      </c>
      <c r="J104" s="5">
        <f t="shared" si="10"/>
        <v>3.855</v>
      </c>
      <c r="K104">
        <f t="shared" si="11"/>
        <v>0.54759999999999964</v>
      </c>
      <c r="L104" s="5">
        <v>102</v>
      </c>
      <c r="M104" s="5" t="s">
        <v>19</v>
      </c>
      <c r="N104" s="5">
        <v>1138.52</v>
      </c>
      <c r="O104" s="5">
        <v>1142.68</v>
      </c>
      <c r="P104" s="5">
        <f t="shared" si="15"/>
        <v>38.942307692306933</v>
      </c>
      <c r="Q104" s="5">
        <f t="shared" si="12"/>
        <v>6.9599999999999991</v>
      </c>
      <c r="R104" s="5">
        <v>5.52</v>
      </c>
      <c r="S104" s="5">
        <f t="shared" si="16"/>
        <v>2.0400000000000009</v>
      </c>
      <c r="T104" s="5">
        <f t="shared" si="16"/>
        <v>3.4800000000000004</v>
      </c>
      <c r="U104" s="5">
        <f t="shared" si="13"/>
        <v>2.7600000000000007</v>
      </c>
      <c r="V104">
        <f t="shared" si="14"/>
        <v>0.82810000000000106</v>
      </c>
    </row>
    <row r="105" spans="3:22" x14ac:dyDescent="0.25">
      <c r="C105" s="5">
        <v>103</v>
      </c>
      <c r="D105" s="5" t="s">
        <v>19</v>
      </c>
      <c r="E105" s="5">
        <v>1105.48</v>
      </c>
      <c r="F105" s="5">
        <v>1109.56</v>
      </c>
      <c r="G105" s="5">
        <f t="shared" si="9"/>
        <v>39.705882352941885</v>
      </c>
      <c r="H105" s="5">
        <v>2.87</v>
      </c>
      <c r="I105" s="5">
        <v>4.3600000000000003</v>
      </c>
      <c r="J105" s="5">
        <f t="shared" si="10"/>
        <v>3.6150000000000002</v>
      </c>
      <c r="K105">
        <f t="shared" si="11"/>
        <v>0.25</v>
      </c>
      <c r="L105" s="5">
        <v>103</v>
      </c>
      <c r="M105" s="5" t="s">
        <v>20</v>
      </c>
      <c r="N105" s="5">
        <v>1140.5999999999999</v>
      </c>
      <c r="O105" s="5">
        <v>1145.1600000000001</v>
      </c>
      <c r="P105" s="5">
        <f t="shared" si="15"/>
        <v>35.526315789472342</v>
      </c>
      <c r="Q105" s="5">
        <f t="shared" si="12"/>
        <v>6.83</v>
      </c>
      <c r="R105" s="5">
        <v>6.83</v>
      </c>
      <c r="S105" s="5">
        <f t="shared" si="16"/>
        <v>2.17</v>
      </c>
      <c r="T105" s="5">
        <f t="shared" si="16"/>
        <v>2.17</v>
      </c>
      <c r="U105" s="5">
        <f t="shared" si="13"/>
        <v>2.17</v>
      </c>
      <c r="V105">
        <f t="shared" si="14"/>
        <v>0.10239999999999989</v>
      </c>
    </row>
    <row r="106" spans="3:22" x14ac:dyDescent="0.25">
      <c r="C106" s="5">
        <v>104</v>
      </c>
      <c r="D106" s="5" t="s">
        <v>20</v>
      </c>
      <c r="E106" s="5">
        <v>1105.76</v>
      </c>
      <c r="F106" s="5">
        <v>1108.68</v>
      </c>
      <c r="G106" s="5">
        <f t="shared" si="9"/>
        <v>55.479452054793136</v>
      </c>
      <c r="H106" s="5">
        <v>2.0699999999999998</v>
      </c>
      <c r="I106" s="5">
        <v>2.0699999999999998</v>
      </c>
      <c r="J106" s="5">
        <f t="shared" si="10"/>
        <v>2.0699999999999998</v>
      </c>
      <c r="K106">
        <f t="shared" si="11"/>
        <v>1.0920250000000007</v>
      </c>
      <c r="L106" s="5">
        <v>104</v>
      </c>
      <c r="M106" s="5" t="s">
        <v>20</v>
      </c>
      <c r="N106" s="5">
        <v>1143.4000000000001</v>
      </c>
      <c r="O106" s="5">
        <v>1147.72</v>
      </c>
      <c r="P106" s="5">
        <f t="shared" si="15"/>
        <v>37.500000000000554</v>
      </c>
      <c r="Q106" s="5">
        <f t="shared" si="12"/>
        <v>7.05</v>
      </c>
      <c r="R106" s="5">
        <v>7.05</v>
      </c>
      <c r="S106" s="5">
        <f t="shared" si="16"/>
        <v>1.9500000000000002</v>
      </c>
      <c r="T106" s="5">
        <f t="shared" si="16"/>
        <v>1.9500000000000002</v>
      </c>
      <c r="U106" s="5">
        <f t="shared" si="13"/>
        <v>1.9500000000000002</v>
      </c>
      <c r="V106">
        <f t="shared" si="14"/>
        <v>1.0000000000000018E-2</v>
      </c>
    </row>
    <row r="107" spans="3:22" x14ac:dyDescent="0.25">
      <c r="C107" s="5">
        <v>105</v>
      </c>
      <c r="D107" s="5" t="s">
        <v>20</v>
      </c>
      <c r="E107" s="5">
        <v>1107.01</v>
      </c>
      <c r="F107" s="5">
        <v>1110.48</v>
      </c>
      <c r="G107" s="5">
        <f t="shared" si="9"/>
        <v>46.685878962535654</v>
      </c>
      <c r="H107" s="5">
        <v>1.84</v>
      </c>
      <c r="I107" s="5">
        <v>1.84</v>
      </c>
      <c r="J107" s="5">
        <f t="shared" si="10"/>
        <v>1.84</v>
      </c>
      <c r="K107">
        <f t="shared" si="11"/>
        <v>1.6256250000000003</v>
      </c>
      <c r="L107" s="5">
        <v>105</v>
      </c>
      <c r="M107" s="5" t="s">
        <v>41</v>
      </c>
      <c r="N107" s="5">
        <v>1150.8800000000001</v>
      </c>
      <c r="O107" s="5">
        <v>1169.32</v>
      </c>
      <c r="P107" s="5">
        <f t="shared" si="15"/>
        <v>8.7852494577007327</v>
      </c>
      <c r="Q107" s="5">
        <f t="shared" si="12"/>
        <v>8.41</v>
      </c>
      <c r="R107" s="5">
        <v>8.41</v>
      </c>
      <c r="S107" s="5">
        <f t="shared" si="16"/>
        <v>0.58999999999999986</v>
      </c>
      <c r="T107" s="5">
        <f t="shared" si="16"/>
        <v>0.58999999999999986</v>
      </c>
      <c r="U107" s="5">
        <f t="shared" si="13"/>
        <v>0.58999999999999986</v>
      </c>
      <c r="V107">
        <f t="shared" si="14"/>
        <v>1.5876000000000006</v>
      </c>
    </row>
    <row r="108" spans="3:22" x14ac:dyDescent="0.25">
      <c r="C108" s="5">
        <v>106</v>
      </c>
      <c r="D108" s="5" t="s">
        <v>19</v>
      </c>
      <c r="E108" s="5">
        <v>1107.1199999999999</v>
      </c>
      <c r="F108" s="5">
        <v>1111.68</v>
      </c>
      <c r="G108" s="5">
        <f t="shared" si="9"/>
        <v>35.526315789472342</v>
      </c>
      <c r="H108" s="5">
        <v>3.1</v>
      </c>
      <c r="I108" s="5">
        <v>4.67</v>
      </c>
      <c r="J108" s="5">
        <f t="shared" si="10"/>
        <v>3.8849999999999998</v>
      </c>
      <c r="K108">
        <f t="shared" si="11"/>
        <v>0.59289999999999932</v>
      </c>
      <c r="L108" s="5">
        <v>106</v>
      </c>
      <c r="M108" s="5" t="s">
        <v>22</v>
      </c>
      <c r="N108" s="5">
        <v>1156.02</v>
      </c>
      <c r="O108" s="5">
        <v>1163.04</v>
      </c>
      <c r="P108" s="5">
        <f t="shared" si="15"/>
        <v>23.076923076923137</v>
      </c>
      <c r="Q108" s="5">
        <f t="shared" si="12"/>
        <v>8.99</v>
      </c>
      <c r="R108" s="5">
        <v>6.56</v>
      </c>
      <c r="S108" s="5">
        <f t="shared" si="16"/>
        <v>9.9999999999997868E-3</v>
      </c>
      <c r="T108" s="5">
        <f t="shared" si="16"/>
        <v>2.4400000000000004</v>
      </c>
      <c r="U108" s="5">
        <f t="shared" si="13"/>
        <v>1.2250000000000001</v>
      </c>
      <c r="V108">
        <f t="shared" si="14"/>
        <v>0.390625</v>
      </c>
    </row>
    <row r="109" spans="3:22" x14ac:dyDescent="0.25">
      <c r="C109" s="5">
        <v>107</v>
      </c>
      <c r="D109" s="5" t="s">
        <v>20</v>
      </c>
      <c r="E109" s="5">
        <v>1107.5999999999999</v>
      </c>
      <c r="F109" s="5">
        <v>1110.76</v>
      </c>
      <c r="G109" s="5">
        <f t="shared" si="9"/>
        <v>51.265822784808805</v>
      </c>
      <c r="H109" s="5">
        <v>2.1800000000000002</v>
      </c>
      <c r="I109" s="5">
        <v>2.1800000000000002</v>
      </c>
      <c r="J109" s="5">
        <f t="shared" si="10"/>
        <v>2.1800000000000002</v>
      </c>
      <c r="K109">
        <f t="shared" si="11"/>
        <v>0.87422500000000014</v>
      </c>
      <c r="L109" s="5">
        <v>107</v>
      </c>
      <c r="M109" s="5" t="s">
        <v>19</v>
      </c>
      <c r="N109" s="5">
        <v>1171.4000000000001</v>
      </c>
      <c r="O109" s="5">
        <v>1175.76</v>
      </c>
      <c r="P109" s="5">
        <f t="shared" si="15"/>
        <v>37.15596330275315</v>
      </c>
      <c r="Q109" s="5">
        <f t="shared" si="12"/>
        <v>8.18</v>
      </c>
      <c r="R109" s="5">
        <v>6.74</v>
      </c>
      <c r="S109" s="5">
        <f t="shared" si="16"/>
        <v>0.82000000000000028</v>
      </c>
      <c r="T109" s="5">
        <f t="shared" si="16"/>
        <v>2.2599999999999998</v>
      </c>
      <c r="U109" s="5">
        <f t="shared" si="13"/>
        <v>1.54</v>
      </c>
      <c r="V109">
        <f t="shared" si="14"/>
        <v>9.6100000000000033E-2</v>
      </c>
    </row>
    <row r="110" spans="3:22" x14ac:dyDescent="0.25">
      <c r="C110" s="5">
        <v>108</v>
      </c>
      <c r="D110" s="5" t="s">
        <v>19</v>
      </c>
      <c r="E110" s="5">
        <v>1108.5999999999999</v>
      </c>
      <c r="F110" s="5">
        <v>1112.32</v>
      </c>
      <c r="G110" s="5">
        <f t="shared" si="9"/>
        <v>43.54838709677388</v>
      </c>
      <c r="H110" s="5">
        <v>3.89</v>
      </c>
      <c r="I110" s="5">
        <v>5.9</v>
      </c>
      <c r="J110" s="5">
        <f t="shared" si="10"/>
        <v>4.8950000000000005</v>
      </c>
      <c r="K110">
        <f t="shared" si="11"/>
        <v>3.168400000000001</v>
      </c>
      <c r="L110" s="5">
        <v>108</v>
      </c>
      <c r="M110" s="5" t="s">
        <v>19</v>
      </c>
      <c r="N110" s="5">
        <v>1176.52</v>
      </c>
      <c r="O110" s="5">
        <v>1179.52</v>
      </c>
      <c r="P110" s="5">
        <f t="shared" si="15"/>
        <v>54</v>
      </c>
      <c r="Q110" s="5">
        <f t="shared" si="12"/>
        <v>7.82</v>
      </c>
      <c r="R110" s="5">
        <v>6.38</v>
      </c>
      <c r="S110" s="5">
        <f t="shared" si="16"/>
        <v>1.1799999999999997</v>
      </c>
      <c r="T110" s="5">
        <f t="shared" si="16"/>
        <v>2.62</v>
      </c>
      <c r="U110" s="5">
        <f t="shared" si="13"/>
        <v>1.9</v>
      </c>
      <c r="V110">
        <f t="shared" si="14"/>
        <v>2.4999999999999823E-3</v>
      </c>
    </row>
    <row r="111" spans="3:22" x14ac:dyDescent="0.25">
      <c r="C111" s="5">
        <v>109</v>
      </c>
      <c r="D111" s="5" t="s">
        <v>19</v>
      </c>
      <c r="E111" s="5">
        <v>1109.48</v>
      </c>
      <c r="F111" s="5">
        <v>1113.8599999999999</v>
      </c>
      <c r="G111" s="5">
        <f t="shared" si="9"/>
        <v>36.986301369864016</v>
      </c>
      <c r="H111" s="5">
        <v>2.9</v>
      </c>
      <c r="I111" s="5">
        <v>4.09</v>
      </c>
      <c r="J111" s="5">
        <f t="shared" si="10"/>
        <v>3.4950000000000001</v>
      </c>
      <c r="K111">
        <f t="shared" si="11"/>
        <v>0.14439999999999992</v>
      </c>
      <c r="L111" s="5">
        <v>109</v>
      </c>
      <c r="M111" s="5" t="s">
        <v>20</v>
      </c>
      <c r="N111" s="5">
        <v>1181.2</v>
      </c>
      <c r="O111" s="5">
        <v>1185.68</v>
      </c>
      <c r="P111" s="5">
        <f t="shared" si="15"/>
        <v>36.160714285714143</v>
      </c>
      <c r="Q111" s="5">
        <f t="shared" si="12"/>
        <v>7.99</v>
      </c>
      <c r="R111" s="5">
        <v>7.99</v>
      </c>
      <c r="S111" s="5">
        <f t="shared" si="16"/>
        <v>1.0099999999999998</v>
      </c>
      <c r="T111" s="5">
        <f t="shared" si="16"/>
        <v>1.0099999999999998</v>
      </c>
      <c r="U111" s="5">
        <f t="shared" si="13"/>
        <v>1.0099999999999998</v>
      </c>
      <c r="V111">
        <f t="shared" si="14"/>
        <v>0.70560000000000056</v>
      </c>
    </row>
    <row r="112" spans="3:22" x14ac:dyDescent="0.25">
      <c r="C112" s="5">
        <v>110</v>
      </c>
      <c r="D112" s="5" t="s">
        <v>19</v>
      </c>
      <c r="E112" s="5">
        <v>1110.68</v>
      </c>
      <c r="F112" s="5">
        <v>1114.76</v>
      </c>
      <c r="G112" s="5">
        <f t="shared" si="9"/>
        <v>39.705882352941885</v>
      </c>
      <c r="H112" s="5">
        <v>1.66</v>
      </c>
      <c r="I112" s="5">
        <v>3</v>
      </c>
      <c r="J112" s="5">
        <f t="shared" si="10"/>
        <v>2.33</v>
      </c>
      <c r="K112">
        <f t="shared" si="11"/>
        <v>0.61622500000000024</v>
      </c>
      <c r="L112" s="5">
        <v>110</v>
      </c>
      <c r="M112" s="5" t="s">
        <v>20</v>
      </c>
      <c r="N112" s="5">
        <v>1181.8399999999999</v>
      </c>
      <c r="O112" s="5">
        <v>1186.04</v>
      </c>
      <c r="P112" s="5">
        <f t="shared" si="15"/>
        <v>38.571428571428157</v>
      </c>
      <c r="Q112" s="5">
        <f t="shared" si="12"/>
        <v>7.12</v>
      </c>
      <c r="R112" s="5">
        <v>7.12</v>
      </c>
      <c r="S112" s="5">
        <f t="shared" si="16"/>
        <v>1.88</v>
      </c>
      <c r="T112" s="5">
        <f t="shared" si="16"/>
        <v>1.88</v>
      </c>
      <c r="U112" s="5">
        <f t="shared" si="13"/>
        <v>1.88</v>
      </c>
      <c r="V112">
        <f t="shared" si="14"/>
        <v>8.9999999999998827E-4</v>
      </c>
    </row>
    <row r="113" spans="3:22" x14ac:dyDescent="0.25">
      <c r="C113" s="5">
        <v>111</v>
      </c>
      <c r="D113" s="5" t="s">
        <v>20</v>
      </c>
      <c r="E113" s="5">
        <v>1111.8399999999999</v>
      </c>
      <c r="F113" s="5">
        <v>1115.5999999999999</v>
      </c>
      <c r="G113" s="5">
        <f t="shared" si="9"/>
        <v>43.085106382978829</v>
      </c>
      <c r="H113" s="5">
        <v>3.41</v>
      </c>
      <c r="I113" s="5">
        <v>3.41</v>
      </c>
      <c r="J113" s="5">
        <f t="shared" si="10"/>
        <v>3.41</v>
      </c>
      <c r="K113">
        <f t="shared" si="11"/>
        <v>8.7024999999999963E-2</v>
      </c>
      <c r="L113" s="5">
        <v>111</v>
      </c>
      <c r="M113" s="5" t="s">
        <v>20</v>
      </c>
      <c r="N113" s="5">
        <v>1188.92</v>
      </c>
      <c r="O113" s="5">
        <v>1194.2</v>
      </c>
      <c r="P113" s="5">
        <f t="shared" si="15"/>
        <v>30.68181818181834</v>
      </c>
      <c r="Q113" s="5">
        <f t="shared" si="12"/>
        <v>7.76</v>
      </c>
      <c r="R113" s="5">
        <v>7.76</v>
      </c>
      <c r="S113" s="5">
        <f t="shared" si="16"/>
        <v>1.2400000000000002</v>
      </c>
      <c r="T113" s="5">
        <f t="shared" si="16"/>
        <v>1.2400000000000002</v>
      </c>
      <c r="U113" s="5">
        <f t="shared" si="13"/>
        <v>1.2400000000000002</v>
      </c>
      <c r="V113">
        <f t="shared" si="14"/>
        <v>0.37209999999999988</v>
      </c>
    </row>
    <row r="114" spans="3:22" x14ac:dyDescent="0.25">
      <c r="C114" s="5">
        <v>112</v>
      </c>
      <c r="D114" s="5" t="s">
        <v>20</v>
      </c>
      <c r="E114" s="5">
        <v>1111.92</v>
      </c>
      <c r="F114" s="5">
        <v>1117.24</v>
      </c>
      <c r="G114" s="5">
        <f t="shared" si="9"/>
        <v>30.451127819549235</v>
      </c>
      <c r="H114" s="5">
        <v>6.87</v>
      </c>
      <c r="I114" s="5">
        <v>6.87</v>
      </c>
      <c r="J114" s="5">
        <f t="shared" si="10"/>
        <v>6.87</v>
      </c>
      <c r="K114">
        <f t="shared" si="11"/>
        <v>14.100024999999999</v>
      </c>
      <c r="L114" s="5">
        <v>112</v>
      </c>
      <c r="M114" s="5" t="s">
        <v>22</v>
      </c>
      <c r="N114" s="5">
        <v>1197.1199999999999</v>
      </c>
      <c r="O114" s="5">
        <v>1201.06</v>
      </c>
      <c r="P114" s="5">
        <f t="shared" si="15"/>
        <v>41.116751269034964</v>
      </c>
      <c r="Q114" s="5">
        <f t="shared" si="12"/>
        <v>8.98</v>
      </c>
      <c r="R114" s="5">
        <v>6.55</v>
      </c>
      <c r="S114" s="5">
        <f t="shared" si="16"/>
        <v>1.9999999999999574E-2</v>
      </c>
      <c r="T114" s="5">
        <f t="shared" si="16"/>
        <v>2.4500000000000002</v>
      </c>
      <c r="U114" s="5">
        <f t="shared" si="13"/>
        <v>1.2349999999999999</v>
      </c>
      <c r="V114">
        <f t="shared" si="14"/>
        <v>0.37822500000000026</v>
      </c>
    </row>
    <row r="115" spans="3:22" x14ac:dyDescent="0.25">
      <c r="C115" s="5">
        <v>113</v>
      </c>
      <c r="D115" s="5" t="s">
        <v>19</v>
      </c>
      <c r="E115" s="5">
        <v>1113.24</v>
      </c>
      <c r="F115" s="5">
        <v>1116.32</v>
      </c>
      <c r="G115" s="5">
        <f t="shared" si="9"/>
        <v>52.597402597403843</v>
      </c>
      <c r="H115" s="5">
        <v>2.97</v>
      </c>
      <c r="I115" s="5">
        <v>4.34</v>
      </c>
      <c r="J115" s="5">
        <f t="shared" si="10"/>
        <v>3.6550000000000002</v>
      </c>
      <c r="K115">
        <f t="shared" si="11"/>
        <v>0.29160000000000003</v>
      </c>
      <c r="L115" s="5">
        <v>113</v>
      </c>
      <c r="M115" s="5" t="s">
        <v>20</v>
      </c>
      <c r="N115" s="5">
        <v>1198.28</v>
      </c>
      <c r="O115" s="5">
        <v>1202.92</v>
      </c>
      <c r="P115" s="5">
        <f t="shared" si="15"/>
        <v>34.913793103447524</v>
      </c>
      <c r="Q115" s="5">
        <f t="shared" si="12"/>
        <v>6.64</v>
      </c>
      <c r="R115" s="5">
        <v>6.64</v>
      </c>
      <c r="S115" s="5">
        <f t="shared" si="16"/>
        <v>2.3600000000000003</v>
      </c>
      <c r="T115" s="5">
        <f t="shared" si="16"/>
        <v>2.3600000000000003</v>
      </c>
      <c r="U115" s="5">
        <f t="shared" si="13"/>
        <v>2.3600000000000003</v>
      </c>
      <c r="V115">
        <f t="shared" si="14"/>
        <v>0.26010000000000022</v>
      </c>
    </row>
    <row r="116" spans="3:22" x14ac:dyDescent="0.25">
      <c r="C116" s="5">
        <v>114</v>
      </c>
      <c r="D116" s="5" t="s">
        <v>19</v>
      </c>
      <c r="E116" s="5">
        <v>1113.92</v>
      </c>
      <c r="F116" s="5">
        <v>1117.76</v>
      </c>
      <c r="G116" s="5">
        <f t="shared" si="9"/>
        <v>42.187500000000902</v>
      </c>
      <c r="H116" s="5">
        <v>1.71</v>
      </c>
      <c r="I116" s="5">
        <v>3.01</v>
      </c>
      <c r="J116" s="5">
        <f t="shared" si="10"/>
        <v>2.36</v>
      </c>
      <c r="K116">
        <f t="shared" si="11"/>
        <v>0.57002500000000056</v>
      </c>
      <c r="L116" s="5">
        <v>114</v>
      </c>
      <c r="M116" s="5" t="s">
        <v>19</v>
      </c>
      <c r="N116" s="5">
        <v>1199.2</v>
      </c>
      <c r="O116" s="5">
        <v>1204.02</v>
      </c>
      <c r="P116" s="5">
        <f t="shared" si="15"/>
        <v>33.609958506224508</v>
      </c>
      <c r="Q116" s="5">
        <f t="shared" si="12"/>
        <v>7.93</v>
      </c>
      <c r="R116" s="5">
        <v>6.49</v>
      </c>
      <c r="S116" s="5">
        <f t="shared" si="16"/>
        <v>1.0700000000000003</v>
      </c>
      <c r="T116" s="5">
        <f t="shared" si="16"/>
        <v>2.5099999999999998</v>
      </c>
      <c r="U116" s="5">
        <f t="shared" si="13"/>
        <v>1.79</v>
      </c>
      <c r="V116">
        <f t="shared" si="14"/>
        <v>3.6000000000000064E-3</v>
      </c>
    </row>
    <row r="117" spans="3:22" x14ac:dyDescent="0.25">
      <c r="C117" s="5">
        <v>115</v>
      </c>
      <c r="D117" s="5" t="s">
        <v>20</v>
      </c>
      <c r="E117" s="5">
        <v>1114.8399999999999</v>
      </c>
      <c r="F117" s="5">
        <v>1118.8</v>
      </c>
      <c r="G117" s="5">
        <f t="shared" si="9"/>
        <v>40.90909090909053</v>
      </c>
      <c r="H117" s="5">
        <v>1.72</v>
      </c>
      <c r="I117" s="5">
        <v>1.72</v>
      </c>
      <c r="J117" s="5">
        <f t="shared" si="10"/>
        <v>1.72</v>
      </c>
      <c r="K117">
        <f t="shared" si="11"/>
        <v>1.9460250000000006</v>
      </c>
      <c r="L117" s="23"/>
      <c r="M117" s="23"/>
    </row>
    <row r="118" spans="3:22" x14ac:dyDescent="0.25">
      <c r="C118" s="5">
        <v>116</v>
      </c>
      <c r="D118" s="5" t="s">
        <v>19</v>
      </c>
      <c r="E118" s="5">
        <v>1117.68</v>
      </c>
      <c r="F118" s="5">
        <v>1121.08</v>
      </c>
      <c r="G118" s="5">
        <f t="shared" si="9"/>
        <v>47.647058823531324</v>
      </c>
      <c r="H118" s="5">
        <v>2.64</v>
      </c>
      <c r="I118" s="5">
        <v>4.3</v>
      </c>
      <c r="J118" s="5">
        <f t="shared" si="10"/>
        <v>3.4699999999999998</v>
      </c>
      <c r="K118">
        <f t="shared" si="11"/>
        <v>0.12602499999999967</v>
      </c>
      <c r="L118" s="23"/>
      <c r="M118" s="23"/>
    </row>
    <row r="119" spans="3:22" x14ac:dyDescent="0.25">
      <c r="C119" s="5">
        <v>117</v>
      </c>
      <c r="D119" s="5" t="s">
        <v>20</v>
      </c>
      <c r="E119" s="5">
        <v>1118.4000000000001</v>
      </c>
      <c r="F119" s="5">
        <v>1121.5999999999999</v>
      </c>
      <c r="G119" s="5">
        <f t="shared" si="9"/>
        <v>50.625000000002878</v>
      </c>
      <c r="H119" s="5">
        <v>1.57</v>
      </c>
      <c r="I119" s="5">
        <v>1.57</v>
      </c>
      <c r="J119" s="5">
        <f t="shared" si="10"/>
        <v>1.57</v>
      </c>
      <c r="K119">
        <f t="shared" si="11"/>
        <v>2.3870250000000004</v>
      </c>
    </row>
    <row r="120" spans="3:22" x14ac:dyDescent="0.25">
      <c r="C120" s="5">
        <v>118</v>
      </c>
      <c r="D120" s="5" t="s">
        <v>20</v>
      </c>
      <c r="E120" s="5">
        <v>1121.24</v>
      </c>
      <c r="F120" s="5">
        <v>1124.5999999999999</v>
      </c>
      <c r="G120" s="5">
        <f t="shared" si="9"/>
        <v>48.214285714287151</v>
      </c>
      <c r="H120" s="5">
        <v>2.06</v>
      </c>
      <c r="I120" s="5">
        <v>2.06</v>
      </c>
      <c r="J120" s="5">
        <f t="shared" si="10"/>
        <v>2.06</v>
      </c>
      <c r="K120">
        <f t="shared" si="11"/>
        <v>1.1130250000000004</v>
      </c>
    </row>
    <row r="121" spans="3:22" x14ac:dyDescent="0.25">
      <c r="C121" s="5">
        <v>119</v>
      </c>
      <c r="D121" s="5" t="s">
        <v>19</v>
      </c>
      <c r="E121" s="5">
        <v>1122.28</v>
      </c>
      <c r="F121" s="5">
        <v>1125.68</v>
      </c>
      <c r="G121" s="5">
        <f t="shared" si="9"/>
        <v>47.647058823528134</v>
      </c>
      <c r="H121" s="5">
        <v>2.57</v>
      </c>
      <c r="I121" s="5">
        <v>4.07</v>
      </c>
      <c r="J121" s="5">
        <f t="shared" si="10"/>
        <v>3.3200000000000003</v>
      </c>
      <c r="K121">
        <f t="shared" si="11"/>
        <v>4.2025000000000028E-2</v>
      </c>
    </row>
    <row r="122" spans="3:22" x14ac:dyDescent="0.25">
      <c r="C122" s="5">
        <v>120</v>
      </c>
      <c r="D122" s="5" t="s">
        <v>19</v>
      </c>
      <c r="E122" s="5">
        <v>1123.68</v>
      </c>
      <c r="F122" s="5">
        <v>1127.04</v>
      </c>
      <c r="G122" s="5">
        <f t="shared" si="9"/>
        <v>48.214285714287151</v>
      </c>
      <c r="H122" s="5">
        <v>3.79</v>
      </c>
      <c r="I122" s="5">
        <v>5.09</v>
      </c>
      <c r="J122" s="5">
        <f t="shared" si="10"/>
        <v>4.4399999999999995</v>
      </c>
      <c r="K122">
        <f t="shared" si="11"/>
        <v>1.7556249999999982</v>
      </c>
    </row>
    <row r="123" spans="3:22" x14ac:dyDescent="0.25">
      <c r="C123" s="5">
        <v>121</v>
      </c>
      <c r="D123" s="5" t="s">
        <v>20</v>
      </c>
      <c r="E123" s="5">
        <v>1123.68</v>
      </c>
      <c r="F123" s="5">
        <v>1126.74</v>
      </c>
      <c r="G123" s="5">
        <f t="shared" si="9"/>
        <v>52.941176470589177</v>
      </c>
      <c r="H123" s="5">
        <v>1.48</v>
      </c>
      <c r="I123" s="5">
        <v>1.48</v>
      </c>
      <c r="J123" s="5">
        <f t="shared" si="10"/>
        <v>1.48</v>
      </c>
      <c r="K123">
        <f t="shared" si="11"/>
        <v>2.6732250000000009</v>
      </c>
    </row>
    <row r="124" spans="3:22" x14ac:dyDescent="0.25">
      <c r="C124" s="5">
        <v>122</v>
      </c>
      <c r="D124" s="5" t="s">
        <v>20</v>
      </c>
      <c r="E124" s="5">
        <v>1123.96</v>
      </c>
      <c r="F124" s="5">
        <v>1127.6400000000001</v>
      </c>
      <c r="G124" s="5">
        <f t="shared" si="9"/>
        <v>44.021739130434021</v>
      </c>
      <c r="H124" s="5">
        <v>1.35</v>
      </c>
      <c r="I124" s="5">
        <v>1.35</v>
      </c>
      <c r="J124" s="5">
        <f t="shared" si="10"/>
        <v>1.35</v>
      </c>
      <c r="K124">
        <f t="shared" si="11"/>
        <v>3.1152250000000006</v>
      </c>
    </row>
    <row r="125" spans="3:22" x14ac:dyDescent="0.25">
      <c r="C125" s="5">
        <v>123</v>
      </c>
      <c r="D125" s="5" t="s">
        <v>20</v>
      </c>
      <c r="E125" s="5">
        <v>1125.76</v>
      </c>
      <c r="F125" s="5">
        <v>1129.02</v>
      </c>
      <c r="G125" s="5">
        <f t="shared" si="9"/>
        <v>49.693251533742469</v>
      </c>
      <c r="H125" s="5">
        <v>2.29</v>
      </c>
      <c r="I125" s="5">
        <v>2.29</v>
      </c>
      <c r="J125" s="5">
        <f t="shared" si="10"/>
        <v>2.29</v>
      </c>
      <c r="K125">
        <f t="shared" si="11"/>
        <v>0.68062500000000026</v>
      </c>
      <c r="R125">
        <f>SUM(U3:U116)/114</f>
        <v>1.8502192982456136</v>
      </c>
    </row>
    <row r="126" spans="3:22" x14ac:dyDescent="0.25">
      <c r="C126" s="5">
        <v>124</v>
      </c>
      <c r="D126" s="5" t="s">
        <v>20</v>
      </c>
      <c r="E126" s="5">
        <v>1127.8800000000001</v>
      </c>
      <c r="F126" s="5">
        <v>1131.68</v>
      </c>
      <c r="G126" s="5">
        <f t="shared" si="9"/>
        <v>42.631578947368929</v>
      </c>
      <c r="H126" s="5">
        <v>1.41</v>
      </c>
      <c r="I126" s="5">
        <v>1.41</v>
      </c>
      <c r="J126" s="5">
        <f t="shared" si="10"/>
        <v>1.41</v>
      </c>
      <c r="K126">
        <f t="shared" si="11"/>
        <v>2.9070250000000009</v>
      </c>
      <c r="M126">
        <f>SUM(J3:J155)/153</f>
        <v>3.1159150326797391</v>
      </c>
    </row>
    <row r="127" spans="3:22" x14ac:dyDescent="0.25">
      <c r="C127" s="5">
        <v>125</v>
      </c>
      <c r="D127" s="5" t="s">
        <v>20</v>
      </c>
      <c r="E127" s="5">
        <v>1128.44</v>
      </c>
      <c r="F127" s="5">
        <v>1132.44</v>
      </c>
      <c r="G127" s="5">
        <f t="shared" si="9"/>
        <v>40.5</v>
      </c>
      <c r="H127" s="5">
        <v>2.15</v>
      </c>
      <c r="I127" s="5">
        <v>2.15</v>
      </c>
      <c r="J127" s="5">
        <f t="shared" si="10"/>
        <v>2.15</v>
      </c>
      <c r="K127">
        <f t="shared" si="11"/>
        <v>0.93122500000000064</v>
      </c>
    </row>
    <row r="128" spans="3:22" x14ac:dyDescent="0.25">
      <c r="C128" s="5">
        <v>126</v>
      </c>
      <c r="D128" s="5" t="s">
        <v>20</v>
      </c>
      <c r="E128" s="5">
        <v>1137.24</v>
      </c>
      <c r="F128" s="5">
        <v>1141.5999999999999</v>
      </c>
      <c r="G128" s="5">
        <f t="shared" si="9"/>
        <v>37.15596330275315</v>
      </c>
      <c r="H128" s="5">
        <v>1.01</v>
      </c>
      <c r="I128" s="5">
        <v>1.01</v>
      </c>
      <c r="J128" s="5">
        <f t="shared" si="10"/>
        <v>1.01</v>
      </c>
      <c r="K128">
        <f t="shared" si="11"/>
        <v>4.4310250000000018</v>
      </c>
      <c r="R128">
        <f>((SUM(V3:V116))/114)^0.5</f>
        <v>0.80274897760920993</v>
      </c>
    </row>
    <row r="129" spans="3:13" x14ac:dyDescent="0.25">
      <c r="C129" s="5">
        <v>127</v>
      </c>
      <c r="D129" s="5" t="s">
        <v>20</v>
      </c>
      <c r="E129" s="5">
        <v>1137.68</v>
      </c>
      <c r="F129" s="5">
        <v>1141.9000000000001</v>
      </c>
      <c r="G129" s="5">
        <f t="shared" si="9"/>
        <v>38.388625592416815</v>
      </c>
      <c r="H129" s="5">
        <v>2.84</v>
      </c>
      <c r="I129" s="5">
        <v>2.84</v>
      </c>
      <c r="J129" s="5">
        <f t="shared" si="10"/>
        <v>2.84</v>
      </c>
      <c r="K129">
        <f t="shared" si="11"/>
        <v>7.5625000000000192E-2</v>
      </c>
      <c r="M129">
        <f>((SUM(K3:K155))/153)^0.5</f>
        <v>1.1125644579990024</v>
      </c>
    </row>
    <row r="130" spans="3:13" x14ac:dyDescent="0.25">
      <c r="C130" s="5">
        <v>128</v>
      </c>
      <c r="D130" s="5" t="s">
        <v>20</v>
      </c>
      <c r="E130" s="5">
        <v>1138.96</v>
      </c>
      <c r="F130" s="5">
        <v>1142.68</v>
      </c>
      <c r="G130" s="5">
        <f t="shared" si="9"/>
        <v>43.54838709677388</v>
      </c>
      <c r="H130" s="5">
        <v>1.58</v>
      </c>
      <c r="I130" s="5">
        <v>1.58</v>
      </c>
      <c r="J130" s="5">
        <f t="shared" si="10"/>
        <v>1.58</v>
      </c>
      <c r="K130">
        <f t="shared" si="11"/>
        <v>2.3562250000000002</v>
      </c>
    </row>
    <row r="131" spans="3:13" x14ac:dyDescent="0.25">
      <c r="C131" s="5">
        <v>129</v>
      </c>
      <c r="D131" s="5" t="s">
        <v>20</v>
      </c>
      <c r="E131" s="5">
        <v>1142.76</v>
      </c>
      <c r="F131" s="5">
        <v>1145.76</v>
      </c>
      <c r="G131" s="5">
        <f t="shared" si="9"/>
        <v>54</v>
      </c>
      <c r="H131" s="5">
        <v>2.92</v>
      </c>
      <c r="I131" s="5">
        <v>2.92</v>
      </c>
      <c r="J131" s="5">
        <f t="shared" si="10"/>
        <v>2.92</v>
      </c>
      <c r="K131">
        <f t="shared" si="11"/>
        <v>3.8025000000000114E-2</v>
      </c>
    </row>
    <row r="132" spans="3:13" x14ac:dyDescent="0.25">
      <c r="C132" s="5">
        <v>130</v>
      </c>
      <c r="D132" s="5" t="s">
        <v>20</v>
      </c>
      <c r="E132" s="5">
        <v>1144</v>
      </c>
      <c r="F132" s="5">
        <v>1148.56</v>
      </c>
      <c r="G132" s="5">
        <f t="shared" ref="G132:G155" si="17">$A$3/(F132-E132)*3.6</f>
        <v>35.526315789474111</v>
      </c>
      <c r="H132" s="5">
        <v>1.6</v>
      </c>
      <c r="I132" s="5">
        <v>1.6</v>
      </c>
      <c r="J132" s="5">
        <f t="shared" ref="J132:J155" si="18">(H132+I132)/2</f>
        <v>1.6</v>
      </c>
      <c r="K132">
        <f t="shared" ref="K132:K155" si="19">(J132-3.115)^2</f>
        <v>2.2952250000000003</v>
      </c>
    </row>
    <row r="133" spans="3:13" x14ac:dyDescent="0.25">
      <c r="C133" s="5">
        <v>131</v>
      </c>
      <c r="D133" s="5" t="s">
        <v>20</v>
      </c>
      <c r="E133" s="5">
        <v>1144.48</v>
      </c>
      <c r="F133" s="5">
        <v>1147.6400000000001</v>
      </c>
      <c r="G133" s="5">
        <f t="shared" si="17"/>
        <v>51.265822784808805</v>
      </c>
      <c r="H133" s="5">
        <v>2.69</v>
      </c>
      <c r="I133" s="5">
        <v>2.69</v>
      </c>
      <c r="J133" s="5">
        <f t="shared" si="18"/>
        <v>2.69</v>
      </c>
      <c r="K133">
        <f t="shared" si="19"/>
        <v>0.18062500000000023</v>
      </c>
    </row>
    <row r="134" spans="3:13" x14ac:dyDescent="0.25">
      <c r="C134" s="5">
        <v>132</v>
      </c>
      <c r="D134" s="5" t="s">
        <v>24</v>
      </c>
      <c r="E134" s="5">
        <v>1154.32</v>
      </c>
      <c r="F134" s="5">
        <v>1163.68</v>
      </c>
      <c r="G134" s="5">
        <f t="shared" si="17"/>
        <v>17.307692307692076</v>
      </c>
      <c r="H134" s="5">
        <v>0.44</v>
      </c>
      <c r="I134" s="5">
        <v>0.44</v>
      </c>
      <c r="J134" s="5">
        <f t="shared" si="18"/>
        <v>0.44</v>
      </c>
      <c r="K134">
        <f t="shared" si="19"/>
        <v>7.1556250000000015</v>
      </c>
    </row>
    <row r="135" spans="3:13" x14ac:dyDescent="0.25">
      <c r="C135" s="5">
        <v>133</v>
      </c>
      <c r="D135" s="5" t="s">
        <v>19</v>
      </c>
      <c r="E135" s="5">
        <v>1159.8800000000001</v>
      </c>
      <c r="F135" s="5">
        <v>1163.2</v>
      </c>
      <c r="G135" s="5">
        <f t="shared" si="17"/>
        <v>48.795180722892503</v>
      </c>
      <c r="H135" s="5">
        <v>2.8</v>
      </c>
      <c r="I135" s="5">
        <v>4.3</v>
      </c>
      <c r="J135" s="5">
        <f t="shared" si="18"/>
        <v>3.55</v>
      </c>
      <c r="K135">
        <f t="shared" si="19"/>
        <v>0.18922499999999967</v>
      </c>
    </row>
    <row r="136" spans="3:13" x14ac:dyDescent="0.25">
      <c r="C136" s="5">
        <v>134</v>
      </c>
      <c r="D136" s="5" t="s">
        <v>20</v>
      </c>
      <c r="E136" s="5">
        <v>1162.2</v>
      </c>
      <c r="F136" s="5">
        <v>1165.3</v>
      </c>
      <c r="G136" s="5">
        <f t="shared" si="17"/>
        <v>52.258064516130567</v>
      </c>
      <c r="H136" s="5">
        <v>2.6</v>
      </c>
      <c r="I136" s="5">
        <v>2.6</v>
      </c>
      <c r="J136" s="5">
        <f t="shared" si="18"/>
        <v>2.6</v>
      </c>
      <c r="K136">
        <f t="shared" si="19"/>
        <v>0.26522500000000016</v>
      </c>
    </row>
    <row r="137" spans="3:13" x14ac:dyDescent="0.25">
      <c r="C137" s="5">
        <v>135</v>
      </c>
      <c r="D137" s="5" t="s">
        <v>19</v>
      </c>
      <c r="E137" s="5">
        <v>1162.44</v>
      </c>
      <c r="F137" s="5">
        <v>1166.8800000000001</v>
      </c>
      <c r="G137" s="5">
        <f t="shared" si="17"/>
        <v>36.486486486486037</v>
      </c>
      <c r="H137" s="5">
        <v>2.88</v>
      </c>
      <c r="I137" s="5">
        <v>4.4800000000000004</v>
      </c>
      <c r="J137" s="5">
        <f t="shared" si="18"/>
        <v>3.68</v>
      </c>
      <c r="K137">
        <f t="shared" si="19"/>
        <v>0.31922499999999993</v>
      </c>
    </row>
    <row r="138" spans="3:13" x14ac:dyDescent="0.25">
      <c r="C138" s="5">
        <v>136</v>
      </c>
      <c r="D138" s="5" t="s">
        <v>19</v>
      </c>
      <c r="E138" s="5">
        <v>1163.76</v>
      </c>
      <c r="F138" s="5">
        <v>1167.8399999999999</v>
      </c>
      <c r="G138" s="5">
        <f t="shared" si="17"/>
        <v>39.705882352941885</v>
      </c>
      <c r="H138" s="5">
        <v>3.82</v>
      </c>
      <c r="I138" s="5">
        <v>5.29</v>
      </c>
      <c r="J138" s="5">
        <f t="shared" si="18"/>
        <v>4.5549999999999997</v>
      </c>
      <c r="K138">
        <f t="shared" si="19"/>
        <v>2.0735999999999986</v>
      </c>
    </row>
    <row r="139" spans="3:13" x14ac:dyDescent="0.25">
      <c r="C139" s="5">
        <v>137</v>
      </c>
      <c r="D139" s="5" t="s">
        <v>20</v>
      </c>
      <c r="E139" s="5">
        <v>1164.1199999999999</v>
      </c>
      <c r="F139" s="5">
        <v>1168.32</v>
      </c>
      <c r="G139" s="5">
        <f t="shared" si="17"/>
        <v>38.571428571428157</v>
      </c>
      <c r="H139" s="5">
        <v>2.5499999999999998</v>
      </c>
      <c r="I139" s="5">
        <v>2.5499999999999998</v>
      </c>
      <c r="J139" s="5">
        <f t="shared" si="18"/>
        <v>2.5499999999999998</v>
      </c>
      <c r="K139">
        <f t="shared" si="19"/>
        <v>0.31922500000000043</v>
      </c>
    </row>
    <row r="140" spans="3:13" x14ac:dyDescent="0.25">
      <c r="C140" s="5">
        <v>138</v>
      </c>
      <c r="D140" s="5" t="s">
        <v>19</v>
      </c>
      <c r="E140" s="5">
        <v>1165.02</v>
      </c>
      <c r="F140" s="5">
        <v>1169.08</v>
      </c>
      <c r="G140" s="5">
        <f t="shared" si="17"/>
        <v>39.901477832512853</v>
      </c>
      <c r="H140" s="5">
        <v>3.72</v>
      </c>
      <c r="I140" s="5">
        <v>5.15</v>
      </c>
      <c r="J140" s="5">
        <f t="shared" si="18"/>
        <v>4.4350000000000005</v>
      </c>
      <c r="K140">
        <f t="shared" si="19"/>
        <v>1.7424000000000008</v>
      </c>
    </row>
    <row r="141" spans="3:13" x14ac:dyDescent="0.25">
      <c r="C141" s="5">
        <v>139</v>
      </c>
      <c r="D141" s="5" t="s">
        <v>20</v>
      </c>
      <c r="E141" s="5">
        <v>1166.8399999999999</v>
      </c>
      <c r="F141" s="5">
        <v>1170.24</v>
      </c>
      <c r="G141" s="5">
        <f t="shared" si="17"/>
        <v>47.647058823528134</v>
      </c>
      <c r="H141" s="5">
        <v>3.24</v>
      </c>
      <c r="I141" s="5">
        <v>3.24</v>
      </c>
      <c r="J141" s="5">
        <f t="shared" si="18"/>
        <v>3.24</v>
      </c>
      <c r="K141">
        <f t="shared" si="19"/>
        <v>1.5625E-2</v>
      </c>
    </row>
    <row r="142" spans="3:13" x14ac:dyDescent="0.25">
      <c r="C142" s="5">
        <v>140</v>
      </c>
      <c r="D142" s="5" t="s">
        <v>20</v>
      </c>
      <c r="E142" s="5">
        <v>1166.8599999999999</v>
      </c>
      <c r="F142" s="5">
        <v>1172.28</v>
      </c>
      <c r="G142" s="5">
        <f t="shared" si="17"/>
        <v>29.889298892988531</v>
      </c>
      <c r="H142" s="5">
        <v>6.1</v>
      </c>
      <c r="I142" s="5">
        <v>6.1</v>
      </c>
      <c r="J142" s="5">
        <f t="shared" si="18"/>
        <v>6.1</v>
      </c>
      <c r="K142">
        <f t="shared" si="19"/>
        <v>8.910224999999997</v>
      </c>
    </row>
    <row r="143" spans="3:13" x14ac:dyDescent="0.25">
      <c r="C143" s="5">
        <v>141</v>
      </c>
      <c r="D143" s="5" t="s">
        <v>20</v>
      </c>
      <c r="E143" s="5">
        <v>1169.68</v>
      </c>
      <c r="F143" s="5">
        <v>1173.48</v>
      </c>
      <c r="G143" s="5">
        <f t="shared" si="17"/>
        <v>42.631578947368929</v>
      </c>
      <c r="H143" s="5">
        <v>2.7</v>
      </c>
      <c r="I143" s="5">
        <v>2.7</v>
      </c>
      <c r="J143" s="5">
        <f t="shared" si="18"/>
        <v>2.7</v>
      </c>
      <c r="K143">
        <f t="shared" si="19"/>
        <v>0.17222500000000002</v>
      </c>
    </row>
    <row r="144" spans="3:13" x14ac:dyDescent="0.25">
      <c r="C144" s="5">
        <v>142</v>
      </c>
      <c r="D144" s="5" t="s">
        <v>20</v>
      </c>
      <c r="E144" s="5">
        <v>1175.44</v>
      </c>
      <c r="F144" s="5">
        <v>1177.74</v>
      </c>
      <c r="G144" s="5">
        <f t="shared" si="17"/>
        <v>70.434782608697049</v>
      </c>
      <c r="H144" s="5">
        <v>3.4</v>
      </c>
      <c r="I144" s="5">
        <v>3.4</v>
      </c>
      <c r="J144" s="5">
        <f t="shared" si="18"/>
        <v>3.4</v>
      </c>
      <c r="K144">
        <f t="shared" si="19"/>
        <v>8.1224999999999825E-2</v>
      </c>
    </row>
    <row r="145" spans="3:11" x14ac:dyDescent="0.25">
      <c r="C145" s="5">
        <v>143</v>
      </c>
      <c r="D145" s="5" t="s">
        <v>20</v>
      </c>
      <c r="E145" s="5">
        <v>1182.44</v>
      </c>
      <c r="F145" s="5">
        <v>1186.04</v>
      </c>
      <c r="G145" s="5">
        <f t="shared" si="17"/>
        <v>45.000000000001137</v>
      </c>
      <c r="H145" s="5">
        <v>3.12</v>
      </c>
      <c r="I145" s="5">
        <v>3.12</v>
      </c>
      <c r="J145" s="5">
        <f t="shared" si="18"/>
        <v>3.12</v>
      </c>
      <c r="K145">
        <f t="shared" si="19"/>
        <v>2.4999999999998934E-5</v>
      </c>
    </row>
    <row r="146" spans="3:11" x14ac:dyDescent="0.25">
      <c r="C146" s="5">
        <v>144</v>
      </c>
      <c r="D146" s="5" t="s">
        <v>20</v>
      </c>
      <c r="E146" s="5">
        <v>1184.1199999999999</v>
      </c>
      <c r="F146" s="5">
        <v>1188.08</v>
      </c>
      <c r="G146" s="5">
        <f t="shared" si="17"/>
        <v>40.90909090909053</v>
      </c>
      <c r="H146" s="5">
        <v>3.68</v>
      </c>
      <c r="I146" s="5">
        <v>3.68</v>
      </c>
      <c r="J146" s="5">
        <f t="shared" si="18"/>
        <v>3.68</v>
      </c>
      <c r="K146">
        <f t="shared" si="19"/>
        <v>0.31922499999999993</v>
      </c>
    </row>
    <row r="147" spans="3:11" x14ac:dyDescent="0.25">
      <c r="C147" s="5">
        <v>145</v>
      </c>
      <c r="D147" s="5" t="s">
        <v>41</v>
      </c>
      <c r="E147" s="5">
        <v>1184.44</v>
      </c>
      <c r="F147" s="5">
        <v>1199.68</v>
      </c>
      <c r="G147" s="5">
        <f t="shared" si="17"/>
        <v>10.629921259842513</v>
      </c>
      <c r="H147" s="5">
        <v>1.06</v>
      </c>
      <c r="I147" s="5">
        <v>1.06</v>
      </c>
      <c r="J147" s="5">
        <f t="shared" si="18"/>
        <v>1.06</v>
      </c>
      <c r="K147">
        <f t="shared" si="19"/>
        <v>4.2230250000000007</v>
      </c>
    </row>
    <row r="148" spans="3:11" x14ac:dyDescent="0.25">
      <c r="C148" s="5">
        <v>146</v>
      </c>
      <c r="D148" s="5" t="s">
        <v>20</v>
      </c>
      <c r="E148" s="5">
        <v>1188.04</v>
      </c>
      <c r="F148" s="5">
        <v>1190.8399999999999</v>
      </c>
      <c r="G148" s="5">
        <f t="shared" si="17"/>
        <v>57.857142857143799</v>
      </c>
      <c r="H148" s="5">
        <v>3.7</v>
      </c>
      <c r="I148" s="5">
        <v>3.7</v>
      </c>
      <c r="J148" s="5">
        <f t="shared" si="18"/>
        <v>3.7</v>
      </c>
      <c r="K148">
        <f t="shared" si="19"/>
        <v>0.34222499999999995</v>
      </c>
    </row>
    <row r="149" spans="3:11" x14ac:dyDescent="0.25">
      <c r="C149" s="5">
        <v>147</v>
      </c>
      <c r="D149" s="5" t="s">
        <v>19</v>
      </c>
      <c r="E149" s="5">
        <v>1189.44</v>
      </c>
      <c r="F149" s="5">
        <v>1192.8</v>
      </c>
      <c r="G149" s="5">
        <f t="shared" si="17"/>
        <v>48.214285714287151</v>
      </c>
      <c r="H149" s="5">
        <v>3.3</v>
      </c>
      <c r="I149" s="5">
        <v>4.74</v>
      </c>
      <c r="J149" s="5">
        <f t="shared" si="18"/>
        <v>4.0199999999999996</v>
      </c>
      <c r="K149">
        <f t="shared" si="19"/>
        <v>0.81902499999999889</v>
      </c>
    </row>
    <row r="150" spans="3:11" x14ac:dyDescent="0.25">
      <c r="C150" s="5">
        <v>148</v>
      </c>
      <c r="D150" s="5" t="s">
        <v>19</v>
      </c>
      <c r="E150" s="5">
        <v>1191.08</v>
      </c>
      <c r="F150" s="5">
        <v>1194.08</v>
      </c>
      <c r="G150" s="5">
        <f t="shared" si="17"/>
        <v>54</v>
      </c>
      <c r="H150" s="5">
        <v>3.11</v>
      </c>
      <c r="I150" s="5">
        <v>4.46</v>
      </c>
      <c r="J150" s="5">
        <f t="shared" si="18"/>
        <v>3.7850000000000001</v>
      </c>
      <c r="K150">
        <f t="shared" si="19"/>
        <v>0.44889999999999991</v>
      </c>
    </row>
    <row r="151" spans="3:11" x14ac:dyDescent="0.25">
      <c r="C151" s="5">
        <v>149</v>
      </c>
      <c r="D151" s="5" t="s">
        <v>20</v>
      </c>
      <c r="E151" s="5">
        <v>1194.5999999999999</v>
      </c>
      <c r="F151" s="5">
        <v>1198</v>
      </c>
      <c r="G151" s="5">
        <f t="shared" si="17"/>
        <v>47.647058823528134</v>
      </c>
      <c r="H151" s="5">
        <v>3.13</v>
      </c>
      <c r="I151" s="5">
        <v>3.13</v>
      </c>
      <c r="J151" s="5">
        <f t="shared" si="18"/>
        <v>3.13</v>
      </c>
      <c r="K151">
        <f t="shared" si="19"/>
        <v>2.249999999999904E-4</v>
      </c>
    </row>
    <row r="152" spans="3:11" x14ac:dyDescent="0.25">
      <c r="C152" s="5">
        <v>150</v>
      </c>
      <c r="D152" s="5" t="s">
        <v>19</v>
      </c>
      <c r="E152" s="5">
        <v>1195.5999999999999</v>
      </c>
      <c r="F152" s="5">
        <v>1199.1199999999999</v>
      </c>
      <c r="G152" s="5">
        <f t="shared" si="17"/>
        <v>46.022727272727515</v>
      </c>
      <c r="H152" s="5">
        <v>2.94</v>
      </c>
      <c r="I152" s="5">
        <v>4.4000000000000004</v>
      </c>
      <c r="J152" s="5">
        <f t="shared" si="18"/>
        <v>3.67</v>
      </c>
      <c r="K152">
        <f t="shared" si="19"/>
        <v>0.30802499999999966</v>
      </c>
    </row>
    <row r="153" spans="3:11" x14ac:dyDescent="0.25">
      <c r="C153" s="5">
        <v>151</v>
      </c>
      <c r="D153" s="5" t="s">
        <v>20</v>
      </c>
      <c r="E153" s="5">
        <v>1196.92</v>
      </c>
      <c r="F153" s="5">
        <v>1200.56</v>
      </c>
      <c r="G153" s="5">
        <f t="shared" si="17"/>
        <v>44.50549450549606</v>
      </c>
      <c r="H153" s="5">
        <v>2.74</v>
      </c>
      <c r="I153" s="5">
        <v>2.74</v>
      </c>
      <c r="J153" s="5">
        <f t="shared" si="18"/>
        <v>2.74</v>
      </c>
      <c r="K153">
        <f t="shared" si="19"/>
        <v>0.140625</v>
      </c>
    </row>
    <row r="154" spans="3:11" x14ac:dyDescent="0.25">
      <c r="C154" s="5">
        <v>152</v>
      </c>
      <c r="D154" s="5" t="s">
        <v>19</v>
      </c>
      <c r="E154" s="5">
        <v>1197.56</v>
      </c>
      <c r="F154" s="5">
        <v>1200.5999999999999</v>
      </c>
      <c r="G154" s="5">
        <f t="shared" si="17"/>
        <v>53.289473684211167</v>
      </c>
      <c r="H154" s="5">
        <v>4.0599999999999996</v>
      </c>
      <c r="I154" s="5">
        <v>5.52</v>
      </c>
      <c r="J154" s="5">
        <f t="shared" si="18"/>
        <v>4.7899999999999991</v>
      </c>
      <c r="K154">
        <f t="shared" si="19"/>
        <v>2.8056249999999965</v>
      </c>
    </row>
    <row r="155" spans="3:11" x14ac:dyDescent="0.25">
      <c r="C155" s="5">
        <v>153</v>
      </c>
      <c r="D155" s="5" t="s">
        <v>19</v>
      </c>
      <c r="E155" s="5">
        <v>1198.52</v>
      </c>
      <c r="F155" s="5">
        <v>1201.22</v>
      </c>
      <c r="G155" s="5">
        <f t="shared" si="17"/>
        <v>59.999999999998998</v>
      </c>
      <c r="H155" s="5">
        <v>4.17</v>
      </c>
      <c r="I155" s="5">
        <v>5.66</v>
      </c>
      <c r="J155" s="5">
        <f t="shared" si="18"/>
        <v>4.915</v>
      </c>
      <c r="K155">
        <f t="shared" si="19"/>
        <v>3.2399999999999993</v>
      </c>
    </row>
    <row r="158" spans="3:11" ht="15.75" thickBot="1" x14ac:dyDescent="0.3"/>
    <row r="159" spans="3:11" ht="15.75" x14ac:dyDescent="0.25">
      <c r="D159" s="12" t="s">
        <v>28</v>
      </c>
      <c r="E159" s="13" t="s">
        <v>29</v>
      </c>
      <c r="F159" s="13" t="s">
        <v>30</v>
      </c>
      <c r="G159" s="13" t="s">
        <v>31</v>
      </c>
      <c r="H159" s="13" t="s">
        <v>32</v>
      </c>
      <c r="I159" s="14" t="s">
        <v>33</v>
      </c>
    </row>
    <row r="160" spans="3:11" x14ac:dyDescent="0.25">
      <c r="D160" s="15" t="s">
        <v>20</v>
      </c>
      <c r="E160" s="2">
        <f>COUNTIF(D3:D155,"TW")/153</f>
        <v>0.39869281045751637</v>
      </c>
      <c r="F160" s="2">
        <v>0.25</v>
      </c>
      <c r="G160" s="2">
        <f>(F160*F160)</f>
        <v>6.25E-2</v>
      </c>
      <c r="H160" s="2">
        <f>E160*F160</f>
        <v>9.9673202614379092E-2</v>
      </c>
      <c r="I160" s="16">
        <f>E160*G160</f>
        <v>2.4918300653594773E-2</v>
      </c>
    </row>
    <row r="161" spans="4:9" x14ac:dyDescent="0.25">
      <c r="D161" s="15" t="s">
        <v>41</v>
      </c>
      <c r="E161" s="2">
        <f>COUNTIF(D3:D155,"Cycle Rikshaw")/153</f>
        <v>6.5359477124183009E-3</v>
      </c>
      <c r="F161" s="2">
        <v>2.1</v>
      </c>
      <c r="G161" s="2">
        <f t="shared" ref="G161:G166" si="20">(F161*F161)</f>
        <v>4.41</v>
      </c>
      <c r="H161" s="2">
        <f t="shared" ref="H161:H166" si="21">E161*F161</f>
        <v>1.3725490196078433E-2</v>
      </c>
      <c r="I161" s="16">
        <f t="shared" ref="I161:I166" si="22">E161*G161</f>
        <v>2.8823529411764706E-2</v>
      </c>
    </row>
    <row r="162" spans="4:9" x14ac:dyDescent="0.25">
      <c r="D162" s="15" t="s">
        <v>24</v>
      </c>
      <c r="E162" s="2">
        <f>COUNTIF(D3:D155,"Cycle")/153</f>
        <v>1.3071895424836602E-2</v>
      </c>
      <c r="F162" s="2">
        <v>0.4</v>
      </c>
      <c r="G162" s="2">
        <f t="shared" si="20"/>
        <v>0.16000000000000003</v>
      </c>
      <c r="H162" s="2">
        <f t="shared" si="21"/>
        <v>5.228758169934641E-3</v>
      </c>
      <c r="I162" s="16">
        <f t="shared" si="22"/>
        <v>2.0915032679738568E-3</v>
      </c>
    </row>
    <row r="163" spans="4:9" x14ac:dyDescent="0.25">
      <c r="D163" s="15" t="s">
        <v>19</v>
      </c>
      <c r="E163" s="2">
        <f>COUNTIF(D3:D155,"Car")/153</f>
        <v>0.5163398692810458</v>
      </c>
      <c r="F163" s="2">
        <v>1</v>
      </c>
      <c r="G163" s="2">
        <f t="shared" si="20"/>
        <v>1</v>
      </c>
      <c r="H163" s="2">
        <f t="shared" si="21"/>
        <v>0.5163398692810458</v>
      </c>
      <c r="I163" s="16">
        <f t="shared" si="22"/>
        <v>0.5163398692810458</v>
      </c>
    </row>
    <row r="164" spans="4:9" x14ac:dyDescent="0.25">
      <c r="D164" s="15" t="s">
        <v>18</v>
      </c>
      <c r="E164" s="2">
        <f>COUNTIF(D3:D155,"Auto")/153</f>
        <v>3.9215686274509803E-2</v>
      </c>
      <c r="F164" s="2">
        <v>1.2</v>
      </c>
      <c r="G164" s="2">
        <f t="shared" si="20"/>
        <v>1.44</v>
      </c>
      <c r="H164" s="2">
        <f t="shared" si="21"/>
        <v>4.7058823529411764E-2</v>
      </c>
      <c r="I164" s="16">
        <f t="shared" si="22"/>
        <v>5.6470588235294113E-2</v>
      </c>
    </row>
    <row r="165" spans="4:9" x14ac:dyDescent="0.25">
      <c r="D165" s="15" t="s">
        <v>22</v>
      </c>
      <c r="E165" s="2">
        <f>COUNTIF(D3:D155,"Bus")/153</f>
        <v>1.3071895424836602E-2</v>
      </c>
      <c r="F165" s="2">
        <v>4.5</v>
      </c>
      <c r="G165" s="2">
        <f t="shared" si="20"/>
        <v>20.25</v>
      </c>
      <c r="H165" s="2">
        <f t="shared" si="21"/>
        <v>5.8823529411764705E-2</v>
      </c>
      <c r="I165" s="16">
        <f t="shared" si="22"/>
        <v>0.26470588235294118</v>
      </c>
    </row>
    <row r="166" spans="4:9" x14ac:dyDescent="0.25">
      <c r="D166" s="15" t="s">
        <v>21</v>
      </c>
      <c r="E166" s="2">
        <f>COUNTIF(D3:D155,"TAT")/153</f>
        <v>1.3071895424836602E-2</v>
      </c>
      <c r="F166" s="2">
        <v>4.8</v>
      </c>
      <c r="G166" s="2">
        <f t="shared" si="20"/>
        <v>23.04</v>
      </c>
      <c r="H166" s="2">
        <f t="shared" si="21"/>
        <v>6.2745098039215685E-2</v>
      </c>
      <c r="I166" s="16">
        <f t="shared" si="22"/>
        <v>0.30117647058823527</v>
      </c>
    </row>
    <row r="167" spans="4:9" x14ac:dyDescent="0.25">
      <c r="D167" s="15"/>
      <c r="E167" s="2"/>
      <c r="F167" s="2"/>
      <c r="G167" s="11" t="s">
        <v>34</v>
      </c>
      <c r="H167" s="2">
        <f>SUM(H160:H166)</f>
        <v>0.8035947712418301</v>
      </c>
      <c r="I167" s="16">
        <f>SUM(I160:I166)</f>
        <v>1.1945261437908496</v>
      </c>
    </row>
    <row r="168" spans="4:9" x14ac:dyDescent="0.25">
      <c r="D168" s="15"/>
      <c r="E168" s="2"/>
      <c r="F168" s="2"/>
      <c r="G168" s="11" t="s">
        <v>37</v>
      </c>
      <c r="H168" s="2">
        <f>H167*H167</f>
        <v>0.6457645563672092</v>
      </c>
      <c r="I168" s="16"/>
    </row>
    <row r="169" spans="4:9" ht="19.5" thickBot="1" x14ac:dyDescent="0.35">
      <c r="D169" s="56" t="s">
        <v>35</v>
      </c>
      <c r="E169" s="57"/>
      <c r="F169" s="57"/>
      <c r="G169" s="57"/>
      <c r="H169" s="18">
        <f>(((I167-H168)^(1/2))/H167)*100</f>
        <v>92.183830346174247</v>
      </c>
      <c r="I169" s="17"/>
    </row>
    <row r="171" spans="4:9" ht="15.75" thickBot="1" x14ac:dyDescent="0.3"/>
    <row r="172" spans="4:9" ht="15.75" x14ac:dyDescent="0.25">
      <c r="D172" s="19" t="s">
        <v>38</v>
      </c>
      <c r="E172" s="20" t="s">
        <v>29</v>
      </c>
      <c r="F172" s="20" t="s">
        <v>30</v>
      </c>
      <c r="G172" s="20" t="s">
        <v>31</v>
      </c>
      <c r="H172" s="20" t="s">
        <v>32</v>
      </c>
      <c r="I172" s="21" t="s">
        <v>33</v>
      </c>
    </row>
    <row r="173" spans="4:9" x14ac:dyDescent="0.25">
      <c r="D173" s="15" t="s">
        <v>20</v>
      </c>
      <c r="E173" s="2">
        <f>COUNTIF(M3:M116,"TW")/114</f>
        <v>0.44736842105263158</v>
      </c>
      <c r="F173" s="2">
        <v>0.25</v>
      </c>
      <c r="G173" s="2">
        <f>(F173*F173)</f>
        <v>6.25E-2</v>
      </c>
      <c r="H173" s="2">
        <f>E173*F173</f>
        <v>0.1118421052631579</v>
      </c>
      <c r="I173" s="16">
        <f>E173*G173</f>
        <v>2.7960526315789474E-2</v>
      </c>
    </row>
    <row r="174" spans="4:9" x14ac:dyDescent="0.25">
      <c r="D174" s="15" t="s">
        <v>41</v>
      </c>
      <c r="E174" s="2">
        <f>COUNTIF(M3:M116,"Cycle Rikshaw")/114</f>
        <v>2.6315789473684209E-2</v>
      </c>
      <c r="F174" s="2">
        <v>2.1</v>
      </c>
      <c r="G174" s="2">
        <f>(F174*F174)</f>
        <v>4.41</v>
      </c>
      <c r="H174" s="2">
        <f t="shared" ref="H174:H179" si="23">E174*F174</f>
        <v>5.526315789473684E-2</v>
      </c>
      <c r="I174" s="16">
        <f t="shared" ref="I174:I179" si="24">E174*G174</f>
        <v>0.11605263157894737</v>
      </c>
    </row>
    <row r="175" spans="4:9" x14ac:dyDescent="0.25">
      <c r="D175" s="15" t="s">
        <v>24</v>
      </c>
      <c r="E175" s="2">
        <f>COUNTIF(M3:M116,"Cycle")/114</f>
        <v>8.771929824561403E-3</v>
      </c>
      <c r="F175" s="2">
        <v>0.4</v>
      </c>
      <c r="G175" s="2">
        <f t="shared" ref="G175:G179" si="25">(F175*F175)</f>
        <v>0.16000000000000003</v>
      </c>
      <c r="H175" s="2">
        <f t="shared" si="23"/>
        <v>3.5087719298245615E-3</v>
      </c>
      <c r="I175" s="16">
        <f t="shared" si="24"/>
        <v>1.4035087719298247E-3</v>
      </c>
    </row>
    <row r="176" spans="4:9" x14ac:dyDescent="0.25">
      <c r="D176" s="15" t="s">
        <v>19</v>
      </c>
      <c r="E176" s="2">
        <f>COUNTIF(M3:M116,"Car")/114</f>
        <v>0.42105263157894735</v>
      </c>
      <c r="F176" s="2">
        <v>1</v>
      </c>
      <c r="G176" s="2">
        <f t="shared" si="25"/>
        <v>1</v>
      </c>
      <c r="H176" s="2">
        <f t="shared" si="23"/>
        <v>0.42105263157894735</v>
      </c>
      <c r="I176" s="16">
        <f t="shared" si="24"/>
        <v>0.42105263157894735</v>
      </c>
    </row>
    <row r="177" spans="4:9" x14ac:dyDescent="0.25">
      <c r="D177" s="15" t="s">
        <v>18</v>
      </c>
      <c r="E177" s="2">
        <f>COUNTIF(M3:M116,"Auto")/114</f>
        <v>3.5087719298245612E-2</v>
      </c>
      <c r="F177" s="2">
        <v>1.2</v>
      </c>
      <c r="G177" s="2">
        <f t="shared" si="25"/>
        <v>1.44</v>
      </c>
      <c r="H177" s="2">
        <f t="shared" si="23"/>
        <v>4.2105263157894736E-2</v>
      </c>
      <c r="I177" s="16">
        <f t="shared" si="24"/>
        <v>5.0526315789473676E-2</v>
      </c>
    </row>
    <row r="178" spans="4:9" x14ac:dyDescent="0.25">
      <c r="D178" s="15" t="s">
        <v>22</v>
      </c>
      <c r="E178" s="2">
        <f>COUNTIF(M3:M116,"Bus")/114</f>
        <v>3.5087719298245612E-2</v>
      </c>
      <c r="F178" s="2">
        <v>4.5</v>
      </c>
      <c r="G178" s="2">
        <f t="shared" si="25"/>
        <v>20.25</v>
      </c>
      <c r="H178" s="2">
        <f t="shared" si="23"/>
        <v>0.15789473684210525</v>
      </c>
      <c r="I178" s="16">
        <f t="shared" si="24"/>
        <v>0.71052631578947367</v>
      </c>
    </row>
    <row r="179" spans="4:9" x14ac:dyDescent="0.25">
      <c r="D179" s="15" t="s">
        <v>21</v>
      </c>
      <c r="E179" s="2">
        <f>COUNTIF(M3:M116,"TAT")/114</f>
        <v>2.6315789473684209E-2</v>
      </c>
      <c r="F179" s="2">
        <v>4.8</v>
      </c>
      <c r="G179" s="2">
        <f t="shared" si="25"/>
        <v>23.04</v>
      </c>
      <c r="H179" s="2">
        <f t="shared" si="23"/>
        <v>0.12631578947368419</v>
      </c>
      <c r="I179" s="16">
        <f t="shared" si="24"/>
        <v>0.60631578947368414</v>
      </c>
    </row>
    <row r="180" spans="4:9" x14ac:dyDescent="0.25">
      <c r="D180" s="15"/>
      <c r="E180" s="2"/>
      <c r="F180" s="2"/>
      <c r="G180" s="11" t="s">
        <v>34</v>
      </c>
      <c r="H180" s="2">
        <f>SUM(H173:H179)</f>
        <v>0.9179824561403509</v>
      </c>
      <c r="I180" s="16">
        <f>SUM(I173:I179)</f>
        <v>1.9338377192982454</v>
      </c>
    </row>
    <row r="181" spans="4:9" x14ac:dyDescent="0.25">
      <c r="D181" s="15"/>
      <c r="E181" s="2"/>
      <c r="F181" s="2"/>
      <c r="G181" s="11" t="s">
        <v>37</v>
      </c>
      <c r="H181" s="2">
        <f>H180*H180</f>
        <v>0.8426917897814713</v>
      </c>
      <c r="I181" s="16"/>
    </row>
    <row r="182" spans="4:9" ht="19.5" thickBot="1" x14ac:dyDescent="0.35">
      <c r="D182" s="56" t="s">
        <v>43</v>
      </c>
      <c r="E182" s="57"/>
      <c r="F182" s="57"/>
      <c r="G182" s="57"/>
      <c r="H182" s="18">
        <f>(((I180-H181)^(1/2))/H180)*100</f>
        <v>113.79077023157042</v>
      </c>
      <c r="I182" s="17"/>
    </row>
  </sheetData>
  <mergeCells count="4">
    <mergeCell ref="D182:G182"/>
    <mergeCell ref="D1:I1"/>
    <mergeCell ref="M1:S1"/>
    <mergeCell ref="D169:G169"/>
  </mergeCells>
  <conditionalFormatting sqref="A172:D182">
    <cfRule type="containsText" dxfId="117" priority="12" operator="containsText" text="TAT">
      <formula>NOT(ISERROR(SEARCH("TAT",A172)))</formula>
    </cfRule>
    <cfRule type="containsText" dxfId="116" priority="14" operator="containsText" text="Bus">
      <formula>NOT(ISERROR(SEARCH("Bus",A172)))</formula>
    </cfRule>
  </conditionalFormatting>
  <conditionalFormatting sqref="A159:C169 J159:XFD169 A170:XFD171 A172:C182 J172:XFD182 A183:XFD1048576 A1:XFD158">
    <cfRule type="containsText" dxfId="115" priority="32" operator="containsText" text="Auto">
      <formula>NOT(ISERROR(SEARCH("Auto",A1)))</formula>
    </cfRule>
    <cfRule type="containsText" dxfId="114" priority="33" operator="containsText" text="Cycle">
      <formula>NOT(ISERROR(SEARCH("Cycle",A1)))</formula>
    </cfRule>
    <cfRule type="containsText" dxfId="113" priority="34" operator="containsText" text="TW">
      <formula>NOT(ISERROR(SEARCH("TW",A1)))</formula>
    </cfRule>
    <cfRule type="containsText" dxfId="112" priority="35" operator="containsText" text="Car">
      <formula>NOT(ISERROR(SEARCH("Car",A1)))</formula>
    </cfRule>
  </conditionalFormatting>
  <conditionalFormatting sqref="A159:C169 J159:XFD169 A170:XFD171 J172:XFD182 A183:XFD1048576 A172:C182 A1:XFD158">
    <cfRule type="containsText" dxfId="111" priority="31" operator="containsText" text="LCV">
      <formula>NOT(ISERROR(SEARCH("LCV",A1)))</formula>
    </cfRule>
  </conditionalFormatting>
  <conditionalFormatting sqref="A159:C169 J159:XFD169 A170:XFD171 J172:XFD182 A183:XFD1048576 A1:XFD158">
    <cfRule type="containsText" dxfId="110" priority="29" operator="containsText" text="TAT">
      <formula>NOT(ISERROR(SEARCH("TAT",A1)))</formula>
    </cfRule>
    <cfRule type="containsText" dxfId="109" priority="30" operator="containsText" text="Bus">
      <formula>NOT(ISERROR(SEARCH("Bus",A1)))</formula>
    </cfRule>
  </conditionalFormatting>
  <conditionalFormatting sqref="A1:XFD1048576">
    <cfRule type="containsText" dxfId="108" priority="1" operator="containsText" text="Cycle Rikshaw">
      <formula>NOT(ISERROR(SEARCH("Cycle Rikshaw",A1)))</formula>
    </cfRule>
  </conditionalFormatting>
  <conditionalFormatting sqref="D172:D182">
    <cfRule type="containsText" dxfId="107" priority="13" operator="containsText" text="LCV">
      <formula>NOT(ISERROR(SEARCH("LCV",D172)))</formula>
    </cfRule>
    <cfRule type="containsText" dxfId="106" priority="15" operator="containsText" text="Cycle">
      <formula>NOT(ISERROR(SEARCH("Cycle",D172)))</formula>
    </cfRule>
    <cfRule type="containsText" dxfId="105" priority="16" operator="containsText" text="Auto">
      <formula>NOT(ISERROR(SEARCH("Auto",D172)))</formula>
    </cfRule>
    <cfRule type="containsText" dxfId="104" priority="17" operator="containsText" text="Car">
      <formula>NOT(ISERROR(SEARCH("Car",D172)))</formula>
    </cfRule>
    <cfRule type="containsText" dxfId="103" priority="18" operator="containsText" text="TW">
      <formula>NOT(ISERROR(SEARCH("TW",D172)))</formula>
    </cfRule>
  </conditionalFormatting>
  <conditionalFormatting sqref="D182 H182:I182">
    <cfRule type="containsText" dxfId="102" priority="4" operator="containsText" text="TAT">
      <formula>NOT(ISERROR(SEARCH("TAT",D182)))</formula>
    </cfRule>
  </conditionalFormatting>
  <conditionalFormatting sqref="D159:I159 D160:H165">
    <cfRule type="containsText" dxfId="101" priority="22" operator="containsText" text="LCV">
      <formula>NOT(ISERROR(SEARCH("LCV",D159)))</formula>
    </cfRule>
    <cfRule type="containsText" dxfId="100" priority="23" operator="containsText" text="TAT">
      <formula>NOT(ISERROR(SEARCH("TAT",D159)))</formula>
    </cfRule>
    <cfRule type="containsText" dxfId="99" priority="24" operator="containsText" text="Bus">
      <formula>NOT(ISERROR(SEARCH("Bus",D159)))</formula>
    </cfRule>
    <cfRule type="containsText" dxfId="98" priority="25" operator="containsText" text="Cycle">
      <formula>NOT(ISERROR(SEARCH("Cycle",D159)))</formula>
    </cfRule>
    <cfRule type="containsText" dxfId="97" priority="26" operator="containsText" text="Auto">
      <formula>NOT(ISERROR(SEARCH("Auto",D159)))</formula>
    </cfRule>
    <cfRule type="containsText" dxfId="96" priority="27" operator="containsText" text="TW">
      <formula>NOT(ISERROR(SEARCH("TW",D159)))</formula>
    </cfRule>
    <cfRule type="containsText" dxfId="95" priority="28" operator="containsText" text="Car">
      <formula>NOT(ISERROR(SEARCH("Car",D159)))</formula>
    </cfRule>
  </conditionalFormatting>
  <conditionalFormatting sqref="D159:I168 D169 H169:I169 D172:I181">
    <cfRule type="containsText" dxfId="94" priority="21" operator="containsText" text="TAT">
      <formula>NOT(ISERROR(SEARCH("TAT",D159)))</formula>
    </cfRule>
  </conditionalFormatting>
  <conditionalFormatting sqref="D172:I172 D173:H178">
    <cfRule type="containsText" dxfId="93" priority="5" operator="containsText" text="LCV">
      <formula>NOT(ISERROR(SEARCH("LCV",D172)))</formula>
    </cfRule>
    <cfRule type="containsText" dxfId="92" priority="6" operator="containsText" text="TAT">
      <formula>NOT(ISERROR(SEARCH("TAT",D172)))</formula>
    </cfRule>
    <cfRule type="containsText" dxfId="91" priority="7" operator="containsText" text="Bus">
      <formula>NOT(ISERROR(SEARCH("Bus",D172)))</formula>
    </cfRule>
    <cfRule type="containsText" dxfId="90" priority="8" operator="containsText" text="Cycle">
      <formula>NOT(ISERROR(SEARCH("Cycle",D172)))</formula>
    </cfRule>
    <cfRule type="containsText" dxfId="89" priority="9" operator="containsText" text="Auto">
      <formula>NOT(ISERROR(SEARCH("Auto",D172)))</formula>
    </cfRule>
    <cfRule type="containsText" dxfId="88" priority="10" operator="containsText" text="TW">
      <formula>NOT(ISERROR(SEARCH("TW",D172)))</formula>
    </cfRule>
    <cfRule type="containsText" dxfId="87" priority="11" operator="containsText" text="Car">
      <formula>NOT(ISERROR(SEARCH("Car",D172)))</formula>
    </cfRule>
  </conditionalFormatting>
  <conditionalFormatting sqref="D172:I182 D159:I169">
    <cfRule type="containsText" dxfId="86" priority="19" operator="containsText" text="Cycle Rikshaw">
      <formula>NOT(ISERROR(SEARCH("Cycle Rikshaw",D159)))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4C1D-BBED-479B-9BF4-75E8BCD1765F}">
  <dimension ref="A1:V199"/>
  <sheetViews>
    <sheetView topLeftCell="J126" zoomScale="85" zoomScaleNormal="85" workbookViewId="0">
      <selection activeCell="R140" sqref="R140"/>
    </sheetView>
  </sheetViews>
  <sheetFormatPr defaultRowHeight="15" x14ac:dyDescent="0.25"/>
  <cols>
    <col min="2" max="2" width="15.140625" customWidth="1"/>
    <col min="3" max="3" width="17.28515625" customWidth="1"/>
    <col min="4" max="4" width="16.5703125" customWidth="1"/>
    <col min="5" max="5" width="17.5703125" customWidth="1"/>
    <col min="6" max="6" width="14.7109375" customWidth="1"/>
    <col min="7" max="8" width="21.7109375" customWidth="1"/>
    <col min="9" max="9" width="21.85546875" bestFit="1" customWidth="1"/>
    <col min="12" max="12" width="14.28515625" customWidth="1"/>
    <col min="13" max="13" width="16.140625" customWidth="1"/>
    <col min="14" max="14" width="14.28515625" customWidth="1"/>
    <col min="15" max="15" width="17.7109375" customWidth="1"/>
    <col min="16" max="16" width="15.5703125" customWidth="1"/>
    <col min="17" max="18" width="21.85546875" customWidth="1"/>
    <col min="19" max="19" width="25" bestFit="1" customWidth="1"/>
    <col min="20" max="20" width="23" bestFit="1" customWidth="1"/>
  </cols>
  <sheetData>
    <row r="1" spans="1:22" ht="15.75" x14ac:dyDescent="0.3">
      <c r="C1" s="5"/>
      <c r="D1" s="54" t="s">
        <v>6</v>
      </c>
      <c r="E1" s="55"/>
      <c r="F1" s="55"/>
      <c r="G1" s="55"/>
      <c r="H1" s="55"/>
      <c r="I1" s="55"/>
      <c r="J1" s="5"/>
      <c r="L1" s="5"/>
      <c r="M1" s="54" t="s">
        <v>7</v>
      </c>
      <c r="N1" s="55"/>
      <c r="O1" s="55"/>
      <c r="P1" s="55"/>
      <c r="Q1" s="55"/>
      <c r="R1" s="55"/>
      <c r="S1" s="55"/>
      <c r="T1" s="5"/>
      <c r="U1" s="5"/>
    </row>
    <row r="2" spans="1:22" ht="31.5" x14ac:dyDescent="0.25">
      <c r="A2" t="s">
        <v>11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12</v>
      </c>
      <c r="J2" s="6" t="s">
        <v>17</v>
      </c>
      <c r="K2" s="1"/>
      <c r="L2" s="6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15</v>
      </c>
      <c r="R2" s="6" t="s">
        <v>12</v>
      </c>
      <c r="S2" s="6" t="s">
        <v>16</v>
      </c>
      <c r="T2" s="6" t="s">
        <v>13</v>
      </c>
      <c r="U2" s="6" t="s">
        <v>17</v>
      </c>
    </row>
    <row r="3" spans="1:22" x14ac:dyDescent="0.25">
      <c r="A3">
        <v>45</v>
      </c>
      <c r="C3" s="5">
        <v>1</v>
      </c>
      <c r="D3" s="5" t="s">
        <v>20</v>
      </c>
      <c r="E3" s="5">
        <v>1200.04</v>
      </c>
      <c r="F3" s="5">
        <v>1204.04</v>
      </c>
      <c r="G3" s="5">
        <f>$A$3/(F3-E3)*3.6</f>
        <v>40.5</v>
      </c>
      <c r="H3" s="5">
        <v>2.41</v>
      </c>
      <c r="I3" s="5">
        <f t="shared" ref="I3:I34" si="0">IF(D3="Car",H3+1.44,IF(D3="Bus",H3+2.43,IF(D3="Auto",H3+1.4,IF(D3="TAT", H3+2.1, IF(D3="TAT", H3+2.35,H3)))))</f>
        <v>2.41</v>
      </c>
      <c r="J3" s="5">
        <f>(H3+I3)/2</f>
        <v>2.41</v>
      </c>
      <c r="K3">
        <f>(J3-3.488)^2</f>
        <v>1.1620839999999997</v>
      </c>
      <c r="L3" s="5">
        <v>1</v>
      </c>
      <c r="M3" s="5" t="s">
        <v>20</v>
      </c>
      <c r="N3" s="5">
        <v>1204.04</v>
      </c>
      <c r="O3" s="5">
        <v>1208</v>
      </c>
      <c r="P3" s="5">
        <f>$A$3/(O3-N3)*3.6</f>
        <v>40.90909090909053</v>
      </c>
      <c r="Q3" s="5">
        <f t="shared" ref="Q3:Q34" si="1">IF(M3="Car", R3 + 1.44, IF(M3="Bus", R3+2.43,IF(M3="Auto", R3+1.4,IF(M3="TAT",R3+2.1,IF(M3="TAT", R3 + 2.35, R3)))))</f>
        <v>8.5</v>
      </c>
      <c r="R3" s="5">
        <v>8.5</v>
      </c>
      <c r="S3" s="5">
        <f>$A$5-Q3</f>
        <v>0.5</v>
      </c>
      <c r="T3" s="5">
        <f>$A$5-R3</f>
        <v>0.5</v>
      </c>
      <c r="U3" s="5">
        <f>(S3+T3)/2</f>
        <v>0.5</v>
      </c>
      <c r="V3">
        <f>(U3-1.3806)^2</f>
        <v>0.77545636000000007</v>
      </c>
    </row>
    <row r="4" spans="1:22" x14ac:dyDescent="0.25">
      <c r="A4" t="s">
        <v>14</v>
      </c>
      <c r="C4" s="5">
        <v>2</v>
      </c>
      <c r="D4" s="5" t="s">
        <v>19</v>
      </c>
      <c r="E4" s="5">
        <v>1200.04</v>
      </c>
      <c r="F4" s="5">
        <v>1203.2</v>
      </c>
      <c r="G4" s="5">
        <f t="shared" ref="G4:G67" si="2">$A$3/(F4-E4)*3.6</f>
        <v>51.265822784808805</v>
      </c>
      <c r="H4" s="5">
        <v>3.89</v>
      </c>
      <c r="I4" s="5">
        <f t="shared" si="0"/>
        <v>5.33</v>
      </c>
      <c r="J4" s="5">
        <f t="shared" ref="J4:J67" si="3">(H4+I4)/2</f>
        <v>4.6100000000000003</v>
      </c>
      <c r="K4">
        <f t="shared" ref="K4:K67" si="4">(J4-3.488)^2</f>
        <v>1.2588840000000008</v>
      </c>
      <c r="L4" s="5">
        <v>2</v>
      </c>
      <c r="M4" s="5" t="s">
        <v>20</v>
      </c>
      <c r="N4" s="5">
        <v>1206.48</v>
      </c>
      <c r="O4" s="5">
        <v>1210.44</v>
      </c>
      <c r="P4" s="5">
        <f t="shared" ref="P4:P67" si="5">$A$3/(O4-N4)*3.6</f>
        <v>40.90909090909053</v>
      </c>
      <c r="Q4" s="5">
        <f t="shared" si="1"/>
        <v>8.6</v>
      </c>
      <c r="R4" s="5">
        <v>8.6</v>
      </c>
      <c r="S4" s="5">
        <f t="shared" ref="S4:T19" si="6">$A$5-Q4</f>
        <v>0.40000000000000036</v>
      </c>
      <c r="T4" s="5">
        <f t="shared" si="6"/>
        <v>0.40000000000000036</v>
      </c>
      <c r="U4" s="5">
        <f t="shared" ref="U4:U67" si="7">(S4+T4)/2</f>
        <v>0.40000000000000036</v>
      </c>
      <c r="V4">
        <f t="shared" ref="V4:V67" si="8">(U4-1.3806)^2</f>
        <v>0.96157635999999935</v>
      </c>
    </row>
    <row r="5" spans="1:22" x14ac:dyDescent="0.25">
      <c r="A5">
        <v>9</v>
      </c>
      <c r="C5" s="5">
        <v>3</v>
      </c>
      <c r="D5" s="5" t="s">
        <v>19</v>
      </c>
      <c r="E5" s="5">
        <v>1200.8800000000001</v>
      </c>
      <c r="F5" s="5">
        <v>1204.04</v>
      </c>
      <c r="G5" s="5">
        <f t="shared" si="2"/>
        <v>51.265822784812485</v>
      </c>
      <c r="H5" s="5">
        <v>3.76</v>
      </c>
      <c r="I5" s="5">
        <f t="shared" si="0"/>
        <v>5.1999999999999993</v>
      </c>
      <c r="J5" s="7">
        <f t="shared" si="3"/>
        <v>4.4799999999999995</v>
      </c>
      <c r="K5">
        <f t="shared" si="4"/>
        <v>0.98406399999999905</v>
      </c>
      <c r="L5" s="5">
        <v>3</v>
      </c>
      <c r="M5" s="5" t="s">
        <v>20</v>
      </c>
      <c r="N5" s="5">
        <v>1210.96</v>
      </c>
      <c r="O5" s="5">
        <v>1214.6199999999999</v>
      </c>
      <c r="P5" s="5">
        <f t="shared" si="5"/>
        <v>44.262295081968972</v>
      </c>
      <c r="Q5" s="5">
        <f t="shared" si="1"/>
        <v>8.25</v>
      </c>
      <c r="R5" s="5">
        <v>8.25</v>
      </c>
      <c r="S5" s="5">
        <f t="shared" si="6"/>
        <v>0.75</v>
      </c>
      <c r="T5" s="5">
        <f t="shared" si="6"/>
        <v>0.75</v>
      </c>
      <c r="U5" s="5">
        <f t="shared" si="7"/>
        <v>0.75</v>
      </c>
      <c r="V5">
        <f t="shared" si="8"/>
        <v>0.39765636000000004</v>
      </c>
    </row>
    <row r="6" spans="1:22" x14ac:dyDescent="0.25">
      <c r="C6" s="5">
        <v>4</v>
      </c>
      <c r="D6" s="5" t="s">
        <v>19</v>
      </c>
      <c r="E6" s="5">
        <v>1202.44</v>
      </c>
      <c r="F6" s="5">
        <v>1205.08</v>
      </c>
      <c r="G6" s="5">
        <f t="shared" si="2"/>
        <v>61.363636363639323</v>
      </c>
      <c r="H6" s="5">
        <v>4.08</v>
      </c>
      <c r="I6" s="5">
        <f t="shared" si="0"/>
        <v>5.52</v>
      </c>
      <c r="J6" s="5">
        <f t="shared" si="3"/>
        <v>4.8</v>
      </c>
      <c r="K6">
        <f t="shared" si="4"/>
        <v>1.7213439999999995</v>
      </c>
      <c r="L6" s="5">
        <v>4</v>
      </c>
      <c r="M6" s="5" t="s">
        <v>19</v>
      </c>
      <c r="N6" s="5">
        <v>1214.6400000000001</v>
      </c>
      <c r="O6" s="5">
        <v>1217.72</v>
      </c>
      <c r="P6" s="5">
        <f t="shared" si="5"/>
        <v>52.597402597403843</v>
      </c>
      <c r="Q6" s="5">
        <f t="shared" si="1"/>
        <v>7.24</v>
      </c>
      <c r="R6" s="5">
        <v>5.8</v>
      </c>
      <c r="S6" s="5">
        <f t="shared" si="6"/>
        <v>1.7599999999999998</v>
      </c>
      <c r="T6" s="5">
        <f t="shared" si="6"/>
        <v>3.2</v>
      </c>
      <c r="U6" s="5">
        <f t="shared" si="7"/>
        <v>2.48</v>
      </c>
      <c r="V6">
        <f t="shared" si="8"/>
        <v>1.2086803599999998</v>
      </c>
    </row>
    <row r="7" spans="1:22" x14ac:dyDescent="0.25">
      <c r="C7" s="5">
        <v>5</v>
      </c>
      <c r="D7" s="5" t="s">
        <v>19</v>
      </c>
      <c r="E7" s="5">
        <v>1203.2</v>
      </c>
      <c r="F7" s="5">
        <v>1205.5999999999999</v>
      </c>
      <c r="G7" s="5">
        <f t="shared" si="2"/>
        <v>67.500000000003837</v>
      </c>
      <c r="H7" s="5">
        <v>3.22</v>
      </c>
      <c r="I7" s="5">
        <f t="shared" si="0"/>
        <v>4.66</v>
      </c>
      <c r="J7" s="5">
        <f t="shared" si="3"/>
        <v>3.9400000000000004</v>
      </c>
      <c r="K7">
        <f t="shared" si="4"/>
        <v>0.20430400000000037</v>
      </c>
      <c r="L7" s="5">
        <v>5</v>
      </c>
      <c r="M7" s="5" t="s">
        <v>20</v>
      </c>
      <c r="N7" s="5">
        <v>1215.5999999999999</v>
      </c>
      <c r="O7" s="5">
        <v>1218.76</v>
      </c>
      <c r="P7" s="5">
        <f t="shared" si="5"/>
        <v>51.265822784808805</v>
      </c>
      <c r="Q7" s="5">
        <f t="shared" si="1"/>
        <v>7.25</v>
      </c>
      <c r="R7" s="5">
        <v>7.25</v>
      </c>
      <c r="S7" s="5">
        <f t="shared" si="6"/>
        <v>1.75</v>
      </c>
      <c r="T7" s="5">
        <f t="shared" si="6"/>
        <v>1.75</v>
      </c>
      <c r="U7" s="5">
        <f t="shared" si="7"/>
        <v>1.75</v>
      </c>
      <c r="V7">
        <f t="shared" si="8"/>
        <v>0.13645635999999997</v>
      </c>
    </row>
    <row r="8" spans="1:22" x14ac:dyDescent="0.25">
      <c r="C8" s="5">
        <v>6</v>
      </c>
      <c r="D8" s="5" t="s">
        <v>19</v>
      </c>
      <c r="E8" s="5">
        <v>1204</v>
      </c>
      <c r="F8" s="5">
        <v>1206.5999999999999</v>
      </c>
      <c r="G8" s="5">
        <f t="shared" si="2"/>
        <v>62.307692307694495</v>
      </c>
      <c r="H8" s="5">
        <v>3.87</v>
      </c>
      <c r="I8" s="5">
        <f t="shared" si="0"/>
        <v>5.3100000000000005</v>
      </c>
      <c r="J8" s="5">
        <f t="shared" si="3"/>
        <v>4.59</v>
      </c>
      <c r="K8">
        <f t="shared" si="4"/>
        <v>1.2144039999999998</v>
      </c>
      <c r="L8" s="5">
        <v>6</v>
      </c>
      <c r="M8" s="5" t="s">
        <v>20</v>
      </c>
      <c r="N8" s="5">
        <v>1215.68</v>
      </c>
      <c r="O8" s="5">
        <v>1220.3599999999999</v>
      </c>
      <c r="P8" s="5">
        <f t="shared" si="5"/>
        <v>34.615384615385828</v>
      </c>
      <c r="Q8" s="5">
        <f t="shared" si="1"/>
        <v>8.31</v>
      </c>
      <c r="R8" s="5">
        <v>8.31</v>
      </c>
      <c r="S8" s="5">
        <f t="shared" si="6"/>
        <v>0.6899999999999995</v>
      </c>
      <c r="T8" s="5">
        <f t="shared" si="6"/>
        <v>0.6899999999999995</v>
      </c>
      <c r="U8" s="5">
        <f t="shared" si="7"/>
        <v>0.6899999999999995</v>
      </c>
      <c r="V8">
        <f t="shared" si="8"/>
        <v>0.47692836000000077</v>
      </c>
    </row>
    <row r="9" spans="1:22" x14ac:dyDescent="0.25">
      <c r="C9" s="5">
        <v>7</v>
      </c>
      <c r="D9" s="5" t="s">
        <v>19</v>
      </c>
      <c r="E9" s="5">
        <v>1204.8</v>
      </c>
      <c r="F9" s="5">
        <v>1207.56</v>
      </c>
      <c r="G9" s="5">
        <f t="shared" si="2"/>
        <v>58.695652173913238</v>
      </c>
      <c r="H9" s="5">
        <v>2.72</v>
      </c>
      <c r="I9" s="5">
        <f t="shared" si="0"/>
        <v>4.16</v>
      </c>
      <c r="J9" s="7">
        <f t="shared" si="3"/>
        <v>3.4400000000000004</v>
      </c>
      <c r="K9">
        <f t="shared" si="4"/>
        <v>2.3039999999999615E-3</v>
      </c>
      <c r="L9" s="5">
        <v>7</v>
      </c>
      <c r="M9" s="5" t="s">
        <v>19</v>
      </c>
      <c r="N9" s="5">
        <v>1221.6400000000001</v>
      </c>
      <c r="O9" s="5">
        <v>1225.24</v>
      </c>
      <c r="P9" s="5">
        <f t="shared" si="5"/>
        <v>45.000000000001137</v>
      </c>
      <c r="Q9" s="5">
        <f t="shared" si="1"/>
        <v>7.85</v>
      </c>
      <c r="R9" s="5">
        <v>6.41</v>
      </c>
      <c r="S9" s="5">
        <f t="shared" si="6"/>
        <v>1.1500000000000004</v>
      </c>
      <c r="T9" s="5">
        <f t="shared" si="6"/>
        <v>2.59</v>
      </c>
      <c r="U9" s="5">
        <f t="shared" si="7"/>
        <v>1.87</v>
      </c>
      <c r="V9">
        <f t="shared" si="8"/>
        <v>0.23951236000000006</v>
      </c>
    </row>
    <row r="10" spans="1:22" x14ac:dyDescent="0.25">
      <c r="C10" s="5">
        <v>8</v>
      </c>
      <c r="D10" s="5" t="s">
        <v>19</v>
      </c>
      <c r="E10" s="5">
        <v>1205.08</v>
      </c>
      <c r="F10" s="5">
        <v>1207.5999999999999</v>
      </c>
      <c r="G10" s="5">
        <f t="shared" si="2"/>
        <v>64.285714285714747</v>
      </c>
      <c r="H10" s="5">
        <v>2.84</v>
      </c>
      <c r="I10" s="5">
        <f t="shared" si="0"/>
        <v>4.2799999999999994</v>
      </c>
      <c r="J10" s="5">
        <f t="shared" si="3"/>
        <v>3.5599999999999996</v>
      </c>
      <c r="K10">
        <f t="shared" si="4"/>
        <v>5.1839999999999456E-3</v>
      </c>
      <c r="L10" s="5">
        <v>8</v>
      </c>
      <c r="M10" s="5" t="s">
        <v>20</v>
      </c>
      <c r="N10" s="5">
        <v>1222.5999999999999</v>
      </c>
      <c r="O10" s="5">
        <v>1226</v>
      </c>
      <c r="P10" s="5">
        <f t="shared" si="5"/>
        <v>47.647058823528134</v>
      </c>
      <c r="Q10" s="5">
        <f t="shared" si="1"/>
        <v>7.7</v>
      </c>
      <c r="R10" s="5">
        <v>7.7</v>
      </c>
      <c r="S10" s="5">
        <f t="shared" si="6"/>
        <v>1.2999999999999998</v>
      </c>
      <c r="T10" s="5">
        <f t="shared" si="6"/>
        <v>1.2999999999999998</v>
      </c>
      <c r="U10" s="5">
        <f t="shared" si="7"/>
        <v>1.2999999999999998</v>
      </c>
      <c r="V10">
        <f t="shared" si="8"/>
        <v>6.4963600000000369E-3</v>
      </c>
    </row>
    <row r="11" spans="1:22" x14ac:dyDescent="0.25">
      <c r="C11" s="5">
        <v>9</v>
      </c>
      <c r="D11" s="5" t="s">
        <v>20</v>
      </c>
      <c r="E11" s="5">
        <v>1205.28</v>
      </c>
      <c r="F11" s="5">
        <v>1208.72</v>
      </c>
      <c r="G11" s="5">
        <f t="shared" si="2"/>
        <v>47.093023255813208</v>
      </c>
      <c r="H11" s="5">
        <v>2.7</v>
      </c>
      <c r="I11" s="5">
        <f t="shared" si="0"/>
        <v>2.7</v>
      </c>
      <c r="J11" s="5">
        <f t="shared" si="3"/>
        <v>2.7</v>
      </c>
      <c r="K11">
        <f t="shared" si="4"/>
        <v>0.62094399999999972</v>
      </c>
      <c r="L11" s="5">
        <v>9</v>
      </c>
      <c r="M11" s="5" t="s">
        <v>19</v>
      </c>
      <c r="N11" s="5">
        <v>1224.1600000000001</v>
      </c>
      <c r="O11" s="5">
        <v>1227.5999999999999</v>
      </c>
      <c r="P11" s="5">
        <f t="shared" si="5"/>
        <v>47.09302325581632</v>
      </c>
      <c r="Q11" s="5">
        <f t="shared" si="1"/>
        <v>8.9</v>
      </c>
      <c r="R11" s="5">
        <v>7.46</v>
      </c>
      <c r="S11" s="5">
        <f t="shared" si="6"/>
        <v>9.9999999999999645E-2</v>
      </c>
      <c r="T11" s="5">
        <f t="shared" si="6"/>
        <v>1.54</v>
      </c>
      <c r="U11" s="5">
        <f t="shared" si="7"/>
        <v>0.81999999999999984</v>
      </c>
      <c r="V11">
        <f t="shared" si="8"/>
        <v>0.31427236000000025</v>
      </c>
    </row>
    <row r="12" spans="1:22" x14ac:dyDescent="0.25">
      <c r="C12" s="5">
        <v>10</v>
      </c>
      <c r="D12" s="5" t="s">
        <v>24</v>
      </c>
      <c r="E12" s="5">
        <v>1205.5999999999999</v>
      </c>
      <c r="F12" s="5">
        <v>1224.24</v>
      </c>
      <c r="G12" s="5">
        <f t="shared" si="2"/>
        <v>8.690987124463474</v>
      </c>
      <c r="H12" s="5">
        <v>1.08</v>
      </c>
      <c r="I12" s="5">
        <f t="shared" si="0"/>
        <v>1.08</v>
      </c>
      <c r="J12" s="5">
        <f t="shared" si="3"/>
        <v>1.08</v>
      </c>
      <c r="K12">
        <f t="shared" si="4"/>
        <v>5.7984639999999992</v>
      </c>
      <c r="L12" s="5">
        <v>10</v>
      </c>
      <c r="M12" s="5" t="s">
        <v>19</v>
      </c>
      <c r="N12" s="5">
        <v>1224.96</v>
      </c>
      <c r="O12" s="5">
        <v>1227.6400000000001</v>
      </c>
      <c r="P12" s="5">
        <f t="shared" si="5"/>
        <v>60.447761194028416</v>
      </c>
      <c r="Q12" s="5">
        <f t="shared" si="1"/>
        <v>7.91</v>
      </c>
      <c r="R12" s="5">
        <v>6.47</v>
      </c>
      <c r="S12" s="5">
        <f>$A$5-Q12</f>
        <v>1.0899999999999999</v>
      </c>
      <c r="T12" s="5">
        <f t="shared" si="6"/>
        <v>2.5300000000000002</v>
      </c>
      <c r="U12" s="5">
        <f t="shared" si="7"/>
        <v>1.81</v>
      </c>
      <c r="V12">
        <f t="shared" si="8"/>
        <v>0.18438436</v>
      </c>
    </row>
    <row r="13" spans="1:22" x14ac:dyDescent="0.25">
      <c r="C13" s="5">
        <v>11</v>
      </c>
      <c r="D13" s="5" t="s">
        <v>20</v>
      </c>
      <c r="E13" s="5">
        <v>1217.04</v>
      </c>
      <c r="F13" s="5">
        <v>1220.4000000000001</v>
      </c>
      <c r="G13" s="5">
        <f t="shared" si="2"/>
        <v>48.214285714283889</v>
      </c>
      <c r="H13" s="5">
        <v>2.1800000000000002</v>
      </c>
      <c r="I13" s="5">
        <f t="shared" si="0"/>
        <v>2.1800000000000002</v>
      </c>
      <c r="J13" s="5">
        <f t="shared" si="3"/>
        <v>2.1800000000000002</v>
      </c>
      <c r="K13">
        <f t="shared" si="4"/>
        <v>1.7108639999999995</v>
      </c>
      <c r="L13" s="5">
        <v>11</v>
      </c>
      <c r="M13" s="5" t="s">
        <v>19</v>
      </c>
      <c r="N13" s="5">
        <v>1227.5999999999999</v>
      </c>
      <c r="O13" s="5">
        <v>1232.4000000000001</v>
      </c>
      <c r="P13" s="5">
        <f t="shared" si="5"/>
        <v>33.749999999998721</v>
      </c>
      <c r="Q13" s="5">
        <f t="shared" si="1"/>
        <v>8.9</v>
      </c>
      <c r="R13" s="5">
        <v>7.46</v>
      </c>
      <c r="S13" s="5">
        <f t="shared" si="6"/>
        <v>9.9999999999999645E-2</v>
      </c>
      <c r="T13" s="5">
        <f t="shared" si="6"/>
        <v>1.54</v>
      </c>
      <c r="U13" s="5">
        <f t="shared" si="7"/>
        <v>0.81999999999999984</v>
      </c>
      <c r="V13">
        <f t="shared" si="8"/>
        <v>0.31427236000000025</v>
      </c>
    </row>
    <row r="14" spans="1:22" x14ac:dyDescent="0.25">
      <c r="C14" s="5">
        <v>12</v>
      </c>
      <c r="D14" s="5" t="s">
        <v>22</v>
      </c>
      <c r="E14" s="5">
        <v>1224.52</v>
      </c>
      <c r="F14" s="5">
        <v>1227.76</v>
      </c>
      <c r="G14" s="5">
        <f t="shared" si="2"/>
        <v>49.999999999999865</v>
      </c>
      <c r="H14" s="5">
        <v>3.52</v>
      </c>
      <c r="I14" s="5">
        <f t="shared" si="0"/>
        <v>5.95</v>
      </c>
      <c r="J14" s="5">
        <f t="shared" si="3"/>
        <v>4.7350000000000003</v>
      </c>
      <c r="K14">
        <f t="shared" si="4"/>
        <v>1.5550090000000008</v>
      </c>
      <c r="L14" s="5">
        <v>12</v>
      </c>
      <c r="M14" s="5" t="s">
        <v>20</v>
      </c>
      <c r="N14" s="5">
        <v>1227.96</v>
      </c>
      <c r="O14" s="5">
        <v>1232.52</v>
      </c>
      <c r="P14" s="5">
        <f t="shared" si="5"/>
        <v>35.526315789474111</v>
      </c>
      <c r="Q14" s="5">
        <f t="shared" si="1"/>
        <v>8.4600000000000009</v>
      </c>
      <c r="R14" s="5">
        <v>8.4600000000000009</v>
      </c>
      <c r="S14" s="5">
        <f t="shared" si="6"/>
        <v>0.53999999999999915</v>
      </c>
      <c r="T14" s="5">
        <f t="shared" si="6"/>
        <v>0.53999999999999915</v>
      </c>
      <c r="U14" s="5">
        <f t="shared" si="7"/>
        <v>0.53999999999999915</v>
      </c>
      <c r="V14">
        <f t="shared" si="8"/>
        <v>0.70660836000000149</v>
      </c>
    </row>
    <row r="15" spans="1:22" x14ac:dyDescent="0.25">
      <c r="C15" s="5">
        <v>13</v>
      </c>
      <c r="D15" s="5" t="s">
        <v>20</v>
      </c>
      <c r="E15" s="5">
        <v>1225.56</v>
      </c>
      <c r="F15" s="5">
        <v>1229</v>
      </c>
      <c r="G15" s="5">
        <f t="shared" si="2"/>
        <v>47.093023255813208</v>
      </c>
      <c r="H15" s="5">
        <v>2.92</v>
      </c>
      <c r="I15" s="5">
        <f t="shared" si="0"/>
        <v>2.92</v>
      </c>
      <c r="J15" s="5">
        <f t="shared" si="3"/>
        <v>2.92</v>
      </c>
      <c r="K15">
        <f t="shared" si="4"/>
        <v>0.32262400000000008</v>
      </c>
      <c r="L15" s="5">
        <v>13</v>
      </c>
      <c r="M15" s="7" t="s">
        <v>20</v>
      </c>
      <c r="N15" s="5">
        <v>1228.1199999999999</v>
      </c>
      <c r="O15" s="5">
        <v>1233.08</v>
      </c>
      <c r="P15" s="5">
        <f t="shared" si="5"/>
        <v>32.661290322580406</v>
      </c>
      <c r="Q15" s="5">
        <f t="shared" si="1"/>
        <v>8.41</v>
      </c>
      <c r="R15" s="5">
        <v>8.41</v>
      </c>
      <c r="S15" s="5">
        <f t="shared" si="6"/>
        <v>0.58999999999999986</v>
      </c>
      <c r="T15" s="5">
        <f t="shared" si="6"/>
        <v>0.58999999999999986</v>
      </c>
      <c r="U15" s="5">
        <f t="shared" si="7"/>
        <v>0.58999999999999986</v>
      </c>
      <c r="V15">
        <f t="shared" si="8"/>
        <v>0.6250483600000003</v>
      </c>
    </row>
    <row r="16" spans="1:22" x14ac:dyDescent="0.25">
      <c r="C16" s="5">
        <v>14</v>
      </c>
      <c r="D16" s="5" t="s">
        <v>20</v>
      </c>
      <c r="E16" s="5">
        <v>1226.4000000000001</v>
      </c>
      <c r="F16" s="5">
        <v>1229.5999999999999</v>
      </c>
      <c r="G16" s="5">
        <f t="shared" si="2"/>
        <v>50.625000000002878</v>
      </c>
      <c r="H16" s="5">
        <v>2.71</v>
      </c>
      <c r="I16" s="5">
        <f t="shared" si="0"/>
        <v>2.71</v>
      </c>
      <c r="J16" s="5">
        <f t="shared" si="3"/>
        <v>2.71</v>
      </c>
      <c r="K16">
        <f t="shared" si="4"/>
        <v>0.60528400000000004</v>
      </c>
      <c r="L16" s="5">
        <v>14</v>
      </c>
      <c r="M16" s="5" t="s">
        <v>19</v>
      </c>
      <c r="N16" s="5">
        <v>1229.56</v>
      </c>
      <c r="O16" s="5">
        <v>1234.6400000000001</v>
      </c>
      <c r="P16" s="5">
        <f t="shared" si="5"/>
        <v>31.889763779526589</v>
      </c>
      <c r="Q16" s="5">
        <f t="shared" si="1"/>
        <v>8.98</v>
      </c>
      <c r="R16" s="5">
        <v>7.54</v>
      </c>
      <c r="S16" s="5">
        <f t="shared" si="6"/>
        <v>1.9999999999999574E-2</v>
      </c>
      <c r="T16" s="5">
        <f t="shared" si="6"/>
        <v>1.46</v>
      </c>
      <c r="U16" s="5">
        <f t="shared" si="7"/>
        <v>0.73999999999999977</v>
      </c>
      <c r="V16">
        <f t="shared" si="8"/>
        <v>0.41036836000000038</v>
      </c>
    </row>
    <row r="17" spans="3:22" x14ac:dyDescent="0.25">
      <c r="C17" s="5">
        <v>15</v>
      </c>
      <c r="D17" s="5" t="s">
        <v>19</v>
      </c>
      <c r="E17" s="5">
        <v>1226.68</v>
      </c>
      <c r="F17" s="5">
        <v>1230.3599999999999</v>
      </c>
      <c r="G17" s="5">
        <f t="shared" si="2"/>
        <v>44.021739130436742</v>
      </c>
      <c r="H17" s="5">
        <v>2.98</v>
      </c>
      <c r="I17" s="5">
        <f t="shared" si="0"/>
        <v>4.42</v>
      </c>
      <c r="J17" s="5">
        <f t="shared" si="3"/>
        <v>3.7</v>
      </c>
      <c r="K17">
        <f t="shared" si="4"/>
        <v>4.4944000000000081E-2</v>
      </c>
      <c r="L17" s="5">
        <v>15</v>
      </c>
      <c r="M17" s="5" t="s">
        <v>20</v>
      </c>
      <c r="N17" s="5">
        <v>1230.1199999999999</v>
      </c>
      <c r="O17" s="5">
        <v>1234.96</v>
      </c>
      <c r="P17" s="5">
        <f t="shared" si="5"/>
        <v>33.471074380164289</v>
      </c>
      <c r="Q17" s="5">
        <f t="shared" si="1"/>
        <v>8.8699999999999992</v>
      </c>
      <c r="R17" s="5">
        <v>8.8699999999999992</v>
      </c>
      <c r="S17" s="5">
        <f t="shared" si="6"/>
        <v>0.13000000000000078</v>
      </c>
      <c r="T17" s="5">
        <f t="shared" si="6"/>
        <v>0.13000000000000078</v>
      </c>
      <c r="U17" s="5">
        <f t="shared" si="7"/>
        <v>0.13000000000000078</v>
      </c>
      <c r="V17">
        <f t="shared" si="8"/>
        <v>1.5640003599999981</v>
      </c>
    </row>
    <row r="18" spans="3:22" x14ac:dyDescent="0.25">
      <c r="C18" s="5">
        <v>16</v>
      </c>
      <c r="D18" s="5" t="s">
        <v>19</v>
      </c>
      <c r="E18" s="5">
        <v>1227.68</v>
      </c>
      <c r="F18" s="5">
        <v>1231.24</v>
      </c>
      <c r="G18" s="5">
        <f t="shared" si="2"/>
        <v>45.505617977528793</v>
      </c>
      <c r="H18" s="5">
        <v>3.78</v>
      </c>
      <c r="I18" s="5">
        <f t="shared" si="0"/>
        <v>5.22</v>
      </c>
      <c r="J18" s="5">
        <f t="shared" si="3"/>
        <v>4.5</v>
      </c>
      <c r="K18">
        <f t="shared" si="4"/>
        <v>1.0241439999999999</v>
      </c>
      <c r="L18" s="5">
        <v>16</v>
      </c>
      <c r="M18" s="5" t="s">
        <v>20</v>
      </c>
      <c r="N18" s="5">
        <v>1230.6400000000001</v>
      </c>
      <c r="O18" s="5">
        <v>1235.6400000000001</v>
      </c>
      <c r="P18" s="5">
        <f t="shared" si="5"/>
        <v>32.4</v>
      </c>
      <c r="Q18" s="5">
        <f t="shared" si="1"/>
        <v>7.56</v>
      </c>
      <c r="R18" s="5">
        <v>7.56</v>
      </c>
      <c r="S18" s="5">
        <f t="shared" si="6"/>
        <v>1.4400000000000004</v>
      </c>
      <c r="T18" s="5">
        <f t="shared" si="6"/>
        <v>1.4400000000000004</v>
      </c>
      <c r="U18" s="5">
        <f t="shared" si="7"/>
        <v>1.4400000000000004</v>
      </c>
      <c r="V18">
        <f t="shared" si="8"/>
        <v>3.5283600000000407E-3</v>
      </c>
    </row>
    <row r="19" spans="3:22" x14ac:dyDescent="0.25">
      <c r="C19" s="5">
        <v>17</v>
      </c>
      <c r="D19" s="5" t="s">
        <v>19</v>
      </c>
      <c r="E19" s="5">
        <v>1229.1600000000001</v>
      </c>
      <c r="F19" s="5">
        <v>1232.8800000000001</v>
      </c>
      <c r="G19" s="5">
        <f t="shared" si="2"/>
        <v>43.54838709677388</v>
      </c>
      <c r="H19" s="5">
        <v>3.71</v>
      </c>
      <c r="I19" s="5">
        <f t="shared" si="0"/>
        <v>5.15</v>
      </c>
      <c r="J19" s="5">
        <f t="shared" si="3"/>
        <v>4.43</v>
      </c>
      <c r="K19">
        <f t="shared" si="4"/>
        <v>0.88736399999999949</v>
      </c>
      <c r="L19" s="5">
        <v>17</v>
      </c>
      <c r="M19" s="5" t="s">
        <v>20</v>
      </c>
      <c r="N19" s="5">
        <v>1237.8399999999999</v>
      </c>
      <c r="O19" s="5">
        <v>1242.04</v>
      </c>
      <c r="P19" s="5">
        <f t="shared" si="5"/>
        <v>38.571428571428157</v>
      </c>
      <c r="Q19" s="5">
        <f t="shared" si="1"/>
        <v>8.81</v>
      </c>
      <c r="R19" s="5">
        <v>8.81</v>
      </c>
      <c r="S19" s="5">
        <f t="shared" si="6"/>
        <v>0.1899999999999995</v>
      </c>
      <c r="T19" s="5">
        <f t="shared" si="6"/>
        <v>0.1899999999999995</v>
      </c>
      <c r="U19" s="5">
        <f t="shared" si="7"/>
        <v>0.1899999999999995</v>
      </c>
      <c r="V19">
        <f t="shared" si="8"/>
        <v>1.4175283600000013</v>
      </c>
    </row>
    <row r="20" spans="3:22" x14ac:dyDescent="0.25">
      <c r="C20" s="5">
        <v>18</v>
      </c>
      <c r="D20" s="5" t="s">
        <v>19</v>
      </c>
      <c r="E20" s="5">
        <v>1235.4000000000001</v>
      </c>
      <c r="F20" s="5">
        <v>1239.24</v>
      </c>
      <c r="G20" s="5">
        <f t="shared" si="2"/>
        <v>42.187500000000902</v>
      </c>
      <c r="H20" s="5">
        <v>2.2799999999999998</v>
      </c>
      <c r="I20" s="5">
        <f t="shared" si="0"/>
        <v>3.7199999999999998</v>
      </c>
      <c r="J20" s="5">
        <f t="shared" si="3"/>
        <v>3</v>
      </c>
      <c r="K20">
        <f t="shared" si="4"/>
        <v>0.23814399999999999</v>
      </c>
      <c r="L20" s="5">
        <v>18</v>
      </c>
      <c r="M20" s="5" t="s">
        <v>20</v>
      </c>
      <c r="N20" s="5">
        <v>1238.2</v>
      </c>
      <c r="O20" s="5">
        <v>1241.4000000000001</v>
      </c>
      <c r="P20" s="5">
        <f t="shared" si="5"/>
        <v>50.624999999999282</v>
      </c>
      <c r="Q20" s="5">
        <f t="shared" si="1"/>
        <v>7.04</v>
      </c>
      <c r="R20" s="5">
        <v>7.04</v>
      </c>
      <c r="S20" s="5">
        <f>$A$5-Q20</f>
        <v>1.96</v>
      </c>
      <c r="T20" s="5">
        <f>$A$5-R20</f>
        <v>1.96</v>
      </c>
      <c r="U20" s="5">
        <f t="shared" si="7"/>
        <v>1.96</v>
      </c>
      <c r="V20">
        <f t="shared" si="8"/>
        <v>0.33570435999999992</v>
      </c>
    </row>
    <row r="21" spans="3:22" x14ac:dyDescent="0.25">
      <c r="C21" s="5">
        <v>19</v>
      </c>
      <c r="D21" s="5" t="s">
        <v>20</v>
      </c>
      <c r="E21" s="5">
        <v>1237.1199999999999</v>
      </c>
      <c r="F21" s="5">
        <v>1240.44</v>
      </c>
      <c r="G21" s="5">
        <f t="shared" si="2"/>
        <v>48.795180722889164</v>
      </c>
      <c r="H21" s="5">
        <v>1.57</v>
      </c>
      <c r="I21" s="5">
        <f t="shared" si="0"/>
        <v>1.57</v>
      </c>
      <c r="J21" s="5">
        <f t="shared" si="3"/>
        <v>1.57</v>
      </c>
      <c r="K21">
        <f t="shared" si="4"/>
        <v>3.6787239999999999</v>
      </c>
      <c r="L21" s="5">
        <v>19</v>
      </c>
      <c r="M21" s="5" t="s">
        <v>20</v>
      </c>
      <c r="N21" s="5">
        <v>1239.24</v>
      </c>
      <c r="O21" s="5">
        <v>1243.2</v>
      </c>
      <c r="P21" s="5">
        <f t="shared" si="5"/>
        <v>40.90909090909053</v>
      </c>
      <c r="Q21" s="5">
        <f t="shared" si="1"/>
        <v>8.25</v>
      </c>
      <c r="R21" s="5">
        <v>8.25</v>
      </c>
      <c r="S21" s="5">
        <f t="shared" ref="S21:T84" si="9">$A$5-Q21</f>
        <v>0.75</v>
      </c>
      <c r="T21" s="5">
        <f t="shared" ref="T21:T34" si="10">$A$5-R21</f>
        <v>0.75</v>
      </c>
      <c r="U21" s="5">
        <f t="shared" si="7"/>
        <v>0.75</v>
      </c>
      <c r="V21">
        <f t="shared" si="8"/>
        <v>0.39765636000000004</v>
      </c>
    </row>
    <row r="22" spans="3:22" x14ac:dyDescent="0.25">
      <c r="C22" s="5">
        <v>20</v>
      </c>
      <c r="D22" s="5" t="s">
        <v>19</v>
      </c>
      <c r="E22" s="5">
        <v>1239.04</v>
      </c>
      <c r="F22" s="5">
        <v>1242.08</v>
      </c>
      <c r="G22" s="5">
        <f t="shared" si="2"/>
        <v>53.289473684211167</v>
      </c>
      <c r="H22" s="5">
        <v>3.25</v>
      </c>
      <c r="I22" s="5">
        <f t="shared" si="0"/>
        <v>4.6899999999999995</v>
      </c>
      <c r="J22" s="5">
        <f t="shared" si="3"/>
        <v>3.9699999999999998</v>
      </c>
      <c r="K22">
        <f t="shared" si="4"/>
        <v>0.23232399999999978</v>
      </c>
      <c r="L22" s="5">
        <v>20</v>
      </c>
      <c r="M22" s="5" t="s">
        <v>20</v>
      </c>
      <c r="N22" s="5">
        <v>1239.8800000000001</v>
      </c>
      <c r="O22" s="5">
        <v>1243.68</v>
      </c>
      <c r="P22" s="5">
        <f t="shared" si="5"/>
        <v>42.631578947368929</v>
      </c>
      <c r="Q22" s="5">
        <f t="shared" si="1"/>
        <v>8.61</v>
      </c>
      <c r="R22" s="5">
        <v>8.61</v>
      </c>
      <c r="S22" s="5">
        <f t="shared" si="9"/>
        <v>0.39000000000000057</v>
      </c>
      <c r="T22" s="5">
        <f t="shared" si="10"/>
        <v>0.39000000000000057</v>
      </c>
      <c r="U22" s="5">
        <f t="shared" si="7"/>
        <v>0.39000000000000057</v>
      </c>
      <c r="V22">
        <f t="shared" si="8"/>
        <v>0.98128835999999897</v>
      </c>
    </row>
    <row r="23" spans="3:22" x14ac:dyDescent="0.25">
      <c r="C23" s="5">
        <v>21</v>
      </c>
      <c r="D23" s="5" t="s">
        <v>21</v>
      </c>
      <c r="E23" s="5">
        <v>1241.3599999999999</v>
      </c>
      <c r="F23" s="5">
        <v>1247.28</v>
      </c>
      <c r="G23" s="5">
        <f t="shared" si="2"/>
        <v>27.364864864864529</v>
      </c>
      <c r="H23" s="5">
        <v>2.2599999999999998</v>
      </c>
      <c r="I23" s="5">
        <f t="shared" si="0"/>
        <v>4.3599999999999994</v>
      </c>
      <c r="J23" s="5">
        <f t="shared" si="3"/>
        <v>3.3099999999999996</v>
      </c>
      <c r="K23">
        <f t="shared" si="4"/>
        <v>3.1684000000000136E-2</v>
      </c>
      <c r="L23" s="5">
        <v>21</v>
      </c>
      <c r="M23" s="5" t="s">
        <v>19</v>
      </c>
      <c r="N23" s="5">
        <v>1241.3599999999999</v>
      </c>
      <c r="O23" s="5">
        <v>1245</v>
      </c>
      <c r="P23" s="5">
        <f t="shared" si="5"/>
        <v>44.505494505493282</v>
      </c>
      <c r="Q23" s="5">
        <f t="shared" si="1"/>
        <v>7.5500000000000007</v>
      </c>
      <c r="R23" s="5">
        <v>6.11</v>
      </c>
      <c r="S23" s="5">
        <f t="shared" si="9"/>
        <v>1.4499999999999993</v>
      </c>
      <c r="T23" s="5">
        <f t="shared" si="10"/>
        <v>2.8899999999999997</v>
      </c>
      <c r="U23" s="5">
        <f t="shared" si="7"/>
        <v>2.1699999999999995</v>
      </c>
      <c r="V23">
        <f t="shared" si="8"/>
        <v>0.62315235999999907</v>
      </c>
    </row>
    <row r="24" spans="3:22" x14ac:dyDescent="0.25">
      <c r="C24" s="5">
        <v>22</v>
      </c>
      <c r="D24" s="5" t="s">
        <v>19</v>
      </c>
      <c r="E24" s="5">
        <v>1242.04</v>
      </c>
      <c r="F24" s="5">
        <v>1246.24</v>
      </c>
      <c r="G24" s="5">
        <f t="shared" si="2"/>
        <v>38.571428571428157</v>
      </c>
      <c r="H24" s="5">
        <v>5.31</v>
      </c>
      <c r="I24" s="5">
        <f t="shared" si="0"/>
        <v>6.75</v>
      </c>
      <c r="J24" s="5">
        <f t="shared" si="3"/>
        <v>6.0299999999999994</v>
      </c>
      <c r="K24">
        <f t="shared" si="4"/>
        <v>6.461763999999997</v>
      </c>
      <c r="L24" s="5">
        <v>22</v>
      </c>
      <c r="M24" s="5" t="s">
        <v>20</v>
      </c>
      <c r="N24" s="5">
        <v>1241.48</v>
      </c>
      <c r="O24" s="5">
        <v>1245.2</v>
      </c>
      <c r="P24" s="5">
        <f t="shared" si="5"/>
        <v>43.54838709677388</v>
      </c>
      <c r="Q24" s="5">
        <f t="shared" si="1"/>
        <v>8.06</v>
      </c>
      <c r="R24" s="5">
        <v>8.06</v>
      </c>
      <c r="S24" s="5">
        <f t="shared" si="9"/>
        <v>0.9399999999999995</v>
      </c>
      <c r="T24" s="5">
        <f t="shared" si="10"/>
        <v>0.9399999999999995</v>
      </c>
      <c r="U24" s="5">
        <f t="shared" si="7"/>
        <v>0.9399999999999995</v>
      </c>
      <c r="V24">
        <f t="shared" si="8"/>
        <v>0.19412836000000047</v>
      </c>
    </row>
    <row r="25" spans="3:22" x14ac:dyDescent="0.25">
      <c r="C25" s="5">
        <v>23</v>
      </c>
      <c r="D25" s="5" t="s">
        <v>20</v>
      </c>
      <c r="E25" s="5">
        <v>1244.76</v>
      </c>
      <c r="F25" s="5">
        <v>1249.6400000000001</v>
      </c>
      <c r="G25" s="5">
        <f t="shared" si="2"/>
        <v>33.196721311474668</v>
      </c>
      <c r="H25" s="5">
        <v>2.2799999999999998</v>
      </c>
      <c r="I25" s="5">
        <f t="shared" si="0"/>
        <v>2.2799999999999998</v>
      </c>
      <c r="J25" s="5">
        <f t="shared" si="3"/>
        <v>2.2799999999999998</v>
      </c>
      <c r="K25">
        <f t="shared" si="4"/>
        <v>1.4592640000000003</v>
      </c>
      <c r="L25" s="5">
        <v>23</v>
      </c>
      <c r="M25" s="5" t="s">
        <v>20</v>
      </c>
      <c r="N25" s="5">
        <v>1242.56</v>
      </c>
      <c r="O25" s="5">
        <v>1245.72</v>
      </c>
      <c r="P25" s="5">
        <f t="shared" si="5"/>
        <v>51.265822784808805</v>
      </c>
      <c r="Q25" s="5">
        <f t="shared" si="1"/>
        <v>7.98</v>
      </c>
      <c r="R25" s="5">
        <v>7.98</v>
      </c>
      <c r="S25" s="5">
        <f t="shared" si="9"/>
        <v>1.0199999999999996</v>
      </c>
      <c r="T25" s="5">
        <f t="shared" si="10"/>
        <v>1.0199999999999996</v>
      </c>
      <c r="U25" s="5">
        <f t="shared" si="7"/>
        <v>1.0199999999999996</v>
      </c>
      <c r="V25">
        <f t="shared" si="8"/>
        <v>0.13003236000000035</v>
      </c>
    </row>
    <row r="26" spans="3:22" x14ac:dyDescent="0.25">
      <c r="C26" s="5">
        <v>24</v>
      </c>
      <c r="D26" s="5" t="s">
        <v>19</v>
      </c>
      <c r="E26" s="5">
        <v>1245.08</v>
      </c>
      <c r="F26" s="5">
        <v>1251</v>
      </c>
      <c r="G26" s="5">
        <f t="shared" si="2"/>
        <v>27.364864864864529</v>
      </c>
      <c r="H26" s="5">
        <v>1.92</v>
      </c>
      <c r="I26" s="5">
        <f t="shared" si="0"/>
        <v>3.36</v>
      </c>
      <c r="J26" s="5">
        <f t="shared" si="3"/>
        <v>2.6399999999999997</v>
      </c>
      <c r="K26">
        <f t="shared" si="4"/>
        <v>0.71910400000000052</v>
      </c>
      <c r="L26" s="5">
        <v>24</v>
      </c>
      <c r="M26" s="7" t="s">
        <v>20</v>
      </c>
      <c r="N26" s="5">
        <v>1243.24</v>
      </c>
      <c r="O26" s="5">
        <v>1246.1199999999999</v>
      </c>
      <c r="P26" s="5">
        <f t="shared" si="5"/>
        <v>56.250000000002309</v>
      </c>
      <c r="Q26" s="5">
        <f t="shared" si="1"/>
        <v>7.21</v>
      </c>
      <c r="R26" s="5">
        <v>7.21</v>
      </c>
      <c r="S26" s="5">
        <f t="shared" si="9"/>
        <v>1.79</v>
      </c>
      <c r="T26" s="5">
        <f t="shared" si="10"/>
        <v>1.79</v>
      </c>
      <c r="U26" s="5">
        <f t="shared" si="7"/>
        <v>1.79</v>
      </c>
      <c r="V26">
        <f t="shared" si="8"/>
        <v>0.16760835999999998</v>
      </c>
    </row>
    <row r="27" spans="3:22" x14ac:dyDescent="0.25">
      <c r="C27" s="5">
        <v>25</v>
      </c>
      <c r="D27" s="5" t="s">
        <v>20</v>
      </c>
      <c r="E27" s="5">
        <v>1246.24</v>
      </c>
      <c r="F27" s="5">
        <v>1251.3599999999999</v>
      </c>
      <c r="G27" s="5">
        <f t="shared" si="2"/>
        <v>31.640625000000671</v>
      </c>
      <c r="H27" s="5">
        <v>1.08</v>
      </c>
      <c r="I27" s="5">
        <f t="shared" si="0"/>
        <v>1.08</v>
      </c>
      <c r="J27" s="5">
        <f t="shared" si="3"/>
        <v>1.08</v>
      </c>
      <c r="K27">
        <f t="shared" si="4"/>
        <v>5.7984639999999992</v>
      </c>
      <c r="L27" s="5">
        <v>25</v>
      </c>
      <c r="M27" s="5" t="s">
        <v>19</v>
      </c>
      <c r="N27" s="5">
        <v>1244.4000000000001</v>
      </c>
      <c r="O27" s="5">
        <v>1248.68</v>
      </c>
      <c r="P27" s="5">
        <f t="shared" si="5"/>
        <v>37.850467289719866</v>
      </c>
      <c r="Q27" s="5">
        <f t="shared" si="1"/>
        <v>8.4</v>
      </c>
      <c r="R27" s="5">
        <v>6.96</v>
      </c>
      <c r="S27" s="5">
        <f t="shared" si="9"/>
        <v>0.59999999999999964</v>
      </c>
      <c r="T27" s="5">
        <f t="shared" si="10"/>
        <v>2.04</v>
      </c>
      <c r="U27" s="5">
        <f t="shared" si="7"/>
        <v>1.3199999999999998</v>
      </c>
      <c r="V27">
        <f t="shared" si="8"/>
        <v>3.6723600000000255E-3</v>
      </c>
    </row>
    <row r="28" spans="3:22" x14ac:dyDescent="0.25">
      <c r="C28" s="5">
        <v>26</v>
      </c>
      <c r="D28" s="5" t="s">
        <v>19</v>
      </c>
      <c r="E28" s="5">
        <v>1247.6400000000001</v>
      </c>
      <c r="F28" s="5">
        <v>1252.3599999999999</v>
      </c>
      <c r="G28" s="5">
        <f t="shared" si="2"/>
        <v>34.322033898306543</v>
      </c>
      <c r="H28" s="5">
        <v>4.97</v>
      </c>
      <c r="I28" s="5">
        <f t="shared" si="0"/>
        <v>6.41</v>
      </c>
      <c r="J28" s="5">
        <f t="shared" si="3"/>
        <v>5.6899999999999995</v>
      </c>
      <c r="K28">
        <f t="shared" si="4"/>
        <v>4.8488039999999977</v>
      </c>
      <c r="L28" s="5">
        <v>26</v>
      </c>
      <c r="M28" s="5" t="s">
        <v>19</v>
      </c>
      <c r="N28" s="5">
        <v>1248.76</v>
      </c>
      <c r="O28" s="5">
        <v>1249.56</v>
      </c>
      <c r="P28" s="5">
        <f t="shared" si="5"/>
        <v>202.50000000001151</v>
      </c>
      <c r="Q28" s="5">
        <f t="shared" si="1"/>
        <v>8.61</v>
      </c>
      <c r="R28" s="5">
        <v>7.17</v>
      </c>
      <c r="S28" s="5">
        <f t="shared" si="9"/>
        <v>0.39000000000000057</v>
      </c>
      <c r="T28" s="5">
        <f t="shared" si="10"/>
        <v>1.83</v>
      </c>
      <c r="U28" s="5">
        <f t="shared" si="7"/>
        <v>1.1100000000000003</v>
      </c>
      <c r="V28">
        <f t="shared" si="8"/>
        <v>7.322435999999985E-2</v>
      </c>
    </row>
    <row r="29" spans="3:22" x14ac:dyDescent="0.25">
      <c r="C29" s="5">
        <v>27</v>
      </c>
      <c r="D29" s="5" t="s">
        <v>19</v>
      </c>
      <c r="E29" s="5">
        <v>1248.44</v>
      </c>
      <c r="F29" s="5">
        <v>1253.24</v>
      </c>
      <c r="G29" s="5">
        <f t="shared" si="2"/>
        <v>33.75000000000032</v>
      </c>
      <c r="H29" s="5">
        <v>1.43</v>
      </c>
      <c r="I29" s="5">
        <f t="shared" si="0"/>
        <v>2.87</v>
      </c>
      <c r="J29" s="5">
        <f t="shared" si="3"/>
        <v>2.15</v>
      </c>
      <c r="K29">
        <f t="shared" si="4"/>
        <v>1.7902440000000002</v>
      </c>
      <c r="L29" s="5">
        <v>27</v>
      </c>
      <c r="M29" s="5" t="s">
        <v>19</v>
      </c>
      <c r="N29" s="5">
        <v>1247.28</v>
      </c>
      <c r="O29" s="5">
        <v>1251.24</v>
      </c>
      <c r="P29" s="5">
        <f t="shared" si="5"/>
        <v>40.90909090909053</v>
      </c>
      <c r="Q29" s="5">
        <f t="shared" si="1"/>
        <v>8.43</v>
      </c>
      <c r="R29" s="5">
        <v>6.99</v>
      </c>
      <c r="S29" s="5">
        <f t="shared" si="9"/>
        <v>0.57000000000000028</v>
      </c>
      <c r="T29" s="5">
        <f t="shared" si="10"/>
        <v>2.0099999999999998</v>
      </c>
      <c r="U29" s="5">
        <f t="shared" si="7"/>
        <v>1.29</v>
      </c>
      <c r="V29">
        <f t="shared" si="8"/>
        <v>8.2083600000000031E-3</v>
      </c>
    </row>
    <row r="30" spans="3:22" x14ac:dyDescent="0.25">
      <c r="C30" s="5">
        <v>28</v>
      </c>
      <c r="D30" s="5" t="s">
        <v>19</v>
      </c>
      <c r="E30" s="5">
        <v>1250.92</v>
      </c>
      <c r="F30" s="5">
        <v>1254.6400000000001</v>
      </c>
      <c r="G30" s="5">
        <f t="shared" si="2"/>
        <v>43.54838709677388</v>
      </c>
      <c r="H30" s="5">
        <v>4.1900000000000004</v>
      </c>
      <c r="I30" s="5">
        <f t="shared" si="0"/>
        <v>5.6300000000000008</v>
      </c>
      <c r="J30" s="5">
        <f t="shared" si="3"/>
        <v>4.91</v>
      </c>
      <c r="K30">
        <f t="shared" si="4"/>
        <v>2.0220840000000004</v>
      </c>
      <c r="L30" s="5">
        <v>28</v>
      </c>
      <c r="M30" s="5" t="s">
        <v>19</v>
      </c>
      <c r="N30" s="5">
        <v>1251.92</v>
      </c>
      <c r="O30" s="5">
        <v>1255.1600000000001</v>
      </c>
      <c r="P30" s="5">
        <f t="shared" si="5"/>
        <v>49.999999999999865</v>
      </c>
      <c r="Q30" s="5">
        <f t="shared" si="1"/>
        <v>8.5500000000000007</v>
      </c>
      <c r="R30" s="5">
        <v>7.11</v>
      </c>
      <c r="S30" s="5">
        <f t="shared" si="9"/>
        <v>0.44999999999999929</v>
      </c>
      <c r="T30" s="5">
        <f t="shared" si="10"/>
        <v>1.8899999999999997</v>
      </c>
      <c r="U30" s="5">
        <f t="shared" si="7"/>
        <v>1.1699999999999995</v>
      </c>
      <c r="V30">
        <f t="shared" si="8"/>
        <v>4.4352360000000236E-2</v>
      </c>
    </row>
    <row r="31" spans="3:22" x14ac:dyDescent="0.25">
      <c r="C31" s="5">
        <v>29</v>
      </c>
      <c r="D31" s="5" t="s">
        <v>19</v>
      </c>
      <c r="E31" s="5">
        <v>1251.52</v>
      </c>
      <c r="F31" s="5">
        <v>1256.32</v>
      </c>
      <c r="G31" s="5">
        <f t="shared" si="2"/>
        <v>33.75000000000032</v>
      </c>
      <c r="H31" s="5">
        <v>3.9</v>
      </c>
      <c r="I31" s="5">
        <f t="shared" si="0"/>
        <v>5.34</v>
      </c>
      <c r="J31" s="5">
        <f t="shared" si="3"/>
        <v>4.62</v>
      </c>
      <c r="K31">
        <f t="shared" si="4"/>
        <v>1.2814240000000003</v>
      </c>
      <c r="L31" s="5">
        <v>29</v>
      </c>
      <c r="M31" s="5" t="s">
        <v>19</v>
      </c>
      <c r="N31" s="5">
        <v>1262.1600000000001</v>
      </c>
      <c r="O31" s="5">
        <v>1265.92</v>
      </c>
      <c r="P31" s="5">
        <f t="shared" si="5"/>
        <v>43.085106382978829</v>
      </c>
      <c r="Q31" s="5">
        <f t="shared" si="1"/>
        <v>8.0299999999999994</v>
      </c>
      <c r="R31" s="5">
        <v>6.59</v>
      </c>
      <c r="S31" s="5">
        <f t="shared" si="9"/>
        <v>0.97000000000000064</v>
      </c>
      <c r="T31" s="5">
        <f t="shared" si="10"/>
        <v>2.41</v>
      </c>
      <c r="U31" s="5">
        <f t="shared" si="7"/>
        <v>1.6900000000000004</v>
      </c>
      <c r="V31">
        <f t="shared" si="8"/>
        <v>9.5728360000000207E-2</v>
      </c>
    </row>
    <row r="32" spans="3:22" x14ac:dyDescent="0.25">
      <c r="C32" s="5">
        <v>30</v>
      </c>
      <c r="D32" s="5" t="s">
        <v>19</v>
      </c>
      <c r="E32" s="5">
        <v>1255.96</v>
      </c>
      <c r="F32" s="5">
        <v>1259.48</v>
      </c>
      <c r="G32" s="5">
        <f t="shared" si="2"/>
        <v>46.022727272727515</v>
      </c>
      <c r="H32" s="5">
        <v>2.9</v>
      </c>
      <c r="I32" s="5">
        <f t="shared" si="0"/>
        <v>4.34</v>
      </c>
      <c r="J32" s="5">
        <f t="shared" si="3"/>
        <v>3.62</v>
      </c>
      <c r="K32">
        <f t="shared" si="4"/>
        <v>1.742400000000003E-2</v>
      </c>
      <c r="L32" s="5">
        <v>30</v>
      </c>
      <c r="M32" s="5" t="s">
        <v>20</v>
      </c>
      <c r="N32" s="5">
        <v>1262.92</v>
      </c>
      <c r="O32" s="5">
        <v>1267.08</v>
      </c>
      <c r="P32" s="5">
        <f t="shared" si="5"/>
        <v>38.942307692309051</v>
      </c>
      <c r="Q32" s="5">
        <f t="shared" si="1"/>
        <v>8.8699999999999992</v>
      </c>
      <c r="R32" s="5">
        <v>8.8699999999999992</v>
      </c>
      <c r="S32" s="5">
        <f t="shared" si="9"/>
        <v>0.13000000000000078</v>
      </c>
      <c r="T32" s="5">
        <f t="shared" si="10"/>
        <v>0.13000000000000078</v>
      </c>
      <c r="U32" s="5">
        <f t="shared" si="7"/>
        <v>0.13000000000000078</v>
      </c>
      <c r="V32">
        <f t="shared" si="8"/>
        <v>1.5640003599999981</v>
      </c>
    </row>
    <row r="33" spans="3:22" x14ac:dyDescent="0.25">
      <c r="C33" s="5">
        <v>31</v>
      </c>
      <c r="D33" s="5" t="s">
        <v>18</v>
      </c>
      <c r="E33" s="5">
        <v>1258.4000000000001</v>
      </c>
      <c r="F33" s="5">
        <v>1266.5</v>
      </c>
      <c r="G33" s="5">
        <f t="shared" si="2"/>
        <v>20.000000000000224</v>
      </c>
      <c r="H33" s="5">
        <v>6.12</v>
      </c>
      <c r="I33" s="5">
        <f t="shared" si="0"/>
        <v>7.52</v>
      </c>
      <c r="J33" s="5">
        <f t="shared" si="3"/>
        <v>6.82</v>
      </c>
      <c r="K33">
        <f t="shared" si="4"/>
        <v>11.102224000000001</v>
      </c>
      <c r="L33" s="5">
        <v>31</v>
      </c>
      <c r="M33" s="5" t="s">
        <v>20</v>
      </c>
      <c r="N33" s="5">
        <v>1263.48</v>
      </c>
      <c r="O33" s="5">
        <v>1267.5</v>
      </c>
      <c r="P33" s="5">
        <f t="shared" si="5"/>
        <v>40.29850746268675</v>
      </c>
      <c r="Q33" s="5">
        <f t="shared" si="1"/>
        <v>7.44</v>
      </c>
      <c r="R33" s="5">
        <v>7.44</v>
      </c>
      <c r="S33" s="5">
        <f t="shared" si="9"/>
        <v>1.5599999999999996</v>
      </c>
      <c r="T33" s="5">
        <f t="shared" si="10"/>
        <v>1.5599999999999996</v>
      </c>
      <c r="U33" s="5">
        <f t="shared" si="7"/>
        <v>1.5599999999999996</v>
      </c>
      <c r="V33">
        <f t="shared" si="8"/>
        <v>3.2184359999999843E-2</v>
      </c>
    </row>
    <row r="34" spans="3:22" x14ac:dyDescent="0.25">
      <c r="C34" s="5">
        <v>32</v>
      </c>
      <c r="D34" s="5" t="s">
        <v>19</v>
      </c>
      <c r="E34" s="5">
        <v>1258.68</v>
      </c>
      <c r="F34" s="5">
        <v>1262.08</v>
      </c>
      <c r="G34" s="5">
        <f t="shared" si="2"/>
        <v>47.647058823531324</v>
      </c>
      <c r="H34" s="5">
        <v>4.2</v>
      </c>
      <c r="I34" s="5">
        <f t="shared" si="0"/>
        <v>5.6400000000000006</v>
      </c>
      <c r="J34" s="5">
        <f t="shared" si="3"/>
        <v>4.92</v>
      </c>
      <c r="K34">
        <f t="shared" si="4"/>
        <v>2.050624</v>
      </c>
      <c r="L34" s="5">
        <v>32</v>
      </c>
      <c r="M34" s="5" t="s">
        <v>18</v>
      </c>
      <c r="N34" s="5">
        <v>1269.8800000000001</v>
      </c>
      <c r="O34" s="5">
        <v>1274.92</v>
      </c>
      <c r="P34" s="5">
        <f t="shared" si="5"/>
        <v>32.142857142857373</v>
      </c>
      <c r="Q34" s="5">
        <f t="shared" si="1"/>
        <v>7.9</v>
      </c>
      <c r="R34" s="5">
        <v>6.5</v>
      </c>
      <c r="S34" s="5">
        <f t="shared" si="9"/>
        <v>1.0999999999999996</v>
      </c>
      <c r="T34" s="5">
        <f t="shared" si="10"/>
        <v>2.5</v>
      </c>
      <c r="U34" s="5">
        <f t="shared" si="7"/>
        <v>1.7999999999999998</v>
      </c>
      <c r="V34">
        <f t="shared" si="8"/>
        <v>0.17589635999999981</v>
      </c>
    </row>
    <row r="35" spans="3:22" x14ac:dyDescent="0.25">
      <c r="C35" s="5">
        <v>33</v>
      </c>
      <c r="D35" s="5" t="s">
        <v>19</v>
      </c>
      <c r="E35" s="5">
        <v>1260.44</v>
      </c>
      <c r="F35" s="5">
        <v>1267</v>
      </c>
      <c r="G35" s="5">
        <f t="shared" si="2"/>
        <v>24.695121951219718</v>
      </c>
      <c r="H35" s="5">
        <v>2.3199999999999998</v>
      </c>
      <c r="I35" s="5">
        <f t="shared" ref="I35:I66" si="11">IF(D35="Car",H35+1.44,IF(D35="Bus",H35+2.43,IF(D35="Auto",H35+1.4,IF(D35="TAT", H35+2.1, IF(D35="TAT", H35+2.35,H35)))))</f>
        <v>3.76</v>
      </c>
      <c r="J35" s="5">
        <f t="shared" si="3"/>
        <v>3.04</v>
      </c>
      <c r="K35">
        <f t="shared" si="4"/>
        <v>0.20070399999999997</v>
      </c>
      <c r="L35" s="5">
        <v>33</v>
      </c>
      <c r="M35" s="5" t="s">
        <v>20</v>
      </c>
      <c r="N35" s="5">
        <v>1270.96</v>
      </c>
      <c r="O35" s="5">
        <v>1275.72</v>
      </c>
      <c r="P35" s="5">
        <f t="shared" si="5"/>
        <v>34.033613445378215</v>
      </c>
      <c r="Q35" s="5">
        <f t="shared" ref="Q35:Q66" si="12">IF(M35="Car", R35 + 1.44, IF(M35="Bus", R35+2.43,IF(M35="Auto", R35+1.4,IF(M35="TAT",R35+2.1,IF(M35="TAT", R35 + 2.35, R35)))))</f>
        <v>7.46</v>
      </c>
      <c r="R35" s="5">
        <v>7.46</v>
      </c>
      <c r="S35" s="5">
        <f t="shared" si="9"/>
        <v>1.54</v>
      </c>
      <c r="T35" s="5">
        <f t="shared" si="9"/>
        <v>1.54</v>
      </c>
      <c r="U35" s="5">
        <f t="shared" si="7"/>
        <v>1.54</v>
      </c>
      <c r="V35">
        <f t="shared" si="8"/>
        <v>2.5408359999999994E-2</v>
      </c>
    </row>
    <row r="36" spans="3:22" x14ac:dyDescent="0.25">
      <c r="C36" s="5">
        <v>34</v>
      </c>
      <c r="D36" s="5" t="s">
        <v>19</v>
      </c>
      <c r="E36" s="5">
        <v>1261.44</v>
      </c>
      <c r="F36" s="5">
        <v>1268.3800000000001</v>
      </c>
      <c r="G36" s="5">
        <f t="shared" si="2"/>
        <v>23.342939481267827</v>
      </c>
      <c r="H36" s="5">
        <v>3.6</v>
      </c>
      <c r="I36" s="5">
        <f t="shared" si="11"/>
        <v>5.04</v>
      </c>
      <c r="J36" s="5">
        <f t="shared" si="3"/>
        <v>4.32</v>
      </c>
      <c r="K36">
        <f t="shared" si="4"/>
        <v>0.69222400000000051</v>
      </c>
      <c r="L36" s="5">
        <v>34</v>
      </c>
      <c r="M36" s="5" t="s">
        <v>20</v>
      </c>
      <c r="N36" s="5">
        <v>1272.56</v>
      </c>
      <c r="O36" s="5">
        <v>1277.04</v>
      </c>
      <c r="P36" s="5">
        <f t="shared" si="5"/>
        <v>36.160714285714143</v>
      </c>
      <c r="Q36" s="5">
        <f t="shared" si="12"/>
        <v>7.87</v>
      </c>
      <c r="R36" s="5">
        <v>7.87</v>
      </c>
      <c r="S36" s="5">
        <f t="shared" si="9"/>
        <v>1.1299999999999999</v>
      </c>
      <c r="T36" s="5">
        <f t="shared" si="9"/>
        <v>1.1299999999999999</v>
      </c>
      <c r="U36" s="5">
        <f t="shared" si="7"/>
        <v>1.1299999999999999</v>
      </c>
      <c r="V36">
        <f t="shared" si="8"/>
        <v>6.2800360000000083E-2</v>
      </c>
    </row>
    <row r="37" spans="3:22" x14ac:dyDescent="0.25">
      <c r="C37" s="5">
        <v>35</v>
      </c>
      <c r="D37" s="5" t="s">
        <v>19</v>
      </c>
      <c r="E37" s="5">
        <v>1262.1400000000001</v>
      </c>
      <c r="F37" s="5">
        <v>1269.68</v>
      </c>
      <c r="G37" s="5">
        <f t="shared" si="2"/>
        <v>21.485411140583661</v>
      </c>
      <c r="H37" s="5">
        <v>4.2</v>
      </c>
      <c r="I37" s="5">
        <f t="shared" si="11"/>
        <v>5.6400000000000006</v>
      </c>
      <c r="J37" s="5">
        <f t="shared" si="3"/>
        <v>4.92</v>
      </c>
      <c r="K37">
        <f t="shared" si="4"/>
        <v>2.050624</v>
      </c>
      <c r="L37" s="5">
        <v>35</v>
      </c>
      <c r="M37" s="5" t="s">
        <v>20</v>
      </c>
      <c r="N37" s="5">
        <v>1278.5999999999999</v>
      </c>
      <c r="O37" s="5">
        <v>1283.52</v>
      </c>
      <c r="P37" s="5">
        <f t="shared" si="5"/>
        <v>32.926829268292195</v>
      </c>
      <c r="Q37" s="5">
        <f t="shared" si="12"/>
        <v>8.1300000000000008</v>
      </c>
      <c r="R37" s="5">
        <v>8.1300000000000008</v>
      </c>
      <c r="S37" s="5">
        <f t="shared" si="9"/>
        <v>0.86999999999999922</v>
      </c>
      <c r="T37" s="5">
        <f t="shared" si="9"/>
        <v>0.86999999999999922</v>
      </c>
      <c r="U37" s="5">
        <f t="shared" si="7"/>
        <v>0.86999999999999922</v>
      </c>
      <c r="V37">
        <f t="shared" si="8"/>
        <v>0.26071236000000086</v>
      </c>
    </row>
    <row r="38" spans="3:22" x14ac:dyDescent="0.25">
      <c r="C38" s="5">
        <v>36</v>
      </c>
      <c r="D38" s="5" t="s">
        <v>20</v>
      </c>
      <c r="E38" s="5">
        <v>1262.32</v>
      </c>
      <c r="F38" s="5">
        <v>1268.28</v>
      </c>
      <c r="G38" s="5">
        <f t="shared" si="2"/>
        <v>27.181208053691112</v>
      </c>
      <c r="H38" s="5">
        <v>0.8</v>
      </c>
      <c r="I38" s="5">
        <f t="shared" si="11"/>
        <v>0.8</v>
      </c>
      <c r="J38" s="5">
        <f t="shared" si="3"/>
        <v>0.8</v>
      </c>
      <c r="K38">
        <f t="shared" si="4"/>
        <v>7.2253439999999989</v>
      </c>
      <c r="L38" s="5">
        <v>36</v>
      </c>
      <c r="M38" s="5" t="s">
        <v>20</v>
      </c>
      <c r="N38" s="5">
        <v>1279.32</v>
      </c>
      <c r="O38" s="5">
        <v>1283.8800000000001</v>
      </c>
      <c r="P38" s="5">
        <f t="shared" si="5"/>
        <v>35.526315789472342</v>
      </c>
      <c r="Q38" s="5">
        <f t="shared" si="12"/>
        <v>7.69</v>
      </c>
      <c r="R38" s="5">
        <v>7.69</v>
      </c>
      <c r="S38" s="5">
        <f t="shared" si="9"/>
        <v>1.3099999999999996</v>
      </c>
      <c r="T38" s="5">
        <f t="shared" si="9"/>
        <v>1.3099999999999996</v>
      </c>
      <c r="U38" s="5">
        <f t="shared" si="7"/>
        <v>1.3099999999999996</v>
      </c>
      <c r="V38">
        <f t="shared" si="8"/>
        <v>4.9843600000000618E-3</v>
      </c>
    </row>
    <row r="39" spans="3:22" x14ac:dyDescent="0.25">
      <c r="C39" s="5">
        <v>37</v>
      </c>
      <c r="D39" s="5" t="s">
        <v>20</v>
      </c>
      <c r="E39" s="5">
        <v>1265.2</v>
      </c>
      <c r="F39" s="5">
        <v>1268.8800000000001</v>
      </c>
      <c r="G39" s="5">
        <f t="shared" si="2"/>
        <v>44.021739130434021</v>
      </c>
      <c r="H39" s="5">
        <v>2.35</v>
      </c>
      <c r="I39" s="5">
        <f t="shared" si="11"/>
        <v>2.35</v>
      </c>
      <c r="J39" s="5">
        <f t="shared" si="3"/>
        <v>2.35</v>
      </c>
      <c r="K39">
        <f t="shared" si="4"/>
        <v>1.2950439999999999</v>
      </c>
      <c r="L39" s="5">
        <v>37</v>
      </c>
      <c r="M39" s="5" t="s">
        <v>20</v>
      </c>
      <c r="N39" s="5">
        <v>1280.1600000000001</v>
      </c>
      <c r="O39" s="5">
        <v>1285.04</v>
      </c>
      <c r="P39" s="5">
        <f t="shared" si="5"/>
        <v>33.196721311476217</v>
      </c>
      <c r="Q39" s="5">
        <f t="shared" si="12"/>
        <v>8.31</v>
      </c>
      <c r="R39" s="5">
        <v>8.31</v>
      </c>
      <c r="S39" s="5">
        <f t="shared" si="9"/>
        <v>0.6899999999999995</v>
      </c>
      <c r="T39" s="5">
        <f t="shared" si="9"/>
        <v>0.6899999999999995</v>
      </c>
      <c r="U39" s="5">
        <f t="shared" si="7"/>
        <v>0.6899999999999995</v>
      </c>
      <c r="V39">
        <f t="shared" si="8"/>
        <v>0.47692836000000077</v>
      </c>
    </row>
    <row r="40" spans="3:22" x14ac:dyDescent="0.25">
      <c r="C40" s="5">
        <v>38</v>
      </c>
      <c r="D40" s="5" t="s">
        <v>19</v>
      </c>
      <c r="E40" s="5">
        <v>1266.52</v>
      </c>
      <c r="F40" s="5">
        <v>1270.96</v>
      </c>
      <c r="G40" s="5">
        <f t="shared" si="2"/>
        <v>36.486486486486037</v>
      </c>
      <c r="H40" s="5">
        <v>3.03</v>
      </c>
      <c r="I40" s="5">
        <f t="shared" si="11"/>
        <v>4.47</v>
      </c>
      <c r="J40" s="5">
        <f t="shared" si="3"/>
        <v>3.75</v>
      </c>
      <c r="K40">
        <f t="shared" si="4"/>
        <v>6.8644000000000011E-2</v>
      </c>
      <c r="L40" s="5">
        <v>38</v>
      </c>
      <c r="M40" s="5" t="s">
        <v>20</v>
      </c>
      <c r="N40" s="5">
        <v>1282.48</v>
      </c>
      <c r="O40" s="5">
        <v>1286.8399999999999</v>
      </c>
      <c r="P40" s="5">
        <f t="shared" si="5"/>
        <v>37.15596330275315</v>
      </c>
      <c r="Q40" s="5">
        <f t="shared" si="12"/>
        <v>7.83</v>
      </c>
      <c r="R40" s="5">
        <v>7.83</v>
      </c>
      <c r="S40" s="5">
        <f t="shared" si="9"/>
        <v>1.17</v>
      </c>
      <c r="T40" s="5">
        <f t="shared" si="9"/>
        <v>1.17</v>
      </c>
      <c r="U40" s="5">
        <f t="shared" si="7"/>
        <v>1.17</v>
      </c>
      <c r="V40">
        <f t="shared" si="8"/>
        <v>4.4352360000000049E-2</v>
      </c>
    </row>
    <row r="41" spans="3:22" x14ac:dyDescent="0.25">
      <c r="C41" s="5">
        <v>39</v>
      </c>
      <c r="D41" s="5" t="s">
        <v>19</v>
      </c>
      <c r="E41" s="5">
        <v>1268.68</v>
      </c>
      <c r="F41" s="5">
        <v>1272.6400000000001</v>
      </c>
      <c r="G41" s="5">
        <f t="shared" si="2"/>
        <v>40.90909090909053</v>
      </c>
      <c r="H41" s="5">
        <v>2.87</v>
      </c>
      <c r="I41" s="5">
        <f t="shared" si="11"/>
        <v>4.3100000000000005</v>
      </c>
      <c r="J41" s="5">
        <f t="shared" si="3"/>
        <v>3.5900000000000003</v>
      </c>
      <c r="K41">
        <f t="shared" si="4"/>
        <v>1.0404000000000064E-2</v>
      </c>
      <c r="L41" s="5">
        <v>39</v>
      </c>
      <c r="M41" s="5" t="s">
        <v>20</v>
      </c>
      <c r="N41" s="5">
        <v>1286.8399999999999</v>
      </c>
      <c r="O41" s="5">
        <v>1292.1199999999999</v>
      </c>
      <c r="P41" s="5">
        <f t="shared" si="5"/>
        <v>30.68181818181834</v>
      </c>
      <c r="Q41" s="5">
        <f t="shared" si="12"/>
        <v>7.72</v>
      </c>
      <c r="R41" s="5">
        <v>7.72</v>
      </c>
      <c r="S41" s="5">
        <f t="shared" si="9"/>
        <v>1.2800000000000002</v>
      </c>
      <c r="T41" s="5">
        <f t="shared" si="9"/>
        <v>1.2800000000000002</v>
      </c>
      <c r="U41" s="5">
        <f t="shared" si="7"/>
        <v>1.2800000000000002</v>
      </c>
      <c r="V41">
        <f t="shared" si="8"/>
        <v>1.012035999999996E-2</v>
      </c>
    </row>
    <row r="42" spans="3:22" x14ac:dyDescent="0.25">
      <c r="C42" s="5">
        <v>40</v>
      </c>
      <c r="D42" s="5" t="s">
        <v>24</v>
      </c>
      <c r="E42" s="5">
        <v>1269.44</v>
      </c>
      <c r="F42" s="5">
        <v>1279.04</v>
      </c>
      <c r="G42" s="5">
        <f t="shared" si="2"/>
        <v>16.87500000000016</v>
      </c>
      <c r="H42" s="5">
        <v>0.39</v>
      </c>
      <c r="I42" s="5">
        <f t="shared" si="11"/>
        <v>0.39</v>
      </c>
      <c r="J42" s="5">
        <f t="shared" si="3"/>
        <v>0.39</v>
      </c>
      <c r="K42">
        <f t="shared" si="4"/>
        <v>9.5976039999999987</v>
      </c>
      <c r="L42" s="5">
        <v>40</v>
      </c>
      <c r="M42" s="5" t="s">
        <v>20</v>
      </c>
      <c r="N42" s="5">
        <v>1287.96</v>
      </c>
      <c r="O42" s="5">
        <v>1292.96</v>
      </c>
      <c r="P42" s="5">
        <f t="shared" si="5"/>
        <v>32.4</v>
      </c>
      <c r="Q42" s="5">
        <f t="shared" si="12"/>
        <v>7.61</v>
      </c>
      <c r="R42" s="5">
        <v>7.61</v>
      </c>
      <c r="S42" s="5">
        <f t="shared" si="9"/>
        <v>1.3899999999999997</v>
      </c>
      <c r="T42" s="5">
        <f t="shared" si="9"/>
        <v>1.3899999999999997</v>
      </c>
      <c r="U42" s="5">
        <f t="shared" si="7"/>
        <v>1.3899999999999997</v>
      </c>
      <c r="V42">
        <f t="shared" si="8"/>
        <v>8.8359999999993062E-5</v>
      </c>
    </row>
    <row r="43" spans="3:22" x14ac:dyDescent="0.25">
      <c r="C43" s="5">
        <v>41</v>
      </c>
      <c r="D43" s="5" t="s">
        <v>19</v>
      </c>
      <c r="E43" s="5">
        <v>1272.52</v>
      </c>
      <c r="F43" s="5">
        <v>1276.04</v>
      </c>
      <c r="G43" s="5">
        <f t="shared" si="2"/>
        <v>46.022727272727515</v>
      </c>
      <c r="H43" s="5">
        <v>3.76</v>
      </c>
      <c r="I43" s="5">
        <f t="shared" si="11"/>
        <v>5.1999999999999993</v>
      </c>
      <c r="J43" s="5">
        <f t="shared" si="3"/>
        <v>4.4799999999999995</v>
      </c>
      <c r="K43">
        <f t="shared" si="4"/>
        <v>0.98406399999999905</v>
      </c>
      <c r="L43" s="5">
        <v>41</v>
      </c>
      <c r="M43" s="5" t="s">
        <v>20</v>
      </c>
      <c r="N43" s="5">
        <v>1290.68</v>
      </c>
      <c r="O43" s="5">
        <v>1294.8</v>
      </c>
      <c r="P43" s="5">
        <f t="shared" si="5"/>
        <v>39.320388349515603</v>
      </c>
      <c r="Q43" s="5">
        <f t="shared" si="12"/>
        <v>7.86</v>
      </c>
      <c r="R43" s="5">
        <v>7.86</v>
      </c>
      <c r="S43" s="5">
        <f t="shared" si="9"/>
        <v>1.1399999999999997</v>
      </c>
      <c r="T43" s="5">
        <f t="shared" si="9"/>
        <v>1.1399999999999997</v>
      </c>
      <c r="U43" s="5">
        <f t="shared" si="7"/>
        <v>1.1399999999999997</v>
      </c>
      <c r="V43">
        <f t="shared" si="8"/>
        <v>5.788836000000018E-2</v>
      </c>
    </row>
    <row r="44" spans="3:22" x14ac:dyDescent="0.25">
      <c r="C44" s="5">
        <v>42</v>
      </c>
      <c r="D44" s="5" t="s">
        <v>20</v>
      </c>
      <c r="E44" s="5">
        <v>1273.68</v>
      </c>
      <c r="F44" s="5">
        <v>1277.76</v>
      </c>
      <c r="G44" s="5">
        <f t="shared" si="2"/>
        <v>39.705882352941885</v>
      </c>
      <c r="H44" s="5">
        <v>2.17</v>
      </c>
      <c r="I44" s="5">
        <f t="shared" si="11"/>
        <v>2.17</v>
      </c>
      <c r="J44" s="5">
        <f t="shared" si="3"/>
        <v>2.17</v>
      </c>
      <c r="K44">
        <f t="shared" si="4"/>
        <v>1.7371240000000001</v>
      </c>
      <c r="L44" s="5">
        <v>42</v>
      </c>
      <c r="M44" s="5" t="s">
        <v>20</v>
      </c>
      <c r="N44" s="5">
        <v>1300.4000000000001</v>
      </c>
      <c r="O44" s="5">
        <v>1305.52</v>
      </c>
      <c r="P44" s="5">
        <f t="shared" si="5"/>
        <v>31.640625000000671</v>
      </c>
      <c r="Q44" s="5">
        <f t="shared" si="12"/>
        <v>8.0399999999999991</v>
      </c>
      <c r="R44" s="5">
        <v>8.0399999999999991</v>
      </c>
      <c r="S44" s="5">
        <f t="shared" si="9"/>
        <v>0.96000000000000085</v>
      </c>
      <c r="T44" s="5">
        <f t="shared" si="9"/>
        <v>0.96000000000000085</v>
      </c>
      <c r="U44" s="5">
        <f t="shared" si="7"/>
        <v>0.96000000000000085</v>
      </c>
      <c r="V44">
        <f t="shared" si="8"/>
        <v>0.17690435999999932</v>
      </c>
    </row>
    <row r="45" spans="3:22" x14ac:dyDescent="0.25">
      <c r="C45" s="5">
        <v>43</v>
      </c>
      <c r="D45" s="5" t="s">
        <v>19</v>
      </c>
      <c r="E45" s="5">
        <v>1273.68</v>
      </c>
      <c r="F45" s="5">
        <v>1275.9000000000001</v>
      </c>
      <c r="G45" s="5">
        <f t="shared" si="2"/>
        <v>72.972972972972073</v>
      </c>
      <c r="H45" s="5">
        <v>6.15</v>
      </c>
      <c r="I45" s="5">
        <f t="shared" si="11"/>
        <v>7.59</v>
      </c>
      <c r="J45" s="5">
        <f t="shared" si="3"/>
        <v>6.87</v>
      </c>
      <c r="K45">
        <f t="shared" si="4"/>
        <v>11.437924000000001</v>
      </c>
      <c r="L45" s="5">
        <v>43</v>
      </c>
      <c r="M45" s="5" t="s">
        <v>19</v>
      </c>
      <c r="N45" s="5">
        <v>1304.04</v>
      </c>
      <c r="O45" s="5">
        <v>1308.6400000000001</v>
      </c>
      <c r="P45" s="5">
        <f t="shared" si="5"/>
        <v>35.217391304346783</v>
      </c>
      <c r="Q45" s="5">
        <f t="shared" si="12"/>
        <v>8.5</v>
      </c>
      <c r="R45" s="5">
        <v>7.06</v>
      </c>
      <c r="S45" s="5">
        <f t="shared" si="9"/>
        <v>0.5</v>
      </c>
      <c r="T45" s="5">
        <f t="shared" si="9"/>
        <v>1.9400000000000004</v>
      </c>
      <c r="U45" s="5">
        <f t="shared" si="7"/>
        <v>1.2200000000000002</v>
      </c>
      <c r="V45">
        <f t="shared" si="8"/>
        <v>2.5792359999999952E-2</v>
      </c>
    </row>
    <row r="46" spans="3:22" x14ac:dyDescent="0.25">
      <c r="C46" s="5">
        <v>44</v>
      </c>
      <c r="D46" s="5" t="s">
        <v>19</v>
      </c>
      <c r="E46" s="5">
        <v>1274.48</v>
      </c>
      <c r="F46" s="5">
        <v>1277.28</v>
      </c>
      <c r="G46" s="5">
        <f t="shared" si="2"/>
        <v>57.857142857143799</v>
      </c>
      <c r="H46" s="5">
        <v>4.87</v>
      </c>
      <c r="I46" s="5">
        <f t="shared" si="11"/>
        <v>6.3100000000000005</v>
      </c>
      <c r="J46" s="5">
        <f t="shared" si="3"/>
        <v>5.59</v>
      </c>
      <c r="K46">
        <f t="shared" si="4"/>
        <v>4.4184039999999998</v>
      </c>
      <c r="L46" s="5">
        <v>44</v>
      </c>
      <c r="M46" s="5" t="s">
        <v>41</v>
      </c>
      <c r="N46" s="5">
        <v>1305.08</v>
      </c>
      <c r="O46" s="5">
        <v>1317.92</v>
      </c>
      <c r="P46" s="5">
        <f t="shared" si="5"/>
        <v>12.616822429906399</v>
      </c>
      <c r="Q46" s="5">
        <f t="shared" si="12"/>
        <v>8.3000000000000007</v>
      </c>
      <c r="R46" s="5">
        <v>8.3000000000000007</v>
      </c>
      <c r="S46" s="5">
        <f t="shared" si="9"/>
        <v>0.69999999999999929</v>
      </c>
      <c r="T46" s="5">
        <f t="shared" si="9"/>
        <v>0.69999999999999929</v>
      </c>
      <c r="U46" s="5">
        <f t="shared" si="7"/>
        <v>0.69999999999999929</v>
      </c>
      <c r="V46">
        <f t="shared" si="8"/>
        <v>0.46321636000000105</v>
      </c>
    </row>
    <row r="47" spans="3:22" x14ac:dyDescent="0.25">
      <c r="C47" s="5">
        <v>45</v>
      </c>
      <c r="D47" s="5" t="s">
        <v>27</v>
      </c>
      <c r="E47" s="5">
        <v>1277.6400000000001</v>
      </c>
      <c r="F47" s="5">
        <v>1280.6400000000001</v>
      </c>
      <c r="G47" s="5">
        <f t="shared" si="2"/>
        <v>54</v>
      </c>
      <c r="H47" s="5">
        <v>3.94</v>
      </c>
      <c r="I47" s="5">
        <f t="shared" si="11"/>
        <v>3.94</v>
      </c>
      <c r="J47" s="5">
        <f t="shared" si="3"/>
        <v>3.94</v>
      </c>
      <c r="K47">
        <f t="shared" si="4"/>
        <v>0.20430399999999996</v>
      </c>
      <c r="L47" s="5">
        <v>45</v>
      </c>
      <c r="M47" s="5" t="s">
        <v>24</v>
      </c>
      <c r="N47" s="5">
        <v>1307</v>
      </c>
      <c r="O47" s="5">
        <v>1314.58</v>
      </c>
      <c r="P47" s="5">
        <f t="shared" si="5"/>
        <v>21.372031662269336</v>
      </c>
      <c r="Q47" s="5">
        <f t="shared" si="12"/>
        <v>8.34</v>
      </c>
      <c r="R47" s="5">
        <v>8.34</v>
      </c>
      <c r="S47" s="5">
        <f t="shared" si="9"/>
        <v>0.66000000000000014</v>
      </c>
      <c r="T47" s="5">
        <f t="shared" si="9"/>
        <v>0.66000000000000014</v>
      </c>
      <c r="U47" s="5">
        <f t="shared" si="7"/>
        <v>0.66000000000000014</v>
      </c>
      <c r="V47">
        <f t="shared" si="8"/>
        <v>0.51926435999999987</v>
      </c>
    </row>
    <row r="48" spans="3:22" x14ac:dyDescent="0.25">
      <c r="C48" s="5">
        <v>46</v>
      </c>
      <c r="D48" s="5" t="s">
        <v>19</v>
      </c>
      <c r="E48" s="5">
        <v>1278.6400000000001</v>
      </c>
      <c r="F48" s="5">
        <v>1282.2</v>
      </c>
      <c r="G48" s="5">
        <f t="shared" si="2"/>
        <v>45.505617977528793</v>
      </c>
      <c r="H48" s="5">
        <v>3.67</v>
      </c>
      <c r="I48" s="5">
        <f t="shared" si="11"/>
        <v>5.1099999999999994</v>
      </c>
      <c r="J48" s="5">
        <f t="shared" si="3"/>
        <v>4.3899999999999997</v>
      </c>
      <c r="K48">
        <f t="shared" si="4"/>
        <v>0.81360399999999944</v>
      </c>
      <c r="L48" s="5">
        <v>46</v>
      </c>
      <c r="M48" s="5" t="s">
        <v>20</v>
      </c>
      <c r="N48" s="5">
        <v>1308.2</v>
      </c>
      <c r="O48" s="5">
        <v>1312.24</v>
      </c>
      <c r="P48" s="5">
        <f t="shared" si="5"/>
        <v>40.09900990099046</v>
      </c>
      <c r="Q48" s="5">
        <f t="shared" si="12"/>
        <v>7.5</v>
      </c>
      <c r="R48" s="5">
        <v>7.5</v>
      </c>
      <c r="S48" s="5">
        <f t="shared" si="9"/>
        <v>1.5</v>
      </c>
      <c r="T48" s="5">
        <f t="shared" si="9"/>
        <v>1.5</v>
      </c>
      <c r="U48" s="5">
        <f t="shared" si="7"/>
        <v>1.5</v>
      </c>
      <c r="V48">
        <f t="shared" si="8"/>
        <v>1.4256359999999989E-2</v>
      </c>
    </row>
    <row r="49" spans="3:22" x14ac:dyDescent="0.25">
      <c r="C49" s="5">
        <v>47</v>
      </c>
      <c r="D49" s="5" t="s">
        <v>24</v>
      </c>
      <c r="E49" s="5">
        <v>1281.72</v>
      </c>
      <c r="F49" s="5">
        <v>1289.6400000000001</v>
      </c>
      <c r="G49" s="5">
        <f t="shared" si="2"/>
        <v>20.454545454545265</v>
      </c>
      <c r="H49" s="5">
        <v>0.3</v>
      </c>
      <c r="I49" s="5">
        <f t="shared" si="11"/>
        <v>0.3</v>
      </c>
      <c r="J49" s="5">
        <f t="shared" si="3"/>
        <v>0.3</v>
      </c>
      <c r="K49">
        <f t="shared" si="4"/>
        <v>10.163344</v>
      </c>
      <c r="L49" s="5">
        <v>47</v>
      </c>
      <c r="M49" s="5" t="s">
        <v>19</v>
      </c>
      <c r="N49" s="5">
        <v>1310.3599999999999</v>
      </c>
      <c r="O49" s="5">
        <v>1314.36</v>
      </c>
      <c r="P49" s="5">
        <f t="shared" si="5"/>
        <v>40.5</v>
      </c>
      <c r="Q49" s="5">
        <f t="shared" si="12"/>
        <v>8.09</v>
      </c>
      <c r="R49" s="5">
        <v>6.65</v>
      </c>
      <c r="S49" s="5">
        <f t="shared" si="9"/>
        <v>0.91000000000000014</v>
      </c>
      <c r="T49" s="5">
        <f t="shared" si="9"/>
        <v>2.3499999999999996</v>
      </c>
      <c r="U49" s="5">
        <f t="shared" si="7"/>
        <v>1.63</v>
      </c>
      <c r="V49">
        <f t="shared" si="8"/>
        <v>6.220035999999992E-2</v>
      </c>
    </row>
    <row r="50" spans="3:22" x14ac:dyDescent="0.25">
      <c r="C50" s="5">
        <v>48</v>
      </c>
      <c r="D50" s="5" t="s">
        <v>19</v>
      </c>
      <c r="E50" s="5">
        <v>1285.8</v>
      </c>
      <c r="F50" s="5">
        <v>1288.76</v>
      </c>
      <c r="G50" s="5">
        <f t="shared" si="2"/>
        <v>54.729729729729058</v>
      </c>
      <c r="H50" s="5">
        <v>3.18</v>
      </c>
      <c r="I50" s="5">
        <f t="shared" si="11"/>
        <v>4.62</v>
      </c>
      <c r="J50" s="5">
        <f t="shared" si="3"/>
        <v>3.9000000000000004</v>
      </c>
      <c r="K50">
        <f t="shared" si="4"/>
        <v>0.16974400000000031</v>
      </c>
      <c r="L50" s="5">
        <v>48</v>
      </c>
      <c r="M50" s="5" t="s">
        <v>20</v>
      </c>
      <c r="N50" s="5">
        <v>1311.24</v>
      </c>
      <c r="O50" s="5">
        <v>1315.12</v>
      </c>
      <c r="P50" s="5">
        <f t="shared" si="5"/>
        <v>41.752577319588902</v>
      </c>
      <c r="Q50" s="5">
        <f t="shared" si="12"/>
        <v>7.02</v>
      </c>
      <c r="R50" s="5">
        <v>7.02</v>
      </c>
      <c r="S50" s="5">
        <f t="shared" si="9"/>
        <v>1.9800000000000004</v>
      </c>
      <c r="T50" s="5">
        <f t="shared" si="9"/>
        <v>1.9800000000000004</v>
      </c>
      <c r="U50" s="5">
        <f t="shared" si="7"/>
        <v>1.9800000000000004</v>
      </c>
      <c r="V50">
        <f t="shared" si="8"/>
        <v>0.35928036000000046</v>
      </c>
    </row>
    <row r="51" spans="3:22" x14ac:dyDescent="0.25">
      <c r="C51" s="5">
        <v>49</v>
      </c>
      <c r="D51" s="5" t="s">
        <v>19</v>
      </c>
      <c r="E51" s="5">
        <v>1286.72</v>
      </c>
      <c r="F51" s="5">
        <v>1289.24</v>
      </c>
      <c r="G51" s="5">
        <f t="shared" si="2"/>
        <v>64.285714285714747</v>
      </c>
      <c r="H51" s="5">
        <v>4.58</v>
      </c>
      <c r="I51" s="5">
        <f t="shared" si="11"/>
        <v>6.02</v>
      </c>
      <c r="J51" s="5">
        <f t="shared" si="3"/>
        <v>5.3</v>
      </c>
      <c r="K51">
        <f t="shared" si="4"/>
        <v>3.2833439999999996</v>
      </c>
      <c r="L51" s="5">
        <v>49</v>
      </c>
      <c r="M51" s="5" t="s">
        <v>20</v>
      </c>
      <c r="N51" s="5">
        <v>1312.4</v>
      </c>
      <c r="O51" s="5">
        <v>1319.04</v>
      </c>
      <c r="P51" s="5">
        <f t="shared" si="5"/>
        <v>24.397590361446252</v>
      </c>
      <c r="Q51" s="5">
        <f t="shared" si="12"/>
        <v>8.56</v>
      </c>
      <c r="R51" s="5">
        <v>8.56</v>
      </c>
      <c r="S51" s="5">
        <f t="shared" si="9"/>
        <v>0.4399999999999995</v>
      </c>
      <c r="T51" s="5">
        <f t="shared" si="9"/>
        <v>0.4399999999999995</v>
      </c>
      <c r="U51" s="5">
        <f t="shared" si="7"/>
        <v>0.4399999999999995</v>
      </c>
      <c r="V51">
        <f t="shared" si="8"/>
        <v>0.88472836000000099</v>
      </c>
    </row>
    <row r="52" spans="3:22" x14ac:dyDescent="0.25">
      <c r="C52" s="5">
        <v>50</v>
      </c>
      <c r="D52" s="5" t="s">
        <v>19</v>
      </c>
      <c r="E52" s="5">
        <v>1288.8800000000001</v>
      </c>
      <c r="F52" s="5">
        <v>1291.56</v>
      </c>
      <c r="G52" s="5">
        <f t="shared" si="2"/>
        <v>60.447761194033546</v>
      </c>
      <c r="H52" s="5">
        <v>3.82</v>
      </c>
      <c r="I52" s="5">
        <f t="shared" si="11"/>
        <v>5.26</v>
      </c>
      <c r="J52" s="5">
        <f t="shared" si="3"/>
        <v>4.54</v>
      </c>
      <c r="K52">
        <f t="shared" si="4"/>
        <v>1.1067040000000001</v>
      </c>
      <c r="L52" s="5">
        <v>50</v>
      </c>
      <c r="M52" s="5" t="s">
        <v>19</v>
      </c>
      <c r="N52" s="5">
        <v>1312.56</v>
      </c>
      <c r="O52" s="5">
        <v>1316.04</v>
      </c>
      <c r="P52" s="5">
        <f t="shared" si="5"/>
        <v>46.55172413793079</v>
      </c>
      <c r="Q52" s="5">
        <f t="shared" si="12"/>
        <v>7.43</v>
      </c>
      <c r="R52" s="5">
        <v>5.99</v>
      </c>
      <c r="S52" s="5">
        <f t="shared" si="9"/>
        <v>1.5700000000000003</v>
      </c>
      <c r="T52" s="5">
        <f t="shared" si="9"/>
        <v>3.01</v>
      </c>
      <c r="U52" s="5">
        <f t="shared" si="7"/>
        <v>2.29</v>
      </c>
      <c r="V52">
        <f t="shared" si="8"/>
        <v>0.82700836</v>
      </c>
    </row>
    <row r="53" spans="3:22" x14ac:dyDescent="0.25">
      <c r="C53" s="5">
        <v>51</v>
      </c>
      <c r="D53" s="5" t="s">
        <v>21</v>
      </c>
      <c r="E53" s="5">
        <v>1289.1600000000001</v>
      </c>
      <c r="F53" s="5">
        <v>1294.24</v>
      </c>
      <c r="G53" s="5">
        <f t="shared" si="2"/>
        <v>31.889763779528014</v>
      </c>
      <c r="H53" s="5">
        <v>1.82</v>
      </c>
      <c r="I53" s="5">
        <f t="shared" si="11"/>
        <v>3.92</v>
      </c>
      <c r="J53" s="5">
        <f t="shared" si="3"/>
        <v>2.87</v>
      </c>
      <c r="K53">
        <f t="shared" si="4"/>
        <v>0.38192399999999987</v>
      </c>
      <c r="L53" s="5">
        <v>51</v>
      </c>
      <c r="M53" s="5" t="s">
        <v>19</v>
      </c>
      <c r="N53" s="5">
        <v>1313.88</v>
      </c>
      <c r="O53" s="5">
        <v>1318.5</v>
      </c>
      <c r="P53" s="5">
        <f t="shared" si="5"/>
        <v>35.064935064935895</v>
      </c>
      <c r="Q53" s="5">
        <f t="shared" si="12"/>
        <v>7.6300000000000008</v>
      </c>
      <c r="R53" s="5">
        <v>6.19</v>
      </c>
      <c r="S53" s="5">
        <f t="shared" si="9"/>
        <v>1.3699999999999992</v>
      </c>
      <c r="T53" s="5">
        <f t="shared" si="9"/>
        <v>2.8099999999999996</v>
      </c>
      <c r="U53" s="5">
        <f t="shared" si="7"/>
        <v>2.0899999999999994</v>
      </c>
      <c r="V53">
        <f t="shared" si="8"/>
        <v>0.50324835999999906</v>
      </c>
    </row>
    <row r="54" spans="3:22" x14ac:dyDescent="0.25">
      <c r="C54" s="5">
        <v>52</v>
      </c>
      <c r="D54" s="5" t="s">
        <v>20</v>
      </c>
      <c r="E54" s="5">
        <v>1292.58</v>
      </c>
      <c r="F54" s="5">
        <v>1297.28</v>
      </c>
      <c r="G54" s="5">
        <f t="shared" si="2"/>
        <v>34.468085106382645</v>
      </c>
      <c r="H54" s="5">
        <v>2.17</v>
      </c>
      <c r="I54" s="5">
        <f t="shared" si="11"/>
        <v>2.17</v>
      </c>
      <c r="J54" s="5">
        <f t="shared" si="3"/>
        <v>2.17</v>
      </c>
      <c r="K54">
        <f t="shared" si="4"/>
        <v>1.7371240000000001</v>
      </c>
      <c r="L54" s="5">
        <v>52</v>
      </c>
      <c r="M54" s="5" t="s">
        <v>20</v>
      </c>
      <c r="N54" s="5">
        <v>1314.96</v>
      </c>
      <c r="O54" s="5">
        <v>1319.2</v>
      </c>
      <c r="P54" s="5">
        <f t="shared" si="5"/>
        <v>38.207547169811235</v>
      </c>
      <c r="Q54" s="5">
        <f t="shared" si="12"/>
        <v>7.96</v>
      </c>
      <c r="R54" s="5">
        <v>7.96</v>
      </c>
      <c r="S54" s="5">
        <f t="shared" si="9"/>
        <v>1.04</v>
      </c>
      <c r="T54" s="5">
        <f t="shared" si="9"/>
        <v>1.04</v>
      </c>
      <c r="U54" s="5">
        <f t="shared" si="7"/>
        <v>1.04</v>
      </c>
      <c r="V54">
        <f t="shared" si="8"/>
        <v>0.11600836</v>
      </c>
    </row>
    <row r="55" spans="3:22" x14ac:dyDescent="0.25">
      <c r="C55" s="5">
        <v>53</v>
      </c>
      <c r="D55" s="5" t="s">
        <v>18</v>
      </c>
      <c r="E55" s="5">
        <v>1293.48</v>
      </c>
      <c r="F55" s="5">
        <v>1297.92</v>
      </c>
      <c r="G55" s="5">
        <f t="shared" si="2"/>
        <v>36.486486486486037</v>
      </c>
      <c r="H55" s="5">
        <v>4.84</v>
      </c>
      <c r="I55" s="5">
        <f t="shared" si="11"/>
        <v>6.24</v>
      </c>
      <c r="J55" s="5">
        <f t="shared" si="3"/>
        <v>5.54</v>
      </c>
      <c r="K55">
        <f t="shared" si="4"/>
        <v>4.2107039999999998</v>
      </c>
      <c r="L55" s="5">
        <v>53</v>
      </c>
      <c r="M55" s="5" t="s">
        <v>19</v>
      </c>
      <c r="N55" s="5">
        <v>1315.64</v>
      </c>
      <c r="O55" s="5">
        <v>1319.92</v>
      </c>
      <c r="P55" s="5">
        <f t="shared" si="5"/>
        <v>37.850467289719866</v>
      </c>
      <c r="Q55" s="5">
        <f t="shared" si="12"/>
        <v>7.7799999999999994</v>
      </c>
      <c r="R55" s="5">
        <v>6.34</v>
      </c>
      <c r="S55" s="5">
        <f t="shared" si="9"/>
        <v>1.2200000000000006</v>
      </c>
      <c r="T55" s="5">
        <f t="shared" si="9"/>
        <v>2.66</v>
      </c>
      <c r="U55" s="5">
        <f t="shared" si="7"/>
        <v>1.9400000000000004</v>
      </c>
      <c r="V55">
        <f t="shared" si="8"/>
        <v>0.31292836000000041</v>
      </c>
    </row>
    <row r="56" spans="3:22" x14ac:dyDescent="0.25">
      <c r="C56" s="5">
        <v>54</v>
      </c>
      <c r="D56" s="5" t="s">
        <v>19</v>
      </c>
      <c r="E56" s="5">
        <v>1294.92</v>
      </c>
      <c r="F56" s="5">
        <v>1298.68</v>
      </c>
      <c r="G56" s="5">
        <f t="shared" si="2"/>
        <v>43.085106382978829</v>
      </c>
      <c r="H56" s="5">
        <v>3.85</v>
      </c>
      <c r="I56" s="5">
        <f t="shared" si="11"/>
        <v>5.29</v>
      </c>
      <c r="J56" s="5">
        <f t="shared" si="3"/>
        <v>4.57</v>
      </c>
      <c r="K56">
        <f t="shared" si="4"/>
        <v>1.1707240000000005</v>
      </c>
      <c r="L56" s="5">
        <v>54</v>
      </c>
      <c r="M56" s="5" t="s">
        <v>19</v>
      </c>
      <c r="N56" s="5">
        <v>1317.68</v>
      </c>
      <c r="O56" s="5">
        <v>1320.96</v>
      </c>
      <c r="P56" s="5">
        <f t="shared" si="5"/>
        <v>49.390243902439437</v>
      </c>
      <c r="Q56" s="5">
        <f t="shared" si="12"/>
        <v>8.3800000000000008</v>
      </c>
      <c r="R56" s="5">
        <v>6.94</v>
      </c>
      <c r="S56" s="5">
        <f t="shared" si="9"/>
        <v>0.61999999999999922</v>
      </c>
      <c r="T56" s="5">
        <f t="shared" si="9"/>
        <v>2.0599999999999996</v>
      </c>
      <c r="U56" s="5">
        <f t="shared" si="7"/>
        <v>1.3399999999999994</v>
      </c>
      <c r="V56">
        <f t="shared" si="8"/>
        <v>1.6483600000000516E-3</v>
      </c>
    </row>
    <row r="57" spans="3:22" x14ac:dyDescent="0.25">
      <c r="C57" s="5">
        <v>55</v>
      </c>
      <c r="D57" s="5" t="s">
        <v>19</v>
      </c>
      <c r="E57" s="5">
        <v>1296.4000000000001</v>
      </c>
      <c r="F57" s="5">
        <v>1300.2</v>
      </c>
      <c r="G57" s="5">
        <f>$A$3/(F57-E57)*3.6</f>
        <v>42.631578947368929</v>
      </c>
      <c r="H57" s="5">
        <v>3.05</v>
      </c>
      <c r="I57" s="5">
        <f t="shared" si="11"/>
        <v>4.49</v>
      </c>
      <c r="J57" s="5">
        <f t="shared" si="3"/>
        <v>3.77</v>
      </c>
      <c r="K57">
        <f t="shared" si="4"/>
        <v>7.9524000000000011E-2</v>
      </c>
      <c r="L57" s="5">
        <v>55</v>
      </c>
      <c r="M57" s="5" t="s">
        <v>19</v>
      </c>
      <c r="N57" s="5">
        <v>1320.04</v>
      </c>
      <c r="O57" s="5">
        <v>1324.8</v>
      </c>
      <c r="P57" s="5">
        <f t="shared" si="5"/>
        <v>34.033613445378215</v>
      </c>
      <c r="Q57" s="5">
        <f t="shared" si="12"/>
        <v>8.4700000000000006</v>
      </c>
      <c r="R57" s="5">
        <v>7.03</v>
      </c>
      <c r="S57" s="5">
        <f t="shared" si="9"/>
        <v>0.52999999999999936</v>
      </c>
      <c r="T57" s="5">
        <f t="shared" si="9"/>
        <v>1.9699999999999998</v>
      </c>
      <c r="U57" s="5">
        <f t="shared" si="7"/>
        <v>1.2499999999999996</v>
      </c>
      <c r="V57">
        <f t="shared" si="8"/>
        <v>1.7056360000000128E-2</v>
      </c>
    </row>
    <row r="58" spans="3:22" x14ac:dyDescent="0.25">
      <c r="C58" s="5">
        <v>56</v>
      </c>
      <c r="D58" s="5" t="s">
        <v>19</v>
      </c>
      <c r="E58" s="5">
        <v>1297.76</v>
      </c>
      <c r="F58" s="5">
        <v>1301.8800000000001</v>
      </c>
      <c r="G58" s="5">
        <f t="shared" si="2"/>
        <v>39.320388349513436</v>
      </c>
      <c r="H58" s="5">
        <v>3.44</v>
      </c>
      <c r="I58" s="5">
        <f t="shared" si="11"/>
        <v>4.88</v>
      </c>
      <c r="J58" s="5">
        <f t="shared" si="3"/>
        <v>4.16</v>
      </c>
      <c r="K58">
        <f t="shared" si="4"/>
        <v>0.45158400000000021</v>
      </c>
      <c r="L58" s="5">
        <v>56</v>
      </c>
      <c r="M58" s="5" t="s">
        <v>18</v>
      </c>
      <c r="N58" s="5">
        <v>1321.48</v>
      </c>
      <c r="O58" s="5">
        <v>1326.12</v>
      </c>
      <c r="P58" s="5">
        <f t="shared" si="5"/>
        <v>34.91379310344923</v>
      </c>
      <c r="Q58" s="5">
        <f t="shared" si="12"/>
        <v>8.57</v>
      </c>
      <c r="R58" s="5">
        <v>7.17</v>
      </c>
      <c r="S58" s="5">
        <f t="shared" si="9"/>
        <v>0.42999999999999972</v>
      </c>
      <c r="T58" s="5">
        <f t="shared" si="9"/>
        <v>1.83</v>
      </c>
      <c r="U58" s="5">
        <f t="shared" si="7"/>
        <v>1.1299999999999999</v>
      </c>
      <c r="V58">
        <f t="shared" si="8"/>
        <v>6.2800360000000083E-2</v>
      </c>
    </row>
    <row r="59" spans="3:22" x14ac:dyDescent="0.25">
      <c r="C59" s="5">
        <v>57</v>
      </c>
      <c r="D59" s="5" t="s">
        <v>19</v>
      </c>
      <c r="E59" s="5">
        <v>1299.48</v>
      </c>
      <c r="F59" s="5">
        <v>1303.5999999999999</v>
      </c>
      <c r="G59" s="5">
        <f t="shared" si="2"/>
        <v>39.320388349515603</v>
      </c>
      <c r="H59" s="5">
        <v>4.05</v>
      </c>
      <c r="I59" s="5">
        <f t="shared" si="11"/>
        <v>5.49</v>
      </c>
      <c r="J59" s="5">
        <f t="shared" si="3"/>
        <v>4.7699999999999996</v>
      </c>
      <c r="K59">
        <f t="shared" si="4"/>
        <v>1.6435239999999989</v>
      </c>
      <c r="L59" s="5">
        <v>57</v>
      </c>
      <c r="M59" s="5" t="s">
        <v>19</v>
      </c>
      <c r="N59" s="5">
        <v>1322.6</v>
      </c>
      <c r="O59" s="5">
        <v>1327.2</v>
      </c>
      <c r="P59" s="5">
        <f t="shared" si="5"/>
        <v>35.217391304346783</v>
      </c>
      <c r="Q59" s="5">
        <f t="shared" si="12"/>
        <v>8.82</v>
      </c>
      <c r="R59" s="5">
        <v>7.38</v>
      </c>
      <c r="S59" s="5">
        <f t="shared" si="9"/>
        <v>0.17999999999999972</v>
      </c>
      <c r="T59" s="5">
        <f t="shared" si="9"/>
        <v>1.62</v>
      </c>
      <c r="U59" s="5">
        <f t="shared" si="7"/>
        <v>0.89999999999999991</v>
      </c>
      <c r="V59">
        <f t="shared" si="8"/>
        <v>0.23097636000000013</v>
      </c>
    </row>
    <row r="60" spans="3:22" x14ac:dyDescent="0.25">
      <c r="C60" s="5">
        <v>58</v>
      </c>
      <c r="D60" s="5" t="s">
        <v>19</v>
      </c>
      <c r="E60" s="5">
        <v>1301</v>
      </c>
      <c r="F60" s="5">
        <v>1304.8399999999999</v>
      </c>
      <c r="G60" s="5">
        <f t="shared" si="2"/>
        <v>42.187500000000902</v>
      </c>
      <c r="H60" s="5">
        <v>3.14</v>
      </c>
      <c r="I60" s="5">
        <f t="shared" si="11"/>
        <v>4.58</v>
      </c>
      <c r="J60" s="5">
        <f t="shared" si="3"/>
        <v>3.8600000000000003</v>
      </c>
      <c r="K60">
        <f t="shared" si="4"/>
        <v>0.13838400000000026</v>
      </c>
      <c r="L60" s="5">
        <v>58</v>
      </c>
      <c r="M60" s="5" t="s">
        <v>18</v>
      </c>
      <c r="N60" s="5">
        <v>1324.36</v>
      </c>
      <c r="O60" s="5">
        <v>1328.7</v>
      </c>
      <c r="P60" s="5">
        <f t="shared" si="5"/>
        <v>37.327188940090913</v>
      </c>
      <c r="Q60" s="5">
        <f t="shared" si="12"/>
        <v>8.4700000000000006</v>
      </c>
      <c r="R60" s="5">
        <v>7.07</v>
      </c>
      <c r="S60" s="5">
        <f t="shared" si="9"/>
        <v>0.52999999999999936</v>
      </c>
      <c r="T60" s="5">
        <f t="shared" si="9"/>
        <v>1.9299999999999997</v>
      </c>
      <c r="U60" s="5">
        <f t="shared" si="7"/>
        <v>1.2299999999999995</v>
      </c>
      <c r="V60">
        <f t="shared" si="8"/>
        <v>2.2680360000000153E-2</v>
      </c>
    </row>
    <row r="61" spans="3:22" x14ac:dyDescent="0.25">
      <c r="C61" s="5">
        <v>59</v>
      </c>
      <c r="D61" s="5" t="s">
        <v>19</v>
      </c>
      <c r="E61" s="5">
        <v>1301.8800000000001</v>
      </c>
      <c r="F61" s="5">
        <v>1306</v>
      </c>
      <c r="G61" s="5">
        <f t="shared" si="2"/>
        <v>39.320388349515603</v>
      </c>
      <c r="H61" s="5">
        <v>4.3600000000000003</v>
      </c>
      <c r="I61" s="5">
        <f t="shared" si="11"/>
        <v>5.8000000000000007</v>
      </c>
      <c r="J61" s="5">
        <f t="shared" si="3"/>
        <v>5.08</v>
      </c>
      <c r="K61">
        <f t="shared" si="4"/>
        <v>2.5344640000000003</v>
      </c>
      <c r="L61" s="5">
        <v>59</v>
      </c>
      <c r="M61" s="5" t="s">
        <v>19</v>
      </c>
      <c r="N61" s="5">
        <v>126.12</v>
      </c>
      <c r="O61" s="5">
        <v>1330.36</v>
      </c>
      <c r="P61" s="5">
        <f t="shared" si="5"/>
        <v>0.13452467946588723</v>
      </c>
      <c r="Q61" s="5">
        <f t="shared" si="12"/>
        <v>8.15</v>
      </c>
      <c r="R61" s="5">
        <v>6.71</v>
      </c>
      <c r="S61" s="5">
        <f t="shared" si="9"/>
        <v>0.84999999999999964</v>
      </c>
      <c r="T61" s="5">
        <f t="shared" si="9"/>
        <v>2.29</v>
      </c>
      <c r="U61" s="5">
        <f t="shared" si="7"/>
        <v>1.5699999999999998</v>
      </c>
      <c r="V61">
        <f t="shared" si="8"/>
        <v>3.5872359999999923E-2</v>
      </c>
    </row>
    <row r="62" spans="3:22" x14ac:dyDescent="0.25">
      <c r="C62" s="5">
        <v>60</v>
      </c>
      <c r="D62" s="5" t="s">
        <v>19</v>
      </c>
      <c r="E62" s="5">
        <v>1302.56</v>
      </c>
      <c r="F62" s="5">
        <v>1306.68</v>
      </c>
      <c r="G62" s="5">
        <f t="shared" si="2"/>
        <v>39.320388349513436</v>
      </c>
      <c r="H62" s="5">
        <v>1.92</v>
      </c>
      <c r="I62" s="5">
        <f t="shared" si="11"/>
        <v>3.36</v>
      </c>
      <c r="J62" s="5">
        <f t="shared" si="3"/>
        <v>2.6399999999999997</v>
      </c>
      <c r="K62">
        <f t="shared" si="4"/>
        <v>0.71910400000000052</v>
      </c>
      <c r="L62" s="5">
        <v>60</v>
      </c>
      <c r="M62" s="5" t="s">
        <v>19</v>
      </c>
      <c r="N62" s="5">
        <v>1328.52</v>
      </c>
      <c r="O62" s="5">
        <v>1334.76</v>
      </c>
      <c r="P62" s="5">
        <f t="shared" si="5"/>
        <v>25.961538461538424</v>
      </c>
      <c r="Q62" s="5">
        <f t="shared" si="12"/>
        <v>8.9</v>
      </c>
      <c r="R62" s="5">
        <v>7.46</v>
      </c>
      <c r="S62" s="5">
        <f t="shared" si="9"/>
        <v>9.9999999999999645E-2</v>
      </c>
      <c r="T62" s="5">
        <f t="shared" si="9"/>
        <v>1.54</v>
      </c>
      <c r="U62" s="5">
        <f t="shared" si="7"/>
        <v>0.81999999999999984</v>
      </c>
      <c r="V62">
        <f t="shared" si="8"/>
        <v>0.31427236000000025</v>
      </c>
    </row>
    <row r="63" spans="3:22" x14ac:dyDescent="0.25">
      <c r="C63" s="5">
        <v>61</v>
      </c>
      <c r="D63" s="5" t="s">
        <v>19</v>
      </c>
      <c r="E63" s="5">
        <v>1303.08</v>
      </c>
      <c r="F63" s="5">
        <v>1307.2</v>
      </c>
      <c r="G63" s="5">
        <f t="shared" si="2"/>
        <v>39.320388349513436</v>
      </c>
      <c r="H63" s="5">
        <v>4.78</v>
      </c>
      <c r="I63" s="5">
        <f t="shared" si="11"/>
        <v>6.2200000000000006</v>
      </c>
      <c r="J63" s="5">
        <f t="shared" si="3"/>
        <v>5.5</v>
      </c>
      <c r="K63">
        <f t="shared" si="4"/>
        <v>4.0481439999999997</v>
      </c>
      <c r="L63" s="5">
        <v>61</v>
      </c>
      <c r="M63" s="5" t="s">
        <v>19</v>
      </c>
      <c r="N63" s="5">
        <v>1328.7</v>
      </c>
      <c r="O63" s="5">
        <v>1333.24</v>
      </c>
      <c r="P63" s="5">
        <f t="shared" si="5"/>
        <v>35.682819383260203</v>
      </c>
      <c r="Q63" s="5">
        <f t="shared" si="12"/>
        <v>7.68</v>
      </c>
      <c r="R63" s="5">
        <v>6.24</v>
      </c>
      <c r="S63" s="5">
        <f t="shared" si="9"/>
        <v>1.3200000000000003</v>
      </c>
      <c r="T63" s="5">
        <f t="shared" si="9"/>
        <v>2.76</v>
      </c>
      <c r="U63" s="5">
        <f t="shared" si="7"/>
        <v>2.04</v>
      </c>
      <c r="V63">
        <f t="shared" si="8"/>
        <v>0.43480836</v>
      </c>
    </row>
    <row r="64" spans="3:22" x14ac:dyDescent="0.25">
      <c r="C64" s="5">
        <v>62</v>
      </c>
      <c r="D64" s="5" t="s">
        <v>19</v>
      </c>
      <c r="E64" s="5">
        <v>1303.8800000000001</v>
      </c>
      <c r="F64" s="5">
        <v>1307.92</v>
      </c>
      <c r="G64" s="5">
        <f t="shared" si="2"/>
        <v>40.09900990099046</v>
      </c>
      <c r="H64" s="5">
        <v>4.6500000000000004</v>
      </c>
      <c r="I64" s="5">
        <f t="shared" si="11"/>
        <v>6.09</v>
      </c>
      <c r="J64" s="5">
        <f t="shared" si="3"/>
        <v>5.37</v>
      </c>
      <c r="K64">
        <f t="shared" si="4"/>
        <v>3.5419240000000003</v>
      </c>
      <c r="L64" s="5">
        <v>62</v>
      </c>
      <c r="M64" s="5" t="s">
        <v>19</v>
      </c>
      <c r="N64" s="5">
        <v>1330.1</v>
      </c>
      <c r="O64" s="5">
        <v>1334.36</v>
      </c>
      <c r="P64" s="5">
        <f t="shared" si="5"/>
        <v>38.02816901408459</v>
      </c>
      <c r="Q64" s="5">
        <f t="shared" si="12"/>
        <v>7.6300000000000008</v>
      </c>
      <c r="R64" s="5">
        <v>6.19</v>
      </c>
      <c r="S64" s="5">
        <f t="shared" si="9"/>
        <v>1.3699999999999992</v>
      </c>
      <c r="T64" s="5">
        <f t="shared" si="9"/>
        <v>2.8099999999999996</v>
      </c>
      <c r="U64" s="5">
        <f t="shared" si="7"/>
        <v>2.0899999999999994</v>
      </c>
      <c r="V64">
        <f t="shared" si="8"/>
        <v>0.50324835999999906</v>
      </c>
    </row>
    <row r="65" spans="3:22" x14ac:dyDescent="0.25">
      <c r="C65" s="5">
        <v>63</v>
      </c>
      <c r="D65" s="5" t="s">
        <v>19</v>
      </c>
      <c r="E65" s="5">
        <v>1304.4000000000001</v>
      </c>
      <c r="F65" s="5">
        <v>1308.8399999999999</v>
      </c>
      <c r="G65" s="5">
        <f t="shared" si="2"/>
        <v>36.486486486487905</v>
      </c>
      <c r="H65" s="5">
        <v>4.13</v>
      </c>
      <c r="I65" s="5">
        <f t="shared" si="11"/>
        <v>5.57</v>
      </c>
      <c r="J65" s="5">
        <f t="shared" si="3"/>
        <v>4.8499999999999996</v>
      </c>
      <c r="K65">
        <f t="shared" si="4"/>
        <v>1.855043999999999</v>
      </c>
      <c r="L65" s="5">
        <v>63</v>
      </c>
      <c r="M65" s="5" t="s">
        <v>20</v>
      </c>
      <c r="N65" s="5">
        <v>1330.8</v>
      </c>
      <c r="O65" s="5">
        <v>1334.88</v>
      </c>
      <c r="P65" s="5">
        <f t="shared" si="5"/>
        <v>39.705882352939675</v>
      </c>
      <c r="Q65" s="5">
        <f t="shared" si="12"/>
        <v>5.69</v>
      </c>
      <c r="R65" s="5">
        <v>5.69</v>
      </c>
      <c r="S65" s="5">
        <f t="shared" si="9"/>
        <v>3.3099999999999996</v>
      </c>
      <c r="T65" s="5">
        <f t="shared" si="9"/>
        <v>3.3099999999999996</v>
      </c>
      <c r="U65" s="5">
        <f t="shared" si="7"/>
        <v>3.3099999999999996</v>
      </c>
      <c r="V65">
        <f t="shared" si="8"/>
        <v>3.7225843599999981</v>
      </c>
    </row>
    <row r="66" spans="3:22" x14ac:dyDescent="0.25">
      <c r="C66" s="5">
        <v>64</v>
      </c>
      <c r="D66" s="5" t="s">
        <v>19</v>
      </c>
      <c r="E66" s="5">
        <v>1304.48</v>
      </c>
      <c r="F66" s="5">
        <v>1307.76</v>
      </c>
      <c r="G66" s="5">
        <f t="shared" si="2"/>
        <v>49.390243902439437</v>
      </c>
      <c r="H66" s="5">
        <v>2.0699999999999998</v>
      </c>
      <c r="I66" s="5">
        <f t="shared" si="11"/>
        <v>3.51</v>
      </c>
      <c r="J66" s="5">
        <f t="shared" si="3"/>
        <v>2.79</v>
      </c>
      <c r="K66">
        <f t="shared" si="4"/>
        <v>0.48720399999999991</v>
      </c>
      <c r="L66" s="5">
        <v>64</v>
      </c>
      <c r="M66" s="5" t="s">
        <v>24</v>
      </c>
      <c r="N66" s="5">
        <v>1330.92</v>
      </c>
      <c r="O66" s="5">
        <v>1339.12</v>
      </c>
      <c r="P66" s="5">
        <f t="shared" si="5"/>
        <v>19.756097560976048</v>
      </c>
      <c r="Q66" s="5">
        <f t="shared" si="12"/>
        <v>8.86</v>
      </c>
      <c r="R66" s="5">
        <v>8.86</v>
      </c>
      <c r="S66" s="5">
        <f t="shared" si="9"/>
        <v>0.14000000000000057</v>
      </c>
      <c r="T66" s="5">
        <f t="shared" si="9"/>
        <v>0.14000000000000057</v>
      </c>
      <c r="U66" s="5">
        <f t="shared" si="7"/>
        <v>0.14000000000000057</v>
      </c>
      <c r="V66">
        <f t="shared" si="8"/>
        <v>1.5390883599999987</v>
      </c>
    </row>
    <row r="67" spans="3:22" x14ac:dyDescent="0.25">
      <c r="C67" s="5">
        <v>65</v>
      </c>
      <c r="D67" s="5" t="s">
        <v>20</v>
      </c>
      <c r="E67" s="5">
        <v>1305.1600000000001</v>
      </c>
      <c r="F67" s="5">
        <v>1309.5999999999999</v>
      </c>
      <c r="G67" s="5">
        <f t="shared" si="2"/>
        <v>36.486486486487905</v>
      </c>
      <c r="H67" s="5">
        <v>5.18</v>
      </c>
      <c r="I67" s="5">
        <f t="shared" ref="I67:I98" si="13">IF(D67="Car",H67+1.44,IF(D67="Bus",H67+2.43,IF(D67="Auto",H67+1.4,IF(D67="TAT", H67+2.1, IF(D67="TAT", H67+2.35,H67)))))</f>
        <v>5.18</v>
      </c>
      <c r="J67" s="5">
        <f t="shared" si="3"/>
        <v>5.18</v>
      </c>
      <c r="K67">
        <f t="shared" si="4"/>
        <v>2.8628639999999992</v>
      </c>
      <c r="L67" s="5">
        <v>65</v>
      </c>
      <c r="M67" s="5" t="s">
        <v>19</v>
      </c>
      <c r="N67" s="5">
        <v>1332.44</v>
      </c>
      <c r="O67" s="5">
        <v>1337.44</v>
      </c>
      <c r="P67" s="5">
        <f t="shared" si="5"/>
        <v>32.4</v>
      </c>
      <c r="Q67" s="5">
        <f t="shared" ref="Q67:Q98" si="14">IF(M67="Car", R67 + 1.44, IF(M67="Bus", R67+2.43,IF(M67="Auto", R67+1.4,IF(M67="TAT",R67+2.1,IF(M67="TAT", R67 + 2.35, R67)))))</f>
        <v>7.51</v>
      </c>
      <c r="R67" s="5">
        <v>6.07</v>
      </c>
      <c r="S67" s="5">
        <f t="shared" si="9"/>
        <v>1.4900000000000002</v>
      </c>
      <c r="T67" s="5">
        <f t="shared" si="9"/>
        <v>2.9299999999999997</v>
      </c>
      <c r="U67" s="5">
        <f t="shared" si="7"/>
        <v>2.21</v>
      </c>
      <c r="V67">
        <f t="shared" si="8"/>
        <v>0.68790435999999988</v>
      </c>
    </row>
    <row r="68" spans="3:22" x14ac:dyDescent="0.25">
      <c r="C68" s="5">
        <v>66</v>
      </c>
      <c r="D68" s="5" t="s">
        <v>19</v>
      </c>
      <c r="E68" s="5">
        <v>1305.72</v>
      </c>
      <c r="F68" s="5">
        <v>1310.1199999999999</v>
      </c>
      <c r="G68" s="5">
        <f t="shared" ref="G68:G171" si="15">$A$3/(F68-E68)*3.6</f>
        <v>36.818181818182964</v>
      </c>
      <c r="H68" s="5">
        <v>3.05</v>
      </c>
      <c r="I68" s="5">
        <f t="shared" si="13"/>
        <v>4.49</v>
      </c>
      <c r="J68" s="5">
        <f t="shared" ref="J68:J171" si="16">(H68+I68)/2</f>
        <v>3.77</v>
      </c>
      <c r="K68">
        <f t="shared" ref="K68:K131" si="17">(J68-3.488)^2</f>
        <v>7.9524000000000011E-2</v>
      </c>
      <c r="L68" s="5">
        <v>66</v>
      </c>
      <c r="M68" s="5" t="s">
        <v>19</v>
      </c>
      <c r="N68" s="5">
        <v>1333.52</v>
      </c>
      <c r="O68" s="5">
        <v>1338.48</v>
      </c>
      <c r="P68" s="5">
        <f t="shared" ref="P68:P127" si="18">$A$3/(O68-N68)*3.6</f>
        <v>32.661290322580406</v>
      </c>
      <c r="Q68" s="5">
        <f t="shared" si="14"/>
        <v>8.19</v>
      </c>
      <c r="R68" s="5">
        <v>6.75</v>
      </c>
      <c r="S68" s="5">
        <f t="shared" si="9"/>
        <v>0.8100000000000005</v>
      </c>
      <c r="T68" s="5">
        <f t="shared" si="9"/>
        <v>2.25</v>
      </c>
      <c r="U68" s="5">
        <f t="shared" ref="U68:U127" si="19">(S68+T68)/2</f>
        <v>1.5300000000000002</v>
      </c>
      <c r="V68">
        <f t="shared" ref="V68:V127" si="20">(U68-1.3806)^2</f>
        <v>2.232036000000006E-2</v>
      </c>
    </row>
    <row r="69" spans="3:22" x14ac:dyDescent="0.25">
      <c r="C69" s="5">
        <v>67</v>
      </c>
      <c r="D69" s="5" t="s">
        <v>19</v>
      </c>
      <c r="E69" s="5">
        <v>1306.5999999999999</v>
      </c>
      <c r="F69" s="5">
        <v>1310.88</v>
      </c>
      <c r="G69" s="5">
        <f t="shared" si="15"/>
        <v>37.850467289717862</v>
      </c>
      <c r="H69" s="5">
        <v>3.91</v>
      </c>
      <c r="I69" s="5">
        <f t="shared" si="13"/>
        <v>5.35</v>
      </c>
      <c r="J69" s="5">
        <f t="shared" si="16"/>
        <v>4.63</v>
      </c>
      <c r="K69">
        <f t="shared" si="17"/>
        <v>1.3041639999999999</v>
      </c>
      <c r="L69" s="5">
        <v>67</v>
      </c>
      <c r="M69" s="5" t="s">
        <v>19</v>
      </c>
      <c r="N69" s="5">
        <v>1334.88</v>
      </c>
      <c r="O69" s="5">
        <v>1340.04</v>
      </c>
      <c r="P69" s="5">
        <f t="shared" si="18"/>
        <v>31.395348837210189</v>
      </c>
      <c r="Q69" s="5">
        <f t="shared" si="14"/>
        <v>7.73</v>
      </c>
      <c r="R69" s="5">
        <v>6.29</v>
      </c>
      <c r="S69" s="5">
        <f t="shared" si="9"/>
        <v>1.2699999999999996</v>
      </c>
      <c r="T69" s="5">
        <f t="shared" si="9"/>
        <v>2.71</v>
      </c>
      <c r="U69" s="5">
        <f t="shared" si="19"/>
        <v>1.9899999999999998</v>
      </c>
      <c r="V69">
        <f t="shared" si="20"/>
        <v>0.37136835999999968</v>
      </c>
    </row>
    <row r="70" spans="3:22" x14ac:dyDescent="0.25">
      <c r="C70" s="5">
        <v>68</v>
      </c>
      <c r="D70" s="5" t="s">
        <v>19</v>
      </c>
      <c r="E70" s="5">
        <v>1307</v>
      </c>
      <c r="F70" s="5">
        <v>1311.44</v>
      </c>
      <c r="G70" s="5">
        <f t="shared" si="15"/>
        <v>36.486486486486037</v>
      </c>
      <c r="H70" s="5">
        <v>1.53</v>
      </c>
      <c r="I70" s="5">
        <f t="shared" si="13"/>
        <v>2.9699999999999998</v>
      </c>
      <c r="J70" s="5">
        <f t="shared" si="16"/>
        <v>2.25</v>
      </c>
      <c r="K70">
        <f t="shared" si="17"/>
        <v>1.5326439999999999</v>
      </c>
      <c r="L70" s="5">
        <v>68</v>
      </c>
      <c r="M70" s="5" t="s">
        <v>19</v>
      </c>
      <c r="N70" s="5">
        <v>1336.2</v>
      </c>
      <c r="O70" s="5">
        <v>1341.6</v>
      </c>
      <c r="P70" s="5">
        <f t="shared" si="18"/>
        <v>30.000000000000757</v>
      </c>
      <c r="Q70" s="5">
        <f t="shared" si="14"/>
        <v>8.33</v>
      </c>
      <c r="R70" s="5">
        <v>6.89</v>
      </c>
      <c r="S70" s="5">
        <f t="shared" si="9"/>
        <v>0.66999999999999993</v>
      </c>
      <c r="T70" s="5">
        <f t="shared" si="9"/>
        <v>2.1100000000000003</v>
      </c>
      <c r="U70" s="5">
        <f t="shared" si="19"/>
        <v>1.3900000000000001</v>
      </c>
      <c r="V70">
        <f t="shared" si="20"/>
        <v>8.8360000000001411E-5</v>
      </c>
    </row>
    <row r="71" spans="3:22" x14ac:dyDescent="0.25">
      <c r="C71" s="5">
        <v>69</v>
      </c>
      <c r="D71" s="5" t="s">
        <v>19</v>
      </c>
      <c r="E71" s="5">
        <v>1307.8399999999999</v>
      </c>
      <c r="F71" s="5">
        <v>1312.8</v>
      </c>
      <c r="G71" s="5">
        <f t="shared" si="15"/>
        <v>32.661290322580406</v>
      </c>
      <c r="H71" s="5">
        <v>3.61</v>
      </c>
      <c r="I71" s="5">
        <f t="shared" si="13"/>
        <v>5.05</v>
      </c>
      <c r="J71" s="5">
        <f t="shared" si="16"/>
        <v>4.33</v>
      </c>
      <c r="K71">
        <f t="shared" si="17"/>
        <v>0.70896400000000015</v>
      </c>
      <c r="L71" s="5">
        <v>69</v>
      </c>
      <c r="M71" s="5" t="s">
        <v>20</v>
      </c>
      <c r="N71" s="5">
        <v>1342.68</v>
      </c>
      <c r="O71" s="5">
        <v>1346.36</v>
      </c>
      <c r="P71" s="5">
        <f t="shared" si="18"/>
        <v>44.021739130436742</v>
      </c>
      <c r="Q71" s="5">
        <f t="shared" si="14"/>
        <v>8.83</v>
      </c>
      <c r="R71" s="5">
        <v>8.83</v>
      </c>
      <c r="S71" s="5">
        <f t="shared" si="9"/>
        <v>0.16999999999999993</v>
      </c>
      <c r="T71" s="5">
        <f t="shared" si="9"/>
        <v>0.16999999999999993</v>
      </c>
      <c r="U71" s="5">
        <f t="shared" si="19"/>
        <v>0.16999999999999993</v>
      </c>
      <c r="V71">
        <f t="shared" si="20"/>
        <v>1.4655523600000002</v>
      </c>
    </row>
    <row r="72" spans="3:22" x14ac:dyDescent="0.25">
      <c r="C72" s="5">
        <v>70</v>
      </c>
      <c r="D72" s="5" t="s">
        <v>19</v>
      </c>
      <c r="E72" s="5">
        <v>1309.48</v>
      </c>
      <c r="F72" s="5">
        <v>1314.28</v>
      </c>
      <c r="G72" s="5">
        <f t="shared" si="15"/>
        <v>33.75000000000032</v>
      </c>
      <c r="H72" s="5">
        <v>2.38</v>
      </c>
      <c r="I72" s="5">
        <f t="shared" si="13"/>
        <v>3.82</v>
      </c>
      <c r="J72" s="5">
        <f t="shared" si="16"/>
        <v>3.0999999999999996</v>
      </c>
      <c r="K72">
        <f t="shared" si="17"/>
        <v>0.15054400000000026</v>
      </c>
      <c r="L72" s="5">
        <v>70</v>
      </c>
      <c r="M72" s="5" t="s">
        <v>20</v>
      </c>
      <c r="N72" s="5">
        <v>1349.04</v>
      </c>
      <c r="O72" s="5">
        <v>1362.68</v>
      </c>
      <c r="P72" s="5">
        <f t="shared" si="18"/>
        <v>11.876832844574693</v>
      </c>
      <c r="Q72" s="5">
        <f t="shared" si="14"/>
        <v>8.06</v>
      </c>
      <c r="R72" s="5">
        <v>8.06</v>
      </c>
      <c r="S72" s="5">
        <f t="shared" si="9"/>
        <v>0.9399999999999995</v>
      </c>
      <c r="T72" s="5">
        <f t="shared" si="9"/>
        <v>0.9399999999999995</v>
      </c>
      <c r="U72" s="5">
        <f t="shared" si="19"/>
        <v>0.9399999999999995</v>
      </c>
      <c r="V72">
        <f t="shared" si="20"/>
        <v>0.19412836000000047</v>
      </c>
    </row>
    <row r="73" spans="3:22" x14ac:dyDescent="0.25">
      <c r="C73" s="5">
        <v>71</v>
      </c>
      <c r="D73" s="5" t="s">
        <v>19</v>
      </c>
      <c r="E73" s="5">
        <v>1310.4000000000001</v>
      </c>
      <c r="F73" s="5">
        <v>1315.8</v>
      </c>
      <c r="G73" s="5">
        <f t="shared" si="15"/>
        <v>30.000000000000757</v>
      </c>
      <c r="H73" s="5">
        <v>1.39</v>
      </c>
      <c r="I73" s="5">
        <f t="shared" si="13"/>
        <v>2.83</v>
      </c>
      <c r="J73" s="5">
        <f t="shared" si="16"/>
        <v>2.11</v>
      </c>
      <c r="K73">
        <f t="shared" si="17"/>
        <v>1.8988840000000002</v>
      </c>
      <c r="L73" s="5">
        <v>71</v>
      </c>
      <c r="M73" s="5" t="s">
        <v>20</v>
      </c>
      <c r="N73" s="5">
        <v>1363.92</v>
      </c>
      <c r="O73" s="5">
        <v>1366.82</v>
      </c>
      <c r="P73" s="5">
        <f t="shared" si="18"/>
        <v>55.862068965519875</v>
      </c>
      <c r="Q73" s="5">
        <f t="shared" si="14"/>
        <v>7.72</v>
      </c>
      <c r="R73" s="5">
        <v>7.72</v>
      </c>
      <c r="S73" s="5">
        <f t="shared" si="9"/>
        <v>1.2800000000000002</v>
      </c>
      <c r="T73" s="5">
        <f t="shared" si="9"/>
        <v>1.2800000000000002</v>
      </c>
      <c r="U73" s="5">
        <f t="shared" si="19"/>
        <v>1.2800000000000002</v>
      </c>
      <c r="V73">
        <f t="shared" si="20"/>
        <v>1.012035999999996E-2</v>
      </c>
    </row>
    <row r="74" spans="3:22" x14ac:dyDescent="0.25">
      <c r="C74" s="5">
        <v>72</v>
      </c>
      <c r="D74" s="5" t="s">
        <v>19</v>
      </c>
      <c r="E74" s="5">
        <v>1310.92</v>
      </c>
      <c r="F74" s="5">
        <v>1315.4</v>
      </c>
      <c r="G74" s="5">
        <f t="shared" si="15"/>
        <v>36.160714285714143</v>
      </c>
      <c r="H74" s="5">
        <v>4.07</v>
      </c>
      <c r="I74" s="5">
        <f t="shared" si="13"/>
        <v>5.51</v>
      </c>
      <c r="J74" s="5">
        <f t="shared" si="16"/>
        <v>4.79</v>
      </c>
      <c r="K74">
        <f t="shared" si="17"/>
        <v>1.6952040000000002</v>
      </c>
      <c r="L74" s="5">
        <v>72</v>
      </c>
      <c r="M74" s="5" t="s">
        <v>19</v>
      </c>
      <c r="N74" s="5">
        <v>1365.12</v>
      </c>
      <c r="O74" s="5">
        <v>1368.44</v>
      </c>
      <c r="P74" s="5">
        <f t="shared" si="18"/>
        <v>48.795180722889164</v>
      </c>
      <c r="Q74" s="5">
        <f t="shared" si="14"/>
        <v>7.0600000000000005</v>
      </c>
      <c r="R74" s="5">
        <v>5.62</v>
      </c>
      <c r="S74" s="5">
        <f>$A$5-Q74</f>
        <v>1.9399999999999995</v>
      </c>
      <c r="T74" s="5">
        <f t="shared" si="9"/>
        <v>3.38</v>
      </c>
      <c r="U74" s="5">
        <f>(S74+T74)/2</f>
        <v>2.6599999999999997</v>
      </c>
      <c r="V74">
        <f t="shared" si="20"/>
        <v>1.636864359999999</v>
      </c>
    </row>
    <row r="75" spans="3:22" x14ac:dyDescent="0.25">
      <c r="C75" s="5">
        <v>73</v>
      </c>
      <c r="D75" s="5" t="s">
        <v>20</v>
      </c>
      <c r="E75" s="5">
        <v>1313.5</v>
      </c>
      <c r="F75" s="5">
        <v>1319.44</v>
      </c>
      <c r="G75" s="5">
        <f t="shared" si="15"/>
        <v>27.272727272727021</v>
      </c>
      <c r="H75" s="5">
        <v>1.5</v>
      </c>
      <c r="I75" s="5">
        <f t="shared" si="13"/>
        <v>1.5</v>
      </c>
      <c r="J75" s="5">
        <f t="shared" si="16"/>
        <v>1.5</v>
      </c>
      <c r="K75">
        <f t="shared" si="17"/>
        <v>3.9521440000000001</v>
      </c>
      <c r="L75" s="5">
        <v>73</v>
      </c>
      <c r="M75" s="5" t="s">
        <v>18</v>
      </c>
      <c r="N75" s="5">
        <v>1366.76</v>
      </c>
      <c r="O75" s="5">
        <v>1370.12</v>
      </c>
      <c r="P75" s="5">
        <f t="shared" si="18"/>
        <v>48.214285714287151</v>
      </c>
      <c r="Q75" s="5">
        <f t="shared" si="14"/>
        <v>8.0299999999999994</v>
      </c>
      <c r="R75" s="5">
        <v>6.63</v>
      </c>
      <c r="S75" s="5">
        <f>$A$5-Q75</f>
        <v>0.97000000000000064</v>
      </c>
      <c r="T75" s="5">
        <f t="shared" si="9"/>
        <v>2.37</v>
      </c>
      <c r="U75" s="5">
        <f>(S75+T75)/2</f>
        <v>1.6700000000000004</v>
      </c>
      <c r="V75">
        <f t="shared" si="20"/>
        <v>8.3752360000000192E-2</v>
      </c>
    </row>
    <row r="76" spans="3:22" x14ac:dyDescent="0.25">
      <c r="C76" s="5">
        <v>74</v>
      </c>
      <c r="D76" s="5" t="s">
        <v>19</v>
      </c>
      <c r="E76" s="5">
        <v>1314.04</v>
      </c>
      <c r="F76" s="5">
        <v>1318.08</v>
      </c>
      <c r="G76" s="5">
        <f t="shared" si="15"/>
        <v>40.09900990099046</v>
      </c>
      <c r="H76" s="5">
        <v>3.29</v>
      </c>
      <c r="I76" s="5">
        <f t="shared" si="13"/>
        <v>4.7300000000000004</v>
      </c>
      <c r="J76" s="5">
        <f t="shared" si="16"/>
        <v>4.01</v>
      </c>
      <c r="K76">
        <f t="shared" si="17"/>
        <v>0.27248399999999978</v>
      </c>
      <c r="L76" s="5">
        <v>74</v>
      </c>
      <c r="M76" s="5" t="s">
        <v>20</v>
      </c>
      <c r="N76" s="5">
        <v>1367</v>
      </c>
      <c r="O76" s="5">
        <v>1369.68</v>
      </c>
      <c r="P76" s="5">
        <f t="shared" si="18"/>
        <v>60.447761194028416</v>
      </c>
      <c r="Q76" s="5">
        <f t="shared" si="14"/>
        <v>8.7799999999999994</v>
      </c>
      <c r="R76" s="5">
        <v>8.7799999999999994</v>
      </c>
      <c r="S76" s="5">
        <f t="shared" si="9"/>
        <v>0.22000000000000064</v>
      </c>
      <c r="T76" s="5">
        <f t="shared" si="9"/>
        <v>0.22000000000000064</v>
      </c>
      <c r="U76" s="5">
        <f t="shared" si="19"/>
        <v>0.22000000000000064</v>
      </c>
      <c r="V76">
        <f t="shared" si="20"/>
        <v>1.3469923599999987</v>
      </c>
    </row>
    <row r="77" spans="3:22" x14ac:dyDescent="0.25">
      <c r="C77" s="5">
        <v>75</v>
      </c>
      <c r="D77" s="5" t="s">
        <v>20</v>
      </c>
      <c r="E77" s="5">
        <v>1314.68</v>
      </c>
      <c r="F77" s="5">
        <v>1318.5</v>
      </c>
      <c r="G77" s="5">
        <f t="shared" si="15"/>
        <v>42.408376963351493</v>
      </c>
      <c r="H77" s="5">
        <v>2.4500000000000002</v>
      </c>
      <c r="I77" s="5">
        <f t="shared" si="13"/>
        <v>2.4500000000000002</v>
      </c>
      <c r="J77" s="5">
        <f t="shared" si="16"/>
        <v>2.4500000000000002</v>
      </c>
      <c r="K77">
        <f t="shared" si="17"/>
        <v>1.0774439999999996</v>
      </c>
      <c r="L77" s="5">
        <v>75</v>
      </c>
      <c r="M77" s="5" t="s">
        <v>19</v>
      </c>
      <c r="N77" s="5">
        <v>1367.4</v>
      </c>
      <c r="O77" s="5">
        <v>1371.24</v>
      </c>
      <c r="P77" s="5">
        <f t="shared" si="18"/>
        <v>42.187500000000902</v>
      </c>
      <c r="Q77" s="5">
        <f t="shared" si="14"/>
        <v>7.26</v>
      </c>
      <c r="R77" s="5">
        <v>5.82</v>
      </c>
      <c r="S77" s="5">
        <f t="shared" si="9"/>
        <v>1.7400000000000002</v>
      </c>
      <c r="T77" s="5">
        <f t="shared" si="9"/>
        <v>3.1799999999999997</v>
      </c>
      <c r="U77" s="5">
        <f t="shared" si="19"/>
        <v>2.46</v>
      </c>
      <c r="V77">
        <f t="shared" si="20"/>
        <v>1.1651043599999997</v>
      </c>
    </row>
    <row r="78" spans="3:22" x14ac:dyDescent="0.25">
      <c r="C78" s="5">
        <v>76</v>
      </c>
      <c r="D78" s="5" t="s">
        <v>22</v>
      </c>
      <c r="E78" s="5">
        <v>1317.68</v>
      </c>
      <c r="F78" s="5">
        <v>1322</v>
      </c>
      <c r="G78" s="5">
        <f t="shared" si="15"/>
        <v>37.500000000000554</v>
      </c>
      <c r="H78" s="5">
        <v>3.14</v>
      </c>
      <c r="I78" s="5">
        <f t="shared" si="13"/>
        <v>5.57</v>
      </c>
      <c r="J78" s="5">
        <f t="shared" si="16"/>
        <v>4.3550000000000004</v>
      </c>
      <c r="K78">
        <f t="shared" si="17"/>
        <v>0.75168900000000072</v>
      </c>
      <c r="L78" s="5">
        <v>76</v>
      </c>
      <c r="M78" s="5" t="s">
        <v>20</v>
      </c>
      <c r="N78" s="5">
        <v>1369.52</v>
      </c>
      <c r="O78" s="5">
        <v>1373.68</v>
      </c>
      <c r="P78" s="5">
        <f t="shared" si="18"/>
        <v>38.942307692306933</v>
      </c>
      <c r="Q78" s="5">
        <f t="shared" si="14"/>
        <v>7.11</v>
      </c>
      <c r="R78" s="5">
        <v>7.11</v>
      </c>
      <c r="S78" s="5">
        <f t="shared" si="9"/>
        <v>1.8899999999999997</v>
      </c>
      <c r="T78" s="5">
        <f t="shared" si="9"/>
        <v>1.8899999999999997</v>
      </c>
      <c r="U78" s="5">
        <f t="shared" si="19"/>
        <v>1.8899999999999997</v>
      </c>
      <c r="V78">
        <f t="shared" si="20"/>
        <v>0.25948835999999964</v>
      </c>
    </row>
    <row r="79" spans="3:22" x14ac:dyDescent="0.25">
      <c r="C79" s="5">
        <v>77</v>
      </c>
      <c r="D79" s="5" t="s">
        <v>22</v>
      </c>
      <c r="E79" s="5">
        <v>1319.68</v>
      </c>
      <c r="F79" s="5">
        <v>1324.12</v>
      </c>
      <c r="G79" s="5">
        <f t="shared" si="15"/>
        <v>36.486486486487905</v>
      </c>
      <c r="H79" s="5">
        <v>2.0099999999999998</v>
      </c>
      <c r="I79" s="5">
        <f t="shared" si="13"/>
        <v>4.4399999999999995</v>
      </c>
      <c r="J79" s="5">
        <f t="shared" si="16"/>
        <v>3.2249999999999996</v>
      </c>
      <c r="K79">
        <f t="shared" si="17"/>
        <v>6.9169000000000175E-2</v>
      </c>
      <c r="L79" s="5">
        <v>77</v>
      </c>
      <c r="M79" s="5" t="s">
        <v>19</v>
      </c>
      <c r="N79" s="5">
        <v>1375.88</v>
      </c>
      <c r="O79" s="5">
        <v>1378.84</v>
      </c>
      <c r="P79" s="5">
        <f t="shared" si="18"/>
        <v>54.729729729733265</v>
      </c>
      <c r="Q79" s="5">
        <f t="shared" si="14"/>
        <v>8.24</v>
      </c>
      <c r="R79" s="5">
        <v>6.8</v>
      </c>
      <c r="S79" s="5">
        <f t="shared" si="9"/>
        <v>0.75999999999999979</v>
      </c>
      <c r="T79" s="5">
        <f t="shared" si="9"/>
        <v>2.2000000000000002</v>
      </c>
      <c r="U79" s="5">
        <f t="shared" si="19"/>
        <v>1.48</v>
      </c>
      <c r="V79">
        <f t="shared" si="20"/>
        <v>9.8803599999999873E-3</v>
      </c>
    </row>
    <row r="80" spans="3:22" x14ac:dyDescent="0.25">
      <c r="C80" s="5">
        <v>78</v>
      </c>
      <c r="D80" s="5" t="s">
        <v>19</v>
      </c>
      <c r="E80" s="5">
        <v>1321.2</v>
      </c>
      <c r="F80" s="5">
        <v>1385.88</v>
      </c>
      <c r="G80" s="5">
        <f t="shared" si="15"/>
        <v>2.5046382189239309</v>
      </c>
      <c r="H80" s="5">
        <v>2.34</v>
      </c>
      <c r="I80" s="5">
        <f t="shared" si="13"/>
        <v>3.78</v>
      </c>
      <c r="J80" s="5">
        <f t="shared" si="16"/>
        <v>3.0599999999999996</v>
      </c>
      <c r="K80">
        <f t="shared" si="17"/>
        <v>0.18318400000000032</v>
      </c>
      <c r="L80" s="5">
        <v>78</v>
      </c>
      <c r="M80" s="5" t="s">
        <v>19</v>
      </c>
      <c r="N80" s="5">
        <v>1378</v>
      </c>
      <c r="O80" s="5">
        <v>1381.48</v>
      </c>
      <c r="P80" s="5">
        <f t="shared" si="18"/>
        <v>46.55172413793079</v>
      </c>
      <c r="Q80" s="5">
        <f t="shared" si="14"/>
        <v>8.23</v>
      </c>
      <c r="R80" s="5">
        <v>6.79</v>
      </c>
      <c r="S80" s="5">
        <f t="shared" si="9"/>
        <v>0.76999999999999957</v>
      </c>
      <c r="T80" s="5">
        <f t="shared" si="9"/>
        <v>2.21</v>
      </c>
      <c r="U80" s="5">
        <f t="shared" si="19"/>
        <v>1.4899999999999998</v>
      </c>
      <c r="V80">
        <f t="shared" si="20"/>
        <v>1.1968359999999938E-2</v>
      </c>
    </row>
    <row r="81" spans="3:22" x14ac:dyDescent="0.25">
      <c r="C81" s="5">
        <v>79</v>
      </c>
      <c r="D81" s="5" t="s">
        <v>19</v>
      </c>
      <c r="E81" s="5">
        <v>1322.92</v>
      </c>
      <c r="F81" s="5">
        <v>1326.72</v>
      </c>
      <c r="G81" s="5">
        <f t="shared" si="15"/>
        <v>42.631578947368929</v>
      </c>
      <c r="H81" s="5">
        <v>1.43</v>
      </c>
      <c r="I81" s="5">
        <f t="shared" si="13"/>
        <v>2.87</v>
      </c>
      <c r="J81" s="5">
        <f t="shared" si="16"/>
        <v>2.15</v>
      </c>
      <c r="K81">
        <f t="shared" si="17"/>
        <v>1.7902440000000002</v>
      </c>
      <c r="L81" s="5">
        <v>79</v>
      </c>
      <c r="M81" s="5" t="s">
        <v>20</v>
      </c>
      <c r="N81" s="5">
        <v>1379.68</v>
      </c>
      <c r="O81" s="5">
        <v>1383.72</v>
      </c>
      <c r="P81" s="5">
        <f t="shared" si="18"/>
        <v>40.09900990099046</v>
      </c>
      <c r="Q81" s="5">
        <f t="shared" si="14"/>
        <v>7.74</v>
      </c>
      <c r="R81" s="5">
        <v>7.74</v>
      </c>
      <c r="S81" s="5">
        <f t="shared" si="9"/>
        <v>1.2599999999999998</v>
      </c>
      <c r="T81" s="5">
        <f t="shared" si="9"/>
        <v>1.2599999999999998</v>
      </c>
      <c r="U81" s="5">
        <f t="shared" si="19"/>
        <v>1.2599999999999998</v>
      </c>
      <c r="V81">
        <f t="shared" si="20"/>
        <v>1.4544360000000063E-2</v>
      </c>
    </row>
    <row r="82" spans="3:22" x14ac:dyDescent="0.25">
      <c r="C82" s="5">
        <v>80</v>
      </c>
      <c r="D82" s="5" t="s">
        <v>19</v>
      </c>
      <c r="E82" s="5">
        <v>1322.94</v>
      </c>
      <c r="F82" s="5">
        <v>1326.92</v>
      </c>
      <c r="G82" s="5">
        <f t="shared" si="15"/>
        <v>40.703517587939515</v>
      </c>
      <c r="H82" s="5">
        <v>3.85</v>
      </c>
      <c r="I82" s="5">
        <f t="shared" si="13"/>
        <v>5.29</v>
      </c>
      <c r="J82" s="5">
        <f t="shared" si="16"/>
        <v>4.57</v>
      </c>
      <c r="K82">
        <f t="shared" si="17"/>
        <v>1.1707240000000005</v>
      </c>
      <c r="L82" s="5">
        <v>80</v>
      </c>
      <c r="M82" s="5" t="s">
        <v>20</v>
      </c>
      <c r="N82" s="5">
        <v>1381.04</v>
      </c>
      <c r="O82" s="5">
        <v>1384</v>
      </c>
      <c r="P82" s="5">
        <f t="shared" si="18"/>
        <v>54.729729729729058</v>
      </c>
      <c r="Q82" s="5">
        <f t="shared" si="14"/>
        <v>7.48</v>
      </c>
      <c r="R82" s="5">
        <v>7.48</v>
      </c>
      <c r="S82" s="5">
        <f t="shared" si="9"/>
        <v>1.5199999999999996</v>
      </c>
      <c r="T82" s="5">
        <f t="shared" si="9"/>
        <v>1.5199999999999996</v>
      </c>
      <c r="U82" s="5">
        <f t="shared" si="19"/>
        <v>1.5199999999999996</v>
      </c>
      <c r="V82">
        <f t="shared" si="20"/>
        <v>1.9432359999999867E-2</v>
      </c>
    </row>
    <row r="83" spans="3:22" x14ac:dyDescent="0.25">
      <c r="C83" s="5">
        <v>81</v>
      </c>
      <c r="D83" s="5" t="s">
        <v>19</v>
      </c>
      <c r="E83" s="5">
        <v>1325.52</v>
      </c>
      <c r="F83" s="5">
        <v>1330.4</v>
      </c>
      <c r="G83" s="5">
        <f t="shared" si="15"/>
        <v>33.196721311474668</v>
      </c>
      <c r="H83" s="5">
        <v>2.14</v>
      </c>
      <c r="I83" s="5">
        <f t="shared" si="13"/>
        <v>3.58</v>
      </c>
      <c r="J83" s="5">
        <f t="shared" si="16"/>
        <v>2.8600000000000003</v>
      </c>
      <c r="K83">
        <f t="shared" si="17"/>
        <v>0.39438399999999957</v>
      </c>
      <c r="L83" s="5">
        <v>81</v>
      </c>
      <c r="M83" s="5" t="s">
        <v>20</v>
      </c>
      <c r="N83" s="5">
        <v>1381.68</v>
      </c>
      <c r="O83" s="5">
        <v>1384.88</v>
      </c>
      <c r="P83" s="5">
        <f t="shared" si="18"/>
        <v>50.624999999999282</v>
      </c>
      <c r="Q83" s="5">
        <f t="shared" si="14"/>
        <v>6.84</v>
      </c>
      <c r="R83" s="5">
        <v>6.84</v>
      </c>
      <c r="S83" s="5">
        <f t="shared" si="9"/>
        <v>2.16</v>
      </c>
      <c r="T83" s="5">
        <f t="shared" si="9"/>
        <v>2.16</v>
      </c>
      <c r="U83" s="5">
        <f t="shared" si="19"/>
        <v>2.16</v>
      </c>
      <c r="V83">
        <f t="shared" si="20"/>
        <v>0.60746436000000015</v>
      </c>
    </row>
    <row r="84" spans="3:22" x14ac:dyDescent="0.25">
      <c r="C84" s="5">
        <v>82</v>
      </c>
      <c r="D84" s="5" t="s">
        <v>19</v>
      </c>
      <c r="E84" s="5">
        <v>1327.96</v>
      </c>
      <c r="F84" s="5">
        <v>1332.4</v>
      </c>
      <c r="G84" s="5">
        <f t="shared" si="15"/>
        <v>36.486486486486037</v>
      </c>
      <c r="H84" s="5">
        <v>1.52</v>
      </c>
      <c r="I84" s="5">
        <f t="shared" si="13"/>
        <v>2.96</v>
      </c>
      <c r="J84" s="5">
        <f t="shared" si="16"/>
        <v>2.2400000000000002</v>
      </c>
      <c r="K84">
        <f t="shared" si="17"/>
        <v>1.5575039999999993</v>
      </c>
      <c r="L84" s="5">
        <v>82</v>
      </c>
      <c r="M84" s="5" t="s">
        <v>20</v>
      </c>
      <c r="N84" s="5">
        <v>1383.36</v>
      </c>
      <c r="O84" s="5">
        <v>1387.24</v>
      </c>
      <c r="P84" s="5">
        <f t="shared" si="18"/>
        <v>41.752577319586457</v>
      </c>
      <c r="Q84" s="5">
        <f t="shared" si="14"/>
        <v>6.95</v>
      </c>
      <c r="R84" s="5">
        <v>6.95</v>
      </c>
      <c r="S84" s="5">
        <f t="shared" si="9"/>
        <v>2.0499999999999998</v>
      </c>
      <c r="T84" s="5">
        <f t="shared" si="9"/>
        <v>2.0499999999999998</v>
      </c>
      <c r="U84" s="5">
        <f t="shared" si="19"/>
        <v>2.0499999999999998</v>
      </c>
      <c r="V84">
        <f t="shared" si="20"/>
        <v>0.44809635999999969</v>
      </c>
    </row>
    <row r="85" spans="3:22" x14ac:dyDescent="0.25">
      <c r="C85" s="5">
        <v>83</v>
      </c>
      <c r="D85" s="5" t="s">
        <v>19</v>
      </c>
      <c r="E85" s="5">
        <v>1328.68</v>
      </c>
      <c r="F85" s="5">
        <v>1333.32</v>
      </c>
      <c r="G85" s="5">
        <f t="shared" si="15"/>
        <v>34.91379310344923</v>
      </c>
      <c r="H85" s="5">
        <v>4.5999999999999996</v>
      </c>
      <c r="I85" s="5">
        <f t="shared" si="13"/>
        <v>6.0399999999999991</v>
      </c>
      <c r="J85" s="5">
        <f t="shared" si="16"/>
        <v>5.3199999999999994</v>
      </c>
      <c r="K85">
        <f t="shared" si="17"/>
        <v>3.3562239999999979</v>
      </c>
      <c r="L85" s="5">
        <v>83</v>
      </c>
      <c r="M85" s="5" t="s">
        <v>41</v>
      </c>
      <c r="N85" s="5">
        <v>1384.36</v>
      </c>
      <c r="O85" s="5">
        <v>1395.72</v>
      </c>
      <c r="P85" s="5">
        <f t="shared" si="18"/>
        <v>14.260563380281532</v>
      </c>
      <c r="Q85" s="5">
        <f t="shared" si="14"/>
        <v>8.43</v>
      </c>
      <c r="R85" s="5">
        <v>8.43</v>
      </c>
      <c r="S85" s="5">
        <f t="shared" ref="S85:T100" si="21">$A$5-Q85</f>
        <v>0.57000000000000028</v>
      </c>
      <c r="T85" s="5">
        <f t="shared" si="21"/>
        <v>0.57000000000000028</v>
      </c>
      <c r="U85" s="5">
        <f t="shared" si="19"/>
        <v>0.57000000000000028</v>
      </c>
      <c r="V85">
        <f t="shared" si="20"/>
        <v>0.65707235999999958</v>
      </c>
    </row>
    <row r="86" spans="3:22" x14ac:dyDescent="0.25">
      <c r="C86" s="5">
        <v>84</v>
      </c>
      <c r="D86" s="5" t="s">
        <v>21</v>
      </c>
      <c r="E86" s="5">
        <v>1331.36</v>
      </c>
      <c r="F86" s="5">
        <v>1336.2</v>
      </c>
      <c r="G86" s="5">
        <f t="shared" si="15"/>
        <v>33.471074380164289</v>
      </c>
      <c r="H86" s="5">
        <v>1.84</v>
      </c>
      <c r="I86" s="5">
        <f t="shared" si="13"/>
        <v>3.9400000000000004</v>
      </c>
      <c r="J86" s="5">
        <f t="shared" si="16"/>
        <v>2.89</v>
      </c>
      <c r="K86">
        <f t="shared" si="17"/>
        <v>0.35760399999999981</v>
      </c>
      <c r="L86" s="5">
        <v>84</v>
      </c>
      <c r="M86" s="5" t="s">
        <v>19</v>
      </c>
      <c r="N86" s="5">
        <v>1385.16</v>
      </c>
      <c r="O86" s="5">
        <v>1388.32</v>
      </c>
      <c r="P86" s="5">
        <f t="shared" si="18"/>
        <v>51.265822784812485</v>
      </c>
      <c r="Q86" s="5">
        <f t="shared" si="14"/>
        <v>8.09</v>
      </c>
      <c r="R86" s="5">
        <v>6.65</v>
      </c>
      <c r="S86" s="5">
        <f t="shared" si="21"/>
        <v>0.91000000000000014</v>
      </c>
      <c r="T86" s="5">
        <f t="shared" si="21"/>
        <v>2.3499999999999996</v>
      </c>
      <c r="U86" s="5">
        <f t="shared" si="19"/>
        <v>1.63</v>
      </c>
      <c r="V86">
        <f t="shared" si="20"/>
        <v>6.220035999999992E-2</v>
      </c>
    </row>
    <row r="87" spans="3:22" x14ac:dyDescent="0.25">
      <c r="C87" s="5">
        <v>85</v>
      </c>
      <c r="D87" s="5" t="s">
        <v>19</v>
      </c>
      <c r="E87" s="5">
        <v>1335.88</v>
      </c>
      <c r="F87" s="5">
        <v>1339.12</v>
      </c>
      <c r="G87" s="5">
        <f t="shared" si="15"/>
        <v>50.000000000003375</v>
      </c>
      <c r="H87" s="5">
        <v>3.01</v>
      </c>
      <c r="I87" s="5">
        <f t="shared" si="13"/>
        <v>4.4499999999999993</v>
      </c>
      <c r="J87" s="5">
        <f t="shared" si="16"/>
        <v>3.7299999999999995</v>
      </c>
      <c r="K87">
        <f t="shared" si="17"/>
        <v>5.8563999999999783E-2</v>
      </c>
      <c r="L87" s="5">
        <v>85</v>
      </c>
      <c r="M87" s="5" t="s">
        <v>19</v>
      </c>
      <c r="N87" s="5">
        <v>1386.36</v>
      </c>
      <c r="O87" s="5">
        <v>1389.6</v>
      </c>
      <c r="P87" s="5">
        <f t="shared" si="18"/>
        <v>49.999999999999865</v>
      </c>
      <c r="Q87" s="5">
        <f t="shared" si="14"/>
        <v>7.35</v>
      </c>
      <c r="R87" s="5">
        <v>5.91</v>
      </c>
      <c r="S87" s="5">
        <f t="shared" si="21"/>
        <v>1.6500000000000004</v>
      </c>
      <c r="T87" s="5">
        <f t="shared" si="21"/>
        <v>3.09</v>
      </c>
      <c r="U87" s="5">
        <f t="shared" si="19"/>
        <v>2.37</v>
      </c>
      <c r="V87">
        <f t="shared" si="20"/>
        <v>0.97891236000000015</v>
      </c>
    </row>
    <row r="88" spans="3:22" x14ac:dyDescent="0.25">
      <c r="C88" s="5">
        <v>86</v>
      </c>
      <c r="D88" s="5" t="s">
        <v>20</v>
      </c>
      <c r="E88" s="5">
        <v>1337.4</v>
      </c>
      <c r="F88" s="5">
        <v>1340.48</v>
      </c>
      <c r="G88" s="5">
        <f t="shared" si="15"/>
        <v>52.597402597403843</v>
      </c>
      <c r="H88" s="5">
        <v>2.4500000000000002</v>
      </c>
      <c r="I88" s="5">
        <f t="shared" si="13"/>
        <v>2.4500000000000002</v>
      </c>
      <c r="J88" s="5">
        <f t="shared" si="16"/>
        <v>2.4500000000000002</v>
      </c>
      <c r="K88">
        <f t="shared" si="17"/>
        <v>1.0774439999999996</v>
      </c>
      <c r="L88" s="5">
        <v>86</v>
      </c>
      <c r="M88" s="5" t="s">
        <v>41</v>
      </c>
      <c r="N88" s="5">
        <v>1387.8</v>
      </c>
      <c r="O88" s="5">
        <v>1406.84</v>
      </c>
      <c r="P88" s="5">
        <f t="shared" si="18"/>
        <v>8.5084033613445538</v>
      </c>
      <c r="Q88" s="5">
        <f t="shared" si="14"/>
        <v>8.23</v>
      </c>
      <c r="R88" s="5">
        <v>8.23</v>
      </c>
      <c r="S88" s="5">
        <f t="shared" si="21"/>
        <v>0.76999999999999957</v>
      </c>
      <c r="T88" s="5">
        <f t="shared" si="21"/>
        <v>0.76999999999999957</v>
      </c>
      <c r="U88" s="5">
        <f t="shared" si="19"/>
        <v>0.76999999999999957</v>
      </c>
      <c r="V88">
        <f t="shared" si="20"/>
        <v>0.37283236000000058</v>
      </c>
    </row>
    <row r="89" spans="3:22" x14ac:dyDescent="0.25">
      <c r="C89" s="5">
        <v>87</v>
      </c>
      <c r="D89" s="5" t="s">
        <v>19</v>
      </c>
      <c r="E89" s="5">
        <v>1337.76</v>
      </c>
      <c r="F89" s="5">
        <v>1340.6</v>
      </c>
      <c r="G89" s="5">
        <f t="shared" si="15"/>
        <v>57.042253521128409</v>
      </c>
      <c r="H89" s="5">
        <v>4.26</v>
      </c>
      <c r="I89" s="5">
        <f t="shared" si="13"/>
        <v>5.6999999999999993</v>
      </c>
      <c r="J89" s="5">
        <f t="shared" si="16"/>
        <v>4.9799999999999995</v>
      </c>
      <c r="K89">
        <f t="shared" si="17"/>
        <v>2.2260639999999987</v>
      </c>
      <c r="L89" s="5">
        <v>87</v>
      </c>
      <c r="M89" s="5" t="s">
        <v>20</v>
      </c>
      <c r="N89" s="5">
        <v>1387.84</v>
      </c>
      <c r="O89" s="5">
        <v>1391.4</v>
      </c>
      <c r="P89" s="5">
        <f t="shared" si="18"/>
        <v>45.50561797752588</v>
      </c>
      <c r="Q89" s="5">
        <f t="shared" si="14"/>
        <v>7.42</v>
      </c>
      <c r="R89" s="5">
        <v>7.42</v>
      </c>
      <c r="S89" s="5">
        <f t="shared" si="21"/>
        <v>1.58</v>
      </c>
      <c r="T89" s="5">
        <f t="shared" si="21"/>
        <v>1.58</v>
      </c>
      <c r="U89" s="5">
        <f t="shared" si="19"/>
        <v>1.58</v>
      </c>
      <c r="V89">
        <f t="shared" si="20"/>
        <v>3.9760360000000008E-2</v>
      </c>
    </row>
    <row r="90" spans="3:22" x14ac:dyDescent="0.25">
      <c r="C90" s="5">
        <v>88</v>
      </c>
      <c r="D90" s="5" t="s">
        <v>18</v>
      </c>
      <c r="E90" s="5">
        <v>1341.72</v>
      </c>
      <c r="F90" s="5">
        <v>1345.84</v>
      </c>
      <c r="G90" s="5">
        <f t="shared" si="15"/>
        <v>39.320388349515603</v>
      </c>
      <c r="H90" s="5">
        <v>2.59</v>
      </c>
      <c r="I90" s="5">
        <f t="shared" si="13"/>
        <v>3.9899999999999998</v>
      </c>
      <c r="J90" s="5">
        <f t="shared" si="16"/>
        <v>3.29</v>
      </c>
      <c r="K90">
        <f t="shared" si="17"/>
        <v>3.9203999999999982E-2</v>
      </c>
      <c r="L90" s="5">
        <v>88</v>
      </c>
      <c r="M90" s="5" t="s">
        <v>18</v>
      </c>
      <c r="N90" s="5">
        <v>1391.04</v>
      </c>
      <c r="O90" s="5">
        <v>1404.18</v>
      </c>
      <c r="P90" s="5">
        <f t="shared" si="18"/>
        <v>12.328767123287577</v>
      </c>
      <c r="Q90" s="5">
        <f t="shared" si="14"/>
        <v>8.86</v>
      </c>
      <c r="R90" s="5">
        <v>7.46</v>
      </c>
      <c r="S90" s="5">
        <f t="shared" si="21"/>
        <v>0.14000000000000057</v>
      </c>
      <c r="T90" s="5">
        <f t="shared" si="21"/>
        <v>1.54</v>
      </c>
      <c r="U90" s="5">
        <f t="shared" si="19"/>
        <v>0.8400000000000003</v>
      </c>
      <c r="V90">
        <f t="shared" si="20"/>
        <v>0.29224835999999971</v>
      </c>
    </row>
    <row r="91" spans="3:22" x14ac:dyDescent="0.25">
      <c r="C91" s="5">
        <v>89</v>
      </c>
      <c r="D91" s="5" t="s">
        <v>19</v>
      </c>
      <c r="E91" s="5">
        <v>1342.48</v>
      </c>
      <c r="F91" s="5">
        <v>1345.6</v>
      </c>
      <c r="G91" s="5">
        <f t="shared" si="15"/>
        <v>51.923076923078739</v>
      </c>
      <c r="H91" s="5">
        <v>4.42</v>
      </c>
      <c r="I91" s="5">
        <f t="shared" si="13"/>
        <v>5.8599999999999994</v>
      </c>
      <c r="J91" s="5">
        <f t="shared" si="16"/>
        <v>5.14</v>
      </c>
      <c r="K91">
        <f t="shared" si="17"/>
        <v>2.7291039999999991</v>
      </c>
      <c r="L91" s="5">
        <v>89</v>
      </c>
      <c r="M91" s="5" t="s">
        <v>19</v>
      </c>
      <c r="N91" s="5">
        <v>1394.36</v>
      </c>
      <c r="O91" s="5">
        <v>1398.12</v>
      </c>
      <c r="P91" s="5">
        <f t="shared" si="18"/>
        <v>43.085106382978829</v>
      </c>
      <c r="Q91" s="5">
        <f t="shared" si="14"/>
        <v>7.6199999999999992</v>
      </c>
      <c r="R91" s="5">
        <v>6.18</v>
      </c>
      <c r="S91" s="5">
        <f t="shared" si="21"/>
        <v>1.3800000000000008</v>
      </c>
      <c r="T91" s="5">
        <f t="shared" si="21"/>
        <v>2.8200000000000003</v>
      </c>
      <c r="U91" s="5">
        <f t="shared" si="19"/>
        <v>2.1000000000000005</v>
      </c>
      <c r="V91">
        <f t="shared" si="20"/>
        <v>0.51753636000000069</v>
      </c>
    </row>
    <row r="92" spans="3:22" x14ac:dyDescent="0.25">
      <c r="C92" s="5">
        <v>90</v>
      </c>
      <c r="D92" s="5" t="s">
        <v>20</v>
      </c>
      <c r="E92" s="5">
        <v>1343.48</v>
      </c>
      <c r="F92" s="5">
        <v>1346.84</v>
      </c>
      <c r="G92" s="5">
        <f t="shared" si="15"/>
        <v>48.214285714287151</v>
      </c>
      <c r="H92" s="5">
        <v>4.1500000000000004</v>
      </c>
      <c r="I92" s="5">
        <f t="shared" si="13"/>
        <v>4.1500000000000004</v>
      </c>
      <c r="J92" s="5">
        <f t="shared" si="16"/>
        <v>4.1500000000000004</v>
      </c>
      <c r="K92">
        <f t="shared" si="17"/>
        <v>0.43824400000000047</v>
      </c>
      <c r="L92" s="5">
        <v>90</v>
      </c>
      <c r="M92" s="5" t="s">
        <v>19</v>
      </c>
      <c r="N92" s="5">
        <v>1398.52</v>
      </c>
      <c r="O92" s="5">
        <v>1399.6</v>
      </c>
      <c r="P92" s="5">
        <f t="shared" si="18"/>
        <v>150.00000000001009</v>
      </c>
      <c r="Q92" s="5">
        <f t="shared" si="14"/>
        <v>7.7799999999999994</v>
      </c>
      <c r="R92" s="5">
        <v>6.34</v>
      </c>
      <c r="S92" s="5">
        <f t="shared" si="21"/>
        <v>1.2200000000000006</v>
      </c>
      <c r="T92" s="5">
        <f t="shared" si="21"/>
        <v>2.66</v>
      </c>
      <c r="U92" s="5">
        <f t="shared" si="19"/>
        <v>1.9400000000000004</v>
      </c>
      <c r="V92">
        <f t="shared" si="20"/>
        <v>0.31292836000000041</v>
      </c>
    </row>
    <row r="93" spans="3:22" x14ac:dyDescent="0.25">
      <c r="C93" s="5">
        <v>91</v>
      </c>
      <c r="D93" s="5" t="s">
        <v>19</v>
      </c>
      <c r="E93" s="5">
        <v>1344.92</v>
      </c>
      <c r="F93" s="5">
        <v>1348.16</v>
      </c>
      <c r="G93" s="5">
        <f t="shared" si="15"/>
        <v>49.999999999999865</v>
      </c>
      <c r="H93" s="5">
        <v>3.38</v>
      </c>
      <c r="I93" s="5">
        <f t="shared" si="13"/>
        <v>4.82</v>
      </c>
      <c r="J93" s="5">
        <f t="shared" si="16"/>
        <v>4.0999999999999996</v>
      </c>
      <c r="K93">
        <f t="shared" si="17"/>
        <v>0.3745439999999996</v>
      </c>
      <c r="L93" s="5">
        <v>91</v>
      </c>
      <c r="M93" s="5" t="s">
        <v>20</v>
      </c>
      <c r="N93" s="5">
        <v>1399.76</v>
      </c>
      <c r="O93" s="5">
        <v>1403.28</v>
      </c>
      <c r="P93" s="5">
        <f t="shared" si="18"/>
        <v>46.022727272727515</v>
      </c>
      <c r="Q93" s="5">
        <f t="shared" si="14"/>
        <v>7.09</v>
      </c>
      <c r="R93" s="5">
        <v>7.09</v>
      </c>
      <c r="S93" s="5">
        <f t="shared" si="21"/>
        <v>1.9100000000000001</v>
      </c>
      <c r="T93" s="5">
        <f t="shared" si="21"/>
        <v>1.9100000000000001</v>
      </c>
      <c r="U93" s="5">
        <f t="shared" si="19"/>
        <v>1.9100000000000001</v>
      </c>
      <c r="V93">
        <f t="shared" si="20"/>
        <v>0.2802643600000001</v>
      </c>
    </row>
    <row r="94" spans="3:22" x14ac:dyDescent="0.25">
      <c r="C94" s="5">
        <v>92</v>
      </c>
      <c r="D94" s="5" t="s">
        <v>20</v>
      </c>
      <c r="E94" s="5">
        <v>1347.6</v>
      </c>
      <c r="F94" s="5">
        <v>1351.84</v>
      </c>
      <c r="G94" s="5">
        <f t="shared" si="15"/>
        <v>38.207547169811235</v>
      </c>
      <c r="H94" s="5">
        <v>3.25</v>
      </c>
      <c r="I94" s="5">
        <f t="shared" si="13"/>
        <v>3.25</v>
      </c>
      <c r="J94" s="5">
        <f t="shared" si="16"/>
        <v>3.25</v>
      </c>
      <c r="K94">
        <f t="shared" si="17"/>
        <v>5.6643999999999993E-2</v>
      </c>
      <c r="L94" s="5">
        <v>92</v>
      </c>
      <c r="M94" s="5" t="s">
        <v>20</v>
      </c>
      <c r="N94" s="5">
        <v>1400.72</v>
      </c>
      <c r="O94" s="5">
        <v>1404.16</v>
      </c>
      <c r="P94" s="5">
        <f t="shared" si="18"/>
        <v>47.093023255813208</v>
      </c>
      <c r="Q94" s="5">
        <f t="shared" si="14"/>
        <v>7.04</v>
      </c>
      <c r="R94" s="5">
        <v>7.04</v>
      </c>
      <c r="S94" s="5">
        <f t="shared" si="21"/>
        <v>1.96</v>
      </c>
      <c r="T94" s="5">
        <f t="shared" si="21"/>
        <v>1.96</v>
      </c>
      <c r="U94" s="5">
        <f t="shared" si="19"/>
        <v>1.96</v>
      </c>
      <c r="V94">
        <f t="shared" si="20"/>
        <v>0.33570435999999992</v>
      </c>
    </row>
    <row r="95" spans="3:22" x14ac:dyDescent="0.25">
      <c r="C95" s="5">
        <v>93</v>
      </c>
      <c r="D95" s="5" t="s">
        <v>24</v>
      </c>
      <c r="E95" s="5">
        <v>1349.8</v>
      </c>
      <c r="F95" s="5">
        <v>1357.6</v>
      </c>
      <c r="G95" s="5">
        <f t="shared" si="15"/>
        <v>20.769230769230891</v>
      </c>
      <c r="H95" s="5">
        <v>0.96</v>
      </c>
      <c r="I95" s="5">
        <f t="shared" si="13"/>
        <v>0.96</v>
      </c>
      <c r="J95" s="5">
        <f t="shared" si="16"/>
        <v>0.96</v>
      </c>
      <c r="K95">
        <f t="shared" si="17"/>
        <v>6.390784</v>
      </c>
      <c r="L95" s="5">
        <v>93</v>
      </c>
      <c r="M95" s="5" t="s">
        <v>20</v>
      </c>
      <c r="N95" s="5">
        <v>1409.24</v>
      </c>
      <c r="O95" s="5">
        <v>1413.2</v>
      </c>
      <c r="P95" s="5">
        <f t="shared" si="18"/>
        <v>40.90909090909053</v>
      </c>
      <c r="Q95" s="5">
        <f t="shared" si="14"/>
        <v>7.87</v>
      </c>
      <c r="R95" s="5">
        <v>7.87</v>
      </c>
      <c r="S95" s="5">
        <f t="shared" si="21"/>
        <v>1.1299999999999999</v>
      </c>
      <c r="T95" s="5">
        <f t="shared" si="21"/>
        <v>1.1299999999999999</v>
      </c>
      <c r="U95" s="5">
        <f t="shared" si="19"/>
        <v>1.1299999999999999</v>
      </c>
      <c r="V95">
        <f t="shared" si="20"/>
        <v>6.2800360000000083E-2</v>
      </c>
    </row>
    <row r="96" spans="3:22" x14ac:dyDescent="0.25">
      <c r="C96" s="5">
        <v>94</v>
      </c>
      <c r="D96" s="5" t="s">
        <v>18</v>
      </c>
      <c r="E96" s="5">
        <v>1349.96</v>
      </c>
      <c r="F96" s="5">
        <v>1356.48</v>
      </c>
      <c r="G96" s="5">
        <f t="shared" si="15"/>
        <v>24.846625766871234</v>
      </c>
      <c r="H96" s="5">
        <v>6.52</v>
      </c>
      <c r="I96" s="5">
        <f t="shared" si="13"/>
        <v>7.92</v>
      </c>
      <c r="J96" s="5">
        <f t="shared" si="16"/>
        <v>7.22</v>
      </c>
      <c r="K96">
        <f t="shared" si="17"/>
        <v>13.927823999999998</v>
      </c>
      <c r="L96" s="5">
        <v>94</v>
      </c>
      <c r="M96" s="5" t="s">
        <v>24</v>
      </c>
      <c r="N96" s="5">
        <v>1410.08</v>
      </c>
      <c r="O96" s="5">
        <v>1420.16</v>
      </c>
      <c r="P96" s="5">
        <f t="shared" si="18"/>
        <v>16.071428571428328</v>
      </c>
      <c r="Q96" s="5">
        <f t="shared" si="14"/>
        <v>8.67</v>
      </c>
      <c r="R96" s="5">
        <v>8.67</v>
      </c>
      <c r="S96" s="5">
        <f t="shared" si="21"/>
        <v>0.33000000000000007</v>
      </c>
      <c r="T96" s="5">
        <f t="shared" si="21"/>
        <v>0.33000000000000007</v>
      </c>
      <c r="U96" s="5">
        <f t="shared" si="19"/>
        <v>0.33000000000000007</v>
      </c>
      <c r="V96">
        <f t="shared" si="20"/>
        <v>1.1037603599999999</v>
      </c>
    </row>
    <row r="97" spans="3:22" x14ac:dyDescent="0.25">
      <c r="C97" s="5">
        <v>95</v>
      </c>
      <c r="D97" s="5" t="s">
        <v>24</v>
      </c>
      <c r="E97" s="5">
        <v>1358.92</v>
      </c>
      <c r="F97" s="5">
        <v>1367.56</v>
      </c>
      <c r="G97" s="5">
        <f t="shared" si="15"/>
        <v>18.750000000000277</v>
      </c>
      <c r="H97" s="5">
        <v>0.77</v>
      </c>
      <c r="I97" s="5">
        <f t="shared" si="13"/>
        <v>0.77</v>
      </c>
      <c r="J97" s="5">
        <f t="shared" si="16"/>
        <v>0.77</v>
      </c>
      <c r="K97">
        <f t="shared" si="17"/>
        <v>7.387524</v>
      </c>
      <c r="L97" s="5">
        <v>95</v>
      </c>
      <c r="M97" s="5" t="s">
        <v>19</v>
      </c>
      <c r="N97" s="5">
        <v>1411.12</v>
      </c>
      <c r="O97" s="5">
        <v>1414.76</v>
      </c>
      <c r="P97" s="5">
        <f t="shared" si="18"/>
        <v>44.505494505493282</v>
      </c>
      <c r="Q97" s="5">
        <f t="shared" si="14"/>
        <v>7.1999999999999993</v>
      </c>
      <c r="R97" s="5">
        <v>5.76</v>
      </c>
      <c r="S97" s="5">
        <f t="shared" si="21"/>
        <v>1.8000000000000007</v>
      </c>
      <c r="T97" s="5">
        <f t="shared" si="21"/>
        <v>3.24</v>
      </c>
      <c r="U97" s="5">
        <f t="shared" si="19"/>
        <v>2.5200000000000005</v>
      </c>
      <c r="V97">
        <f t="shared" si="20"/>
        <v>1.298232360000001</v>
      </c>
    </row>
    <row r="98" spans="3:22" x14ac:dyDescent="0.25">
      <c r="C98" s="5">
        <v>96</v>
      </c>
      <c r="D98" s="5" t="s">
        <v>19</v>
      </c>
      <c r="E98" s="5">
        <v>1363.64</v>
      </c>
      <c r="F98" s="5">
        <v>1365.88</v>
      </c>
      <c r="G98" s="5">
        <f t="shared" si="15"/>
        <v>72.321428571428285</v>
      </c>
      <c r="H98" s="5">
        <v>3.12</v>
      </c>
      <c r="I98" s="5">
        <f t="shared" si="13"/>
        <v>4.5600000000000005</v>
      </c>
      <c r="J98" s="5">
        <f t="shared" si="16"/>
        <v>3.8400000000000003</v>
      </c>
      <c r="K98">
        <f t="shared" si="17"/>
        <v>0.12390400000000022</v>
      </c>
      <c r="L98" s="5">
        <v>96</v>
      </c>
      <c r="M98" s="5" t="s">
        <v>19</v>
      </c>
      <c r="N98" s="5">
        <v>1413.04</v>
      </c>
      <c r="O98" s="5">
        <v>1417.08</v>
      </c>
      <c r="P98" s="5">
        <f t="shared" si="18"/>
        <v>40.09900990099046</v>
      </c>
      <c r="Q98" s="5">
        <f t="shared" si="14"/>
        <v>8.51</v>
      </c>
      <c r="R98" s="5">
        <v>7.07</v>
      </c>
      <c r="S98" s="5">
        <f t="shared" si="21"/>
        <v>0.49000000000000021</v>
      </c>
      <c r="T98" s="5">
        <f t="shared" si="21"/>
        <v>1.9299999999999997</v>
      </c>
      <c r="U98" s="5">
        <f t="shared" si="19"/>
        <v>1.21</v>
      </c>
      <c r="V98">
        <f t="shared" si="20"/>
        <v>2.910436000000003E-2</v>
      </c>
    </row>
    <row r="99" spans="3:22" x14ac:dyDescent="0.25">
      <c r="C99" s="5">
        <v>97</v>
      </c>
      <c r="D99" s="5" t="s">
        <v>19</v>
      </c>
      <c r="E99" s="5">
        <v>1365.64</v>
      </c>
      <c r="F99" s="5">
        <v>1369.76</v>
      </c>
      <c r="G99" s="5">
        <f t="shared" si="15"/>
        <v>39.320388349515603</v>
      </c>
      <c r="H99" s="5">
        <v>3.1</v>
      </c>
      <c r="I99" s="5">
        <f t="shared" ref="I99:I130" si="22">IF(D99="Car",H99+1.44,IF(D99="Bus",H99+2.43,IF(D99="Auto",H99+1.4,IF(D99="TAT", H99+2.1, IF(D99="TAT", H99+2.35,H99)))))</f>
        <v>4.54</v>
      </c>
      <c r="J99" s="5">
        <f t="shared" si="16"/>
        <v>3.8200000000000003</v>
      </c>
      <c r="K99">
        <f t="shared" si="17"/>
        <v>0.1102240000000002</v>
      </c>
      <c r="L99" s="5">
        <v>97</v>
      </c>
      <c r="M99" s="5" t="s">
        <v>24</v>
      </c>
      <c r="N99" s="5">
        <v>1420.68</v>
      </c>
      <c r="O99" s="5">
        <v>1430.52</v>
      </c>
      <c r="P99" s="5">
        <f t="shared" si="18"/>
        <v>16.463414634146481</v>
      </c>
      <c r="Q99" s="5">
        <f t="shared" ref="Q99:Q130" si="23">IF(M99="Car", R99 + 1.44, IF(M99="Bus", R99+2.43,IF(M99="Auto", R99+1.4,IF(M99="TAT",R99+2.1,IF(M99="TAT", R99 + 2.35, R99)))))</f>
        <v>8.9</v>
      </c>
      <c r="R99" s="5">
        <v>8.9</v>
      </c>
      <c r="S99" s="5">
        <f t="shared" si="21"/>
        <v>9.9999999999999645E-2</v>
      </c>
      <c r="T99" s="5">
        <f t="shared" si="21"/>
        <v>9.9999999999999645E-2</v>
      </c>
      <c r="U99" s="5">
        <f t="shared" si="19"/>
        <v>9.9999999999999645E-2</v>
      </c>
      <c r="V99">
        <f t="shared" si="20"/>
        <v>1.639936360000001</v>
      </c>
    </row>
    <row r="100" spans="3:22" x14ac:dyDescent="0.25">
      <c r="C100" s="5">
        <v>98</v>
      </c>
      <c r="D100" s="5" t="s">
        <v>19</v>
      </c>
      <c r="E100" s="5">
        <v>1366.72</v>
      </c>
      <c r="F100" s="5">
        <v>1370.76</v>
      </c>
      <c r="G100" s="5">
        <f t="shared" si="15"/>
        <v>40.09900990099046</v>
      </c>
      <c r="H100" s="5">
        <v>2.89</v>
      </c>
      <c r="I100" s="5">
        <f t="shared" si="22"/>
        <v>4.33</v>
      </c>
      <c r="J100" s="5">
        <f t="shared" si="16"/>
        <v>3.6100000000000003</v>
      </c>
      <c r="K100">
        <f t="shared" si="17"/>
        <v>1.4884000000000081E-2</v>
      </c>
      <c r="L100" s="5">
        <v>98</v>
      </c>
      <c r="M100" s="5" t="s">
        <v>18</v>
      </c>
      <c r="N100" s="5">
        <v>1422</v>
      </c>
      <c r="O100" s="5">
        <v>1425.28</v>
      </c>
      <c r="P100" s="5">
        <f t="shared" si="18"/>
        <v>49.390243902439437</v>
      </c>
      <c r="Q100" s="5">
        <f t="shared" si="23"/>
        <v>8.52</v>
      </c>
      <c r="R100" s="5">
        <v>7.12</v>
      </c>
      <c r="S100" s="5">
        <f t="shared" si="21"/>
        <v>0.48000000000000043</v>
      </c>
      <c r="T100" s="5">
        <f t="shared" si="21"/>
        <v>1.88</v>
      </c>
      <c r="U100" s="5">
        <f t="shared" si="19"/>
        <v>1.1800000000000002</v>
      </c>
      <c r="V100">
        <f t="shared" si="20"/>
        <v>4.0240359999999954E-2</v>
      </c>
    </row>
    <row r="101" spans="3:22" x14ac:dyDescent="0.25">
      <c r="C101" s="5">
        <v>99</v>
      </c>
      <c r="D101" s="5" t="s">
        <v>19</v>
      </c>
      <c r="E101" s="5">
        <v>1368.56</v>
      </c>
      <c r="F101" s="5">
        <v>1372.16</v>
      </c>
      <c r="G101" s="5">
        <f t="shared" si="15"/>
        <v>44.999999999998295</v>
      </c>
      <c r="H101" s="5">
        <v>2.2599999999999998</v>
      </c>
      <c r="I101" s="5">
        <f t="shared" si="22"/>
        <v>3.6999999999999997</v>
      </c>
      <c r="J101" s="5">
        <f t="shared" si="16"/>
        <v>2.9799999999999995</v>
      </c>
      <c r="K101">
        <f t="shared" si="17"/>
        <v>0.25806400000000046</v>
      </c>
      <c r="L101" s="5">
        <v>99</v>
      </c>
      <c r="M101" s="5" t="s">
        <v>21</v>
      </c>
      <c r="N101" s="5">
        <v>1427.12</v>
      </c>
      <c r="O101" s="5">
        <v>1431.16</v>
      </c>
      <c r="P101" s="5">
        <f t="shared" si="18"/>
        <v>40.0990099009882</v>
      </c>
      <c r="Q101" s="5">
        <f t="shared" si="23"/>
        <v>8.93</v>
      </c>
      <c r="R101" s="5">
        <v>6.83</v>
      </c>
      <c r="S101" s="5">
        <f t="shared" ref="S101:T116" si="24">$A$5-Q101</f>
        <v>7.0000000000000284E-2</v>
      </c>
      <c r="T101" s="5">
        <f t="shared" si="24"/>
        <v>2.17</v>
      </c>
      <c r="U101" s="5">
        <f t="shared" si="19"/>
        <v>1.1200000000000001</v>
      </c>
      <c r="V101">
        <f t="shared" si="20"/>
        <v>6.7912359999999963E-2</v>
      </c>
    </row>
    <row r="102" spans="3:22" x14ac:dyDescent="0.25">
      <c r="C102" s="5">
        <v>100</v>
      </c>
      <c r="D102" s="5" t="s">
        <v>19</v>
      </c>
      <c r="E102" s="5">
        <v>1370.12</v>
      </c>
      <c r="F102" s="5">
        <v>1374.12</v>
      </c>
      <c r="G102" s="5">
        <f t="shared" si="15"/>
        <v>40.5</v>
      </c>
      <c r="H102" s="5">
        <v>2.68</v>
      </c>
      <c r="I102" s="5">
        <f t="shared" si="22"/>
        <v>4.12</v>
      </c>
      <c r="J102" s="5">
        <f t="shared" si="16"/>
        <v>3.4000000000000004</v>
      </c>
      <c r="K102">
        <f t="shared" si="17"/>
        <v>7.7439999999999358E-3</v>
      </c>
      <c r="L102" s="5">
        <v>100</v>
      </c>
      <c r="M102" s="5" t="s">
        <v>18</v>
      </c>
      <c r="N102" s="5">
        <v>1429</v>
      </c>
      <c r="O102" s="5">
        <v>1433.08</v>
      </c>
      <c r="P102" s="5">
        <f t="shared" si="18"/>
        <v>39.705882352941885</v>
      </c>
      <c r="Q102" s="5">
        <f t="shared" si="23"/>
        <v>7.35</v>
      </c>
      <c r="R102" s="5">
        <v>5.95</v>
      </c>
      <c r="S102" s="5">
        <f t="shared" si="24"/>
        <v>1.6500000000000004</v>
      </c>
      <c r="T102" s="5">
        <f t="shared" si="24"/>
        <v>3.05</v>
      </c>
      <c r="U102" s="5">
        <f t="shared" si="19"/>
        <v>2.35</v>
      </c>
      <c r="V102">
        <f t="shared" si="20"/>
        <v>0.93973636000000005</v>
      </c>
    </row>
    <row r="103" spans="3:22" x14ac:dyDescent="0.25">
      <c r="C103" s="5">
        <v>101</v>
      </c>
      <c r="D103" s="5" t="s">
        <v>19</v>
      </c>
      <c r="E103" s="5">
        <v>1371.48</v>
      </c>
      <c r="F103" s="5">
        <v>1374.88</v>
      </c>
      <c r="G103" s="5">
        <f t="shared" si="15"/>
        <v>47.647058823528134</v>
      </c>
      <c r="H103" s="5">
        <v>4.16</v>
      </c>
      <c r="I103" s="5">
        <f t="shared" si="22"/>
        <v>5.6</v>
      </c>
      <c r="J103" s="5">
        <f t="shared" si="16"/>
        <v>4.88</v>
      </c>
      <c r="K103">
        <f t="shared" si="17"/>
        <v>1.9376639999999998</v>
      </c>
      <c r="L103" s="5">
        <v>101</v>
      </c>
      <c r="M103" s="5" t="s">
        <v>19</v>
      </c>
      <c r="N103" s="5">
        <v>1430.04</v>
      </c>
      <c r="O103" s="5">
        <v>1433.96</v>
      </c>
      <c r="P103" s="5">
        <f t="shared" si="18"/>
        <v>41.326530612244127</v>
      </c>
      <c r="Q103" s="5">
        <f t="shared" si="23"/>
        <v>7.1</v>
      </c>
      <c r="R103" s="5">
        <v>5.66</v>
      </c>
      <c r="S103" s="5">
        <f t="shared" si="24"/>
        <v>1.9000000000000004</v>
      </c>
      <c r="T103" s="5">
        <f t="shared" si="24"/>
        <v>3.34</v>
      </c>
      <c r="U103" s="5">
        <f t="shared" si="19"/>
        <v>2.62</v>
      </c>
      <c r="V103">
        <f t="shared" si="20"/>
        <v>1.5361123600000002</v>
      </c>
    </row>
    <row r="104" spans="3:22" x14ac:dyDescent="0.25">
      <c r="C104" s="5">
        <v>102</v>
      </c>
      <c r="D104" s="5" t="s">
        <v>19</v>
      </c>
      <c r="E104" s="5">
        <v>1371.64</v>
      </c>
      <c r="F104" s="5">
        <v>1375.6</v>
      </c>
      <c r="G104" s="5">
        <f t="shared" si="15"/>
        <v>40.909090909092882</v>
      </c>
      <c r="H104" s="5">
        <v>2.64</v>
      </c>
      <c r="I104" s="5">
        <f t="shared" si="22"/>
        <v>4.08</v>
      </c>
      <c r="J104" s="5">
        <f t="shared" si="16"/>
        <v>3.3600000000000003</v>
      </c>
      <c r="K104">
        <f t="shared" si="17"/>
        <v>1.6383999999999916E-2</v>
      </c>
      <c r="L104" s="5">
        <v>102</v>
      </c>
      <c r="M104" s="5" t="s">
        <v>20</v>
      </c>
      <c r="N104" s="5">
        <v>1431.32</v>
      </c>
      <c r="O104" s="5">
        <v>1435.08</v>
      </c>
      <c r="P104" s="5">
        <f t="shared" si="18"/>
        <v>43.085106382978829</v>
      </c>
      <c r="Q104" s="5">
        <f t="shared" si="23"/>
        <v>7.9</v>
      </c>
      <c r="R104" s="5">
        <v>7.9</v>
      </c>
      <c r="S104" s="5">
        <f t="shared" si="24"/>
        <v>1.0999999999999996</v>
      </c>
      <c r="T104" s="5">
        <f t="shared" si="24"/>
        <v>1.0999999999999996</v>
      </c>
      <c r="U104" s="5">
        <f t="shared" si="19"/>
        <v>1.0999999999999996</v>
      </c>
      <c r="V104">
        <f t="shared" si="20"/>
        <v>7.8736360000000227E-2</v>
      </c>
    </row>
    <row r="105" spans="3:22" x14ac:dyDescent="0.25">
      <c r="C105" s="5">
        <v>103</v>
      </c>
      <c r="D105" s="5" t="s">
        <v>24</v>
      </c>
      <c r="E105" s="5">
        <v>1371.65</v>
      </c>
      <c r="F105" s="5">
        <v>1381.52</v>
      </c>
      <c r="G105" s="5">
        <f t="shared" si="15"/>
        <v>16.413373860182553</v>
      </c>
      <c r="H105" s="5">
        <v>0.38</v>
      </c>
      <c r="I105" s="5">
        <f t="shared" si="22"/>
        <v>0.38</v>
      </c>
      <c r="J105" s="5">
        <f t="shared" si="16"/>
        <v>0.38</v>
      </c>
      <c r="K105">
        <f t="shared" si="17"/>
        <v>9.6596640000000011</v>
      </c>
      <c r="L105" s="5">
        <v>103</v>
      </c>
      <c r="M105" s="5" t="s">
        <v>20</v>
      </c>
      <c r="N105" s="5">
        <v>1432.28</v>
      </c>
      <c r="O105" s="5">
        <v>1436.16</v>
      </c>
      <c r="P105" s="5">
        <f t="shared" si="18"/>
        <v>41.752577319586457</v>
      </c>
      <c r="Q105" s="5">
        <f t="shared" si="23"/>
        <v>7.35</v>
      </c>
      <c r="R105" s="5">
        <v>7.35</v>
      </c>
      <c r="S105" s="5">
        <f t="shared" si="24"/>
        <v>1.6500000000000004</v>
      </c>
      <c r="T105" s="5">
        <f t="shared" si="24"/>
        <v>1.6500000000000004</v>
      </c>
      <c r="U105" s="5">
        <f t="shared" si="19"/>
        <v>1.6500000000000004</v>
      </c>
      <c r="V105">
        <f t="shared" si="20"/>
        <v>7.2576360000000159E-2</v>
      </c>
    </row>
    <row r="106" spans="3:22" x14ac:dyDescent="0.25">
      <c r="C106" s="5">
        <v>104</v>
      </c>
      <c r="D106" s="5" t="s">
        <v>20</v>
      </c>
      <c r="E106" s="5">
        <v>1372.6</v>
      </c>
      <c r="F106" s="5">
        <v>1375.56</v>
      </c>
      <c r="G106" s="5">
        <f t="shared" si="15"/>
        <v>54.729729729729058</v>
      </c>
      <c r="H106" s="5">
        <v>1.33</v>
      </c>
      <c r="I106" s="5">
        <f t="shared" si="22"/>
        <v>1.33</v>
      </c>
      <c r="J106" s="5">
        <f t="shared" si="16"/>
        <v>1.33</v>
      </c>
      <c r="K106">
        <f t="shared" si="17"/>
        <v>4.6569639999999994</v>
      </c>
      <c r="L106" s="5">
        <v>104</v>
      </c>
      <c r="M106" s="5" t="s">
        <v>22</v>
      </c>
      <c r="N106" s="5">
        <v>1435.36</v>
      </c>
      <c r="O106" s="5">
        <v>1438.48</v>
      </c>
      <c r="P106" s="5">
        <f t="shared" si="18"/>
        <v>51.923076923074959</v>
      </c>
      <c r="Q106" s="5">
        <f t="shared" si="23"/>
        <v>8.74</v>
      </c>
      <c r="R106" s="5">
        <v>6.31</v>
      </c>
      <c r="S106" s="5">
        <f t="shared" si="24"/>
        <v>0.25999999999999979</v>
      </c>
      <c r="T106" s="5">
        <f t="shared" si="24"/>
        <v>2.6900000000000004</v>
      </c>
      <c r="U106" s="5">
        <f t="shared" si="19"/>
        <v>1.4750000000000001</v>
      </c>
      <c r="V106">
        <f t="shared" si="20"/>
        <v>8.9113600000000071E-3</v>
      </c>
    </row>
    <row r="107" spans="3:22" x14ac:dyDescent="0.25">
      <c r="C107" s="5">
        <v>105</v>
      </c>
      <c r="D107" s="5" t="s">
        <v>19</v>
      </c>
      <c r="E107" s="5">
        <v>1372.92</v>
      </c>
      <c r="F107" s="5">
        <v>1376.48</v>
      </c>
      <c r="G107" s="5">
        <f t="shared" si="15"/>
        <v>45.505617977528793</v>
      </c>
      <c r="H107" s="5">
        <v>3.71</v>
      </c>
      <c r="I107" s="5">
        <f t="shared" si="22"/>
        <v>5.15</v>
      </c>
      <c r="J107" s="5">
        <f t="shared" si="16"/>
        <v>4.43</v>
      </c>
      <c r="K107">
        <f t="shared" si="17"/>
        <v>0.88736399999999949</v>
      </c>
      <c r="L107" s="5">
        <v>105</v>
      </c>
      <c r="M107" s="5" t="s">
        <v>18</v>
      </c>
      <c r="N107" s="5">
        <v>1437.8</v>
      </c>
      <c r="O107" s="5">
        <v>1441.28</v>
      </c>
      <c r="P107" s="5">
        <f t="shared" si="18"/>
        <v>46.55172413793079</v>
      </c>
      <c r="Q107" s="5">
        <f t="shared" si="23"/>
        <v>7.8900000000000006</v>
      </c>
      <c r="R107" s="5">
        <v>6.49</v>
      </c>
      <c r="S107" s="5">
        <f t="shared" si="24"/>
        <v>1.1099999999999994</v>
      </c>
      <c r="T107" s="5">
        <f t="shared" si="24"/>
        <v>2.5099999999999998</v>
      </c>
      <c r="U107" s="5">
        <f t="shared" si="19"/>
        <v>1.8099999999999996</v>
      </c>
      <c r="V107">
        <f t="shared" si="20"/>
        <v>0.18438435999999961</v>
      </c>
    </row>
    <row r="108" spans="3:22" x14ac:dyDescent="0.25">
      <c r="C108" s="5">
        <v>106</v>
      </c>
      <c r="D108" s="5" t="s">
        <v>19</v>
      </c>
      <c r="E108" s="5">
        <v>1373.44</v>
      </c>
      <c r="F108" s="5">
        <v>1377.12</v>
      </c>
      <c r="G108" s="5">
        <f t="shared" si="15"/>
        <v>44.021739130436742</v>
      </c>
      <c r="H108" s="5">
        <v>2.0099999999999998</v>
      </c>
      <c r="I108" s="5">
        <f t="shared" si="22"/>
        <v>3.4499999999999997</v>
      </c>
      <c r="J108" s="5">
        <f t="shared" si="16"/>
        <v>2.7299999999999995</v>
      </c>
      <c r="K108">
        <f t="shared" si="17"/>
        <v>0.57456400000000063</v>
      </c>
      <c r="L108" s="5">
        <v>106</v>
      </c>
      <c r="M108" s="5" t="s">
        <v>24</v>
      </c>
      <c r="N108" s="5">
        <v>1438.32</v>
      </c>
      <c r="O108" s="5">
        <v>1447.12</v>
      </c>
      <c r="P108" s="5">
        <f t="shared" si="18"/>
        <v>18.409090909091006</v>
      </c>
      <c r="Q108" s="5">
        <f t="shared" si="23"/>
        <v>8.86</v>
      </c>
      <c r="R108" s="5">
        <v>8.86</v>
      </c>
      <c r="S108" s="5">
        <f t="shared" si="24"/>
        <v>0.14000000000000057</v>
      </c>
      <c r="T108" s="5">
        <f t="shared" si="24"/>
        <v>0.14000000000000057</v>
      </c>
      <c r="U108" s="5">
        <f t="shared" si="19"/>
        <v>0.14000000000000057</v>
      </c>
      <c r="V108">
        <f t="shared" si="20"/>
        <v>1.5390883599999987</v>
      </c>
    </row>
    <row r="109" spans="3:22" x14ac:dyDescent="0.25">
      <c r="C109" s="5">
        <v>107</v>
      </c>
      <c r="D109" s="5" t="s">
        <v>39</v>
      </c>
      <c r="E109" s="5">
        <v>1374.32</v>
      </c>
      <c r="F109" s="5">
        <v>1378.04</v>
      </c>
      <c r="G109" s="5">
        <f t="shared" si="15"/>
        <v>43.54838709677388</v>
      </c>
      <c r="H109" s="5">
        <v>1.85</v>
      </c>
      <c r="I109" s="5">
        <f t="shared" si="22"/>
        <v>1.85</v>
      </c>
      <c r="J109" s="5">
        <f t="shared" si="16"/>
        <v>1.85</v>
      </c>
      <c r="K109">
        <f t="shared" si="17"/>
        <v>2.6830439999999998</v>
      </c>
      <c r="L109" s="5">
        <v>107</v>
      </c>
      <c r="M109" s="5" t="s">
        <v>19</v>
      </c>
      <c r="N109" s="5">
        <v>1439.32</v>
      </c>
      <c r="O109" s="5">
        <v>1442.92</v>
      </c>
      <c r="P109" s="5">
        <f t="shared" si="18"/>
        <v>44.999999999998295</v>
      </c>
      <c r="Q109" s="5">
        <f t="shared" si="23"/>
        <v>7.9700000000000006</v>
      </c>
      <c r="R109" s="5">
        <v>6.53</v>
      </c>
      <c r="S109" s="5">
        <f t="shared" si="24"/>
        <v>1.0299999999999994</v>
      </c>
      <c r="T109" s="5">
        <f t="shared" si="24"/>
        <v>2.4699999999999998</v>
      </c>
      <c r="U109" s="5">
        <f t="shared" si="19"/>
        <v>1.7499999999999996</v>
      </c>
      <c r="V109">
        <f t="shared" si="20"/>
        <v>0.13645635999999964</v>
      </c>
    </row>
    <row r="110" spans="3:22" x14ac:dyDescent="0.25">
      <c r="C110" s="5">
        <v>108</v>
      </c>
      <c r="D110" s="5" t="s">
        <v>19</v>
      </c>
      <c r="E110" s="5">
        <v>1375.8</v>
      </c>
      <c r="F110" s="5">
        <v>1379.2</v>
      </c>
      <c r="G110" s="5">
        <f t="shared" si="15"/>
        <v>47.647058823528134</v>
      </c>
      <c r="H110" s="5">
        <v>3.21</v>
      </c>
      <c r="I110" s="5">
        <f t="shared" si="22"/>
        <v>4.6500000000000004</v>
      </c>
      <c r="J110" s="5">
        <f t="shared" si="16"/>
        <v>3.93</v>
      </c>
      <c r="K110">
        <f t="shared" si="17"/>
        <v>0.19536400000000015</v>
      </c>
      <c r="L110" s="5">
        <v>108</v>
      </c>
      <c r="M110" s="5" t="s">
        <v>19</v>
      </c>
      <c r="N110" s="5">
        <v>1441.5</v>
      </c>
      <c r="O110" s="5">
        <v>1445.28</v>
      </c>
      <c r="P110" s="5">
        <f t="shared" si="18"/>
        <v>42.857142857143167</v>
      </c>
      <c r="Q110" s="5">
        <f t="shared" si="23"/>
        <v>8.31</v>
      </c>
      <c r="R110" s="5">
        <v>6.87</v>
      </c>
      <c r="S110" s="5">
        <f t="shared" si="24"/>
        <v>0.6899999999999995</v>
      </c>
      <c r="T110" s="5">
        <f t="shared" si="24"/>
        <v>2.13</v>
      </c>
      <c r="U110" s="5">
        <f t="shared" si="19"/>
        <v>1.4099999999999997</v>
      </c>
      <c r="V110">
        <f t="shared" si="20"/>
        <v>8.6435999999997929E-4</v>
      </c>
    </row>
    <row r="111" spans="3:22" x14ac:dyDescent="0.25">
      <c r="C111" s="5">
        <v>109</v>
      </c>
      <c r="D111" s="5" t="s">
        <v>19</v>
      </c>
      <c r="E111" s="5">
        <v>1377.4</v>
      </c>
      <c r="F111" s="5">
        <v>1380.8</v>
      </c>
      <c r="G111" s="5">
        <f t="shared" si="15"/>
        <v>47.647058823531324</v>
      </c>
      <c r="H111" s="5">
        <v>3.35</v>
      </c>
      <c r="I111" s="5">
        <f t="shared" si="22"/>
        <v>4.79</v>
      </c>
      <c r="J111" s="5">
        <f t="shared" si="16"/>
        <v>4.07</v>
      </c>
      <c r="K111">
        <f t="shared" si="17"/>
        <v>0.33872400000000036</v>
      </c>
      <c r="L111" s="5">
        <v>109</v>
      </c>
      <c r="M111" s="5" t="s">
        <v>19</v>
      </c>
      <c r="N111" s="5">
        <v>1442.92</v>
      </c>
      <c r="O111" s="5">
        <v>1446.6</v>
      </c>
      <c r="P111" s="5">
        <f t="shared" si="18"/>
        <v>44.021739130436742</v>
      </c>
      <c r="Q111" s="5">
        <f t="shared" si="23"/>
        <v>7.76</v>
      </c>
      <c r="R111" s="5">
        <v>6.32</v>
      </c>
      <c r="S111" s="5">
        <f t="shared" si="24"/>
        <v>1.2400000000000002</v>
      </c>
      <c r="T111" s="5">
        <f t="shared" si="24"/>
        <v>2.6799999999999997</v>
      </c>
      <c r="U111" s="5">
        <f t="shared" si="19"/>
        <v>1.96</v>
      </c>
      <c r="V111">
        <f t="shared" si="20"/>
        <v>0.33570435999999992</v>
      </c>
    </row>
    <row r="112" spans="3:22" x14ac:dyDescent="0.25">
      <c r="C112" s="5">
        <v>110</v>
      </c>
      <c r="D112" s="5" t="s">
        <v>20</v>
      </c>
      <c r="E112" s="5">
        <v>1378.12</v>
      </c>
      <c r="F112" s="5">
        <v>1382</v>
      </c>
      <c r="G112" s="5">
        <f t="shared" si="15"/>
        <v>41.752577319586457</v>
      </c>
      <c r="H112" s="5">
        <v>2.21</v>
      </c>
      <c r="I112" s="5">
        <f t="shared" si="22"/>
        <v>2.21</v>
      </c>
      <c r="J112" s="5">
        <f t="shared" si="16"/>
        <v>2.21</v>
      </c>
      <c r="K112">
        <f t="shared" si="17"/>
        <v>1.633284</v>
      </c>
      <c r="L112" s="5">
        <v>110</v>
      </c>
      <c r="M112" s="5" t="s">
        <v>19</v>
      </c>
      <c r="N112" s="5">
        <v>1444.8</v>
      </c>
      <c r="O112" s="5">
        <v>12448.7</v>
      </c>
      <c r="P112" s="5">
        <f t="shared" si="18"/>
        <v>1.4722053090267993E-2</v>
      </c>
      <c r="Q112" s="5">
        <f t="shared" si="23"/>
        <v>8.1300000000000008</v>
      </c>
      <c r="R112" s="5">
        <v>6.69</v>
      </c>
      <c r="S112" s="5">
        <f t="shared" si="24"/>
        <v>0.86999999999999922</v>
      </c>
      <c r="T112" s="5">
        <f t="shared" si="24"/>
        <v>2.3099999999999996</v>
      </c>
      <c r="U112" s="5">
        <f t="shared" si="19"/>
        <v>1.5899999999999994</v>
      </c>
      <c r="V112">
        <f t="shared" si="20"/>
        <v>4.3848359999999732E-2</v>
      </c>
    </row>
    <row r="113" spans="3:22" x14ac:dyDescent="0.25">
      <c r="C113" s="5">
        <v>111</v>
      </c>
      <c r="D113" s="5" t="s">
        <v>20</v>
      </c>
      <c r="E113" s="5">
        <v>1380.48</v>
      </c>
      <c r="F113" s="5">
        <v>1383.56</v>
      </c>
      <c r="G113" s="5">
        <f t="shared" si="15"/>
        <v>52.597402597403843</v>
      </c>
      <c r="H113" s="5">
        <v>3.32</v>
      </c>
      <c r="I113" s="5">
        <f t="shared" si="22"/>
        <v>3.32</v>
      </c>
      <c r="J113" s="5">
        <f t="shared" si="16"/>
        <v>3.32</v>
      </c>
      <c r="K113">
        <f t="shared" si="17"/>
        <v>2.8224000000000051E-2</v>
      </c>
      <c r="L113" s="5">
        <v>111</v>
      </c>
      <c r="M113" s="5" t="s">
        <v>19</v>
      </c>
      <c r="N113" s="5">
        <v>1445.76</v>
      </c>
      <c r="O113" s="5">
        <v>1449.84</v>
      </c>
      <c r="P113" s="5">
        <f t="shared" si="18"/>
        <v>39.705882352941885</v>
      </c>
      <c r="Q113" s="5">
        <f t="shared" si="23"/>
        <v>7.93</v>
      </c>
      <c r="R113" s="5">
        <v>6.49</v>
      </c>
      <c r="S113" s="5">
        <f t="shared" si="24"/>
        <v>1.0700000000000003</v>
      </c>
      <c r="T113" s="5">
        <f t="shared" si="24"/>
        <v>2.5099999999999998</v>
      </c>
      <c r="U113" s="5">
        <f t="shared" si="19"/>
        <v>1.79</v>
      </c>
      <c r="V113">
        <f t="shared" si="20"/>
        <v>0.16760835999999998</v>
      </c>
    </row>
    <row r="114" spans="3:22" x14ac:dyDescent="0.25">
      <c r="C114" s="5">
        <v>112</v>
      </c>
      <c r="D114" s="5" t="s">
        <v>20</v>
      </c>
      <c r="E114" s="5">
        <v>1381.08</v>
      </c>
      <c r="F114" s="5">
        <v>1383.48</v>
      </c>
      <c r="G114" s="5">
        <f t="shared" si="15"/>
        <v>67.499999999997442</v>
      </c>
      <c r="H114" s="5">
        <v>2.04</v>
      </c>
      <c r="I114" s="5">
        <f t="shared" si="22"/>
        <v>2.04</v>
      </c>
      <c r="J114" s="5">
        <f t="shared" si="16"/>
        <v>2.04</v>
      </c>
      <c r="K114">
        <f t="shared" si="17"/>
        <v>2.0967039999999999</v>
      </c>
      <c r="L114" s="5">
        <v>112</v>
      </c>
      <c r="M114" s="5" t="s">
        <v>19</v>
      </c>
      <c r="N114" s="5">
        <v>1448.12</v>
      </c>
      <c r="O114" s="5">
        <v>1452.08</v>
      </c>
      <c r="P114" s="5">
        <f t="shared" si="18"/>
        <v>40.90909090909053</v>
      </c>
      <c r="Q114" s="5">
        <f t="shared" si="23"/>
        <v>8.3000000000000007</v>
      </c>
      <c r="R114" s="5">
        <v>6.86</v>
      </c>
      <c r="S114" s="5">
        <f t="shared" si="24"/>
        <v>0.69999999999999929</v>
      </c>
      <c r="T114" s="5">
        <f t="shared" si="24"/>
        <v>2.1399999999999997</v>
      </c>
      <c r="U114" s="5">
        <f t="shared" si="19"/>
        <v>1.4199999999999995</v>
      </c>
      <c r="V114">
        <f t="shared" si="20"/>
        <v>1.5523599999999556E-3</v>
      </c>
    </row>
    <row r="115" spans="3:22" x14ac:dyDescent="0.25">
      <c r="C115" s="5">
        <v>113</v>
      </c>
      <c r="D115" s="5" t="s">
        <v>19</v>
      </c>
      <c r="E115" s="5">
        <v>1381.44</v>
      </c>
      <c r="F115" s="5">
        <v>1384.6</v>
      </c>
      <c r="G115" s="5">
        <f t="shared" si="15"/>
        <v>51.265822784812485</v>
      </c>
      <c r="H115" s="5">
        <v>3.45</v>
      </c>
      <c r="I115" s="5">
        <f t="shared" si="22"/>
        <v>4.8900000000000006</v>
      </c>
      <c r="J115" s="5">
        <f t="shared" si="16"/>
        <v>4.17</v>
      </c>
      <c r="K115">
        <f t="shared" si="17"/>
        <v>0.46512399999999993</v>
      </c>
      <c r="L115" s="5">
        <v>113</v>
      </c>
      <c r="M115" s="5" t="s">
        <v>24</v>
      </c>
      <c r="N115" s="5">
        <v>1451.28</v>
      </c>
      <c r="O115" s="5">
        <v>1472.84</v>
      </c>
      <c r="P115" s="5">
        <f t="shared" si="18"/>
        <v>7.5139146567718189</v>
      </c>
      <c r="Q115" s="5">
        <f t="shared" si="23"/>
        <v>8.94</v>
      </c>
      <c r="R115" s="5">
        <v>8.94</v>
      </c>
      <c r="S115" s="5">
        <f t="shared" si="24"/>
        <v>6.0000000000000497E-2</v>
      </c>
      <c r="T115" s="5">
        <f t="shared" si="24"/>
        <v>6.0000000000000497E-2</v>
      </c>
      <c r="U115" s="5">
        <f t="shared" si="19"/>
        <v>6.0000000000000497E-2</v>
      </c>
      <c r="V115">
        <f t="shared" si="20"/>
        <v>1.7439843599999989</v>
      </c>
    </row>
    <row r="116" spans="3:22" x14ac:dyDescent="0.25">
      <c r="C116" s="5">
        <v>114</v>
      </c>
      <c r="D116" s="5" t="s">
        <v>19</v>
      </c>
      <c r="E116" s="5">
        <v>1383.16</v>
      </c>
      <c r="F116" s="5">
        <v>1387.24</v>
      </c>
      <c r="G116" s="5">
        <f t="shared" si="15"/>
        <v>39.705882352941885</v>
      </c>
      <c r="H116" s="5">
        <v>2.89</v>
      </c>
      <c r="I116" s="5">
        <f t="shared" si="22"/>
        <v>4.33</v>
      </c>
      <c r="J116" s="5">
        <f t="shared" si="16"/>
        <v>3.6100000000000003</v>
      </c>
      <c r="K116">
        <f t="shared" si="17"/>
        <v>1.4884000000000081E-2</v>
      </c>
      <c r="L116" s="5">
        <v>114</v>
      </c>
      <c r="M116" s="5" t="s">
        <v>21</v>
      </c>
      <c r="N116" s="5">
        <v>1470.92</v>
      </c>
      <c r="O116" s="5">
        <v>1474.52</v>
      </c>
      <c r="P116" s="5">
        <f t="shared" si="18"/>
        <v>45.000000000001137</v>
      </c>
      <c r="Q116" s="5">
        <f t="shared" si="23"/>
        <v>8.82</v>
      </c>
      <c r="R116" s="5">
        <v>6.72</v>
      </c>
      <c r="S116" s="5">
        <f t="shared" si="24"/>
        <v>0.17999999999999972</v>
      </c>
      <c r="T116" s="5">
        <f t="shared" si="24"/>
        <v>2.2800000000000002</v>
      </c>
      <c r="U116" s="5">
        <f t="shared" si="19"/>
        <v>1.23</v>
      </c>
      <c r="V116">
        <f t="shared" si="20"/>
        <v>2.2680360000000021E-2</v>
      </c>
    </row>
    <row r="117" spans="3:22" x14ac:dyDescent="0.25">
      <c r="C117" s="5">
        <v>115</v>
      </c>
      <c r="D117" s="5" t="s">
        <v>19</v>
      </c>
      <c r="E117" s="5">
        <v>1384.68</v>
      </c>
      <c r="F117" s="5">
        <v>1388.68</v>
      </c>
      <c r="G117" s="5">
        <f t="shared" si="15"/>
        <v>40.5</v>
      </c>
      <c r="H117" s="5">
        <v>2.5</v>
      </c>
      <c r="I117" s="5">
        <f t="shared" si="22"/>
        <v>3.94</v>
      </c>
      <c r="J117" s="5">
        <f t="shared" si="16"/>
        <v>3.2199999999999998</v>
      </c>
      <c r="K117">
        <f t="shared" si="17"/>
        <v>7.1824000000000124E-2</v>
      </c>
      <c r="L117" s="5">
        <v>115</v>
      </c>
      <c r="M117" s="5" t="s">
        <v>19</v>
      </c>
      <c r="N117" s="5">
        <v>1473.6</v>
      </c>
      <c r="O117" s="5">
        <v>1477.4</v>
      </c>
      <c r="P117" s="5">
        <f t="shared" si="18"/>
        <v>42.631578947366378</v>
      </c>
      <c r="Q117" s="5">
        <f t="shared" si="23"/>
        <v>8.2200000000000006</v>
      </c>
      <c r="R117" s="5">
        <v>6.78</v>
      </c>
      <c r="S117" s="5">
        <f t="shared" ref="S117:T127" si="25">$A$5-Q117</f>
        <v>0.77999999999999936</v>
      </c>
      <c r="T117" s="5">
        <f t="shared" si="25"/>
        <v>2.2199999999999998</v>
      </c>
      <c r="U117" s="5">
        <f t="shared" si="19"/>
        <v>1.4999999999999996</v>
      </c>
      <c r="V117">
        <f t="shared" si="20"/>
        <v>1.4256359999999883E-2</v>
      </c>
    </row>
    <row r="118" spans="3:22" x14ac:dyDescent="0.25">
      <c r="C118" s="5">
        <v>116</v>
      </c>
      <c r="D118" s="5" t="s">
        <v>19</v>
      </c>
      <c r="E118" s="5">
        <v>1386.6</v>
      </c>
      <c r="F118" s="5">
        <v>1390.84</v>
      </c>
      <c r="G118" s="5">
        <f t="shared" si="15"/>
        <v>38.207547169811235</v>
      </c>
      <c r="H118" s="5">
        <v>2.23</v>
      </c>
      <c r="I118" s="5">
        <f t="shared" si="22"/>
        <v>3.67</v>
      </c>
      <c r="J118" s="5">
        <f t="shared" si="16"/>
        <v>2.95</v>
      </c>
      <c r="K118">
        <f t="shared" si="17"/>
        <v>0.28944399999999981</v>
      </c>
      <c r="L118" s="5">
        <v>116</v>
      </c>
      <c r="M118" s="5" t="s">
        <v>19</v>
      </c>
      <c r="N118" s="5">
        <v>1475.12</v>
      </c>
      <c r="O118" s="5">
        <v>1478.88</v>
      </c>
      <c r="P118" s="5">
        <f t="shared" si="18"/>
        <v>43.085106382976228</v>
      </c>
      <c r="Q118" s="5">
        <f t="shared" si="23"/>
        <v>7.82</v>
      </c>
      <c r="R118" s="5">
        <v>6.38</v>
      </c>
      <c r="S118" s="5">
        <f t="shared" si="25"/>
        <v>1.1799999999999997</v>
      </c>
      <c r="T118" s="5">
        <f t="shared" si="25"/>
        <v>2.62</v>
      </c>
      <c r="U118" s="5">
        <f t="shared" si="19"/>
        <v>1.9</v>
      </c>
      <c r="V118">
        <f t="shared" si="20"/>
        <v>0.26977635999999988</v>
      </c>
    </row>
    <row r="119" spans="3:22" x14ac:dyDescent="0.25">
      <c r="C119" s="5">
        <v>117</v>
      </c>
      <c r="D119" s="5" t="s">
        <v>19</v>
      </c>
      <c r="E119" s="5">
        <v>1392.76</v>
      </c>
      <c r="F119" s="5">
        <v>1395.56</v>
      </c>
      <c r="G119" s="5">
        <f t="shared" si="15"/>
        <v>57.857142857143799</v>
      </c>
      <c r="H119" s="5">
        <v>2.56</v>
      </c>
      <c r="I119" s="5">
        <f t="shared" si="22"/>
        <v>4</v>
      </c>
      <c r="J119" s="5">
        <f t="shared" si="16"/>
        <v>3.2800000000000002</v>
      </c>
      <c r="K119">
        <f t="shared" si="17"/>
        <v>4.3263999999999893E-2</v>
      </c>
      <c r="L119" s="5">
        <v>117</v>
      </c>
      <c r="M119" s="5" t="s">
        <v>19</v>
      </c>
      <c r="N119" s="5">
        <v>1475.76</v>
      </c>
      <c r="O119" s="5">
        <v>1480</v>
      </c>
      <c r="P119" s="5">
        <f t="shared" si="18"/>
        <v>38.207547169811235</v>
      </c>
      <c r="Q119" s="5">
        <f t="shared" si="23"/>
        <v>7.0399999999999991</v>
      </c>
      <c r="R119" s="5">
        <v>5.6</v>
      </c>
      <c r="S119" s="5">
        <f t="shared" si="25"/>
        <v>1.9600000000000009</v>
      </c>
      <c r="T119" s="5">
        <f t="shared" si="25"/>
        <v>3.4000000000000004</v>
      </c>
      <c r="U119" s="5">
        <f t="shared" si="19"/>
        <v>2.6800000000000006</v>
      </c>
      <c r="V119">
        <f t="shared" si="20"/>
        <v>1.6884403600000015</v>
      </c>
    </row>
    <row r="120" spans="3:22" x14ac:dyDescent="0.25">
      <c r="C120" s="5">
        <v>118</v>
      </c>
      <c r="D120" s="5" t="s">
        <v>20</v>
      </c>
      <c r="E120" s="5">
        <v>1398.8</v>
      </c>
      <c r="F120" s="5">
        <v>1401.96</v>
      </c>
      <c r="G120" s="5">
        <f t="shared" si="15"/>
        <v>51.265822784808805</v>
      </c>
      <c r="H120" s="5">
        <v>2.2999999999999998</v>
      </c>
      <c r="I120" s="5">
        <f t="shared" si="22"/>
        <v>2.2999999999999998</v>
      </c>
      <c r="J120" s="5">
        <f t="shared" si="16"/>
        <v>2.2999999999999998</v>
      </c>
      <c r="K120">
        <f t="shared" si="17"/>
        <v>1.4113440000000004</v>
      </c>
      <c r="L120" s="5">
        <v>118</v>
      </c>
      <c r="M120" s="5" t="s">
        <v>19</v>
      </c>
      <c r="N120" s="5">
        <v>1477.16</v>
      </c>
      <c r="O120" s="5">
        <v>1481.36</v>
      </c>
      <c r="P120" s="5">
        <f t="shared" si="18"/>
        <v>38.571428571430246</v>
      </c>
      <c r="Q120" s="5">
        <f t="shared" si="23"/>
        <v>6.9</v>
      </c>
      <c r="R120" s="5">
        <v>5.46</v>
      </c>
      <c r="S120" s="5">
        <f t="shared" si="25"/>
        <v>2.0999999999999996</v>
      </c>
      <c r="T120" s="5">
        <f t="shared" si="25"/>
        <v>3.54</v>
      </c>
      <c r="U120" s="5">
        <f t="shared" si="19"/>
        <v>2.82</v>
      </c>
      <c r="V120">
        <f t="shared" si="20"/>
        <v>2.0718723599999995</v>
      </c>
    </row>
    <row r="121" spans="3:22" x14ac:dyDescent="0.25">
      <c r="C121" s="5">
        <v>119</v>
      </c>
      <c r="D121" s="5" t="s">
        <v>41</v>
      </c>
      <c r="E121" s="5">
        <v>1405.8</v>
      </c>
      <c r="F121" s="5">
        <v>1417.56</v>
      </c>
      <c r="G121" s="5">
        <f t="shared" si="15"/>
        <v>13.775510204081645</v>
      </c>
      <c r="H121" s="5">
        <v>1.32</v>
      </c>
      <c r="I121" s="5">
        <f t="shared" si="22"/>
        <v>1.32</v>
      </c>
      <c r="J121" s="5">
        <f t="shared" si="16"/>
        <v>1.32</v>
      </c>
      <c r="K121">
        <f t="shared" si="17"/>
        <v>4.7002240000000004</v>
      </c>
      <c r="L121" s="5">
        <v>119</v>
      </c>
      <c r="M121" s="5" t="s">
        <v>20</v>
      </c>
      <c r="N121" s="5">
        <v>1477.96</v>
      </c>
      <c r="O121" s="5">
        <v>1482</v>
      </c>
      <c r="P121" s="5">
        <f t="shared" si="18"/>
        <v>40.09900990099046</v>
      </c>
      <c r="Q121" s="5">
        <f t="shared" si="23"/>
        <v>5.65</v>
      </c>
      <c r="R121" s="5">
        <v>5.65</v>
      </c>
      <c r="S121" s="5">
        <f t="shared" si="25"/>
        <v>3.3499999999999996</v>
      </c>
      <c r="T121" s="5">
        <f t="shared" si="25"/>
        <v>3.3499999999999996</v>
      </c>
      <c r="U121" s="5">
        <f t="shared" si="19"/>
        <v>3.3499999999999996</v>
      </c>
      <c r="V121">
        <f t="shared" si="20"/>
        <v>3.8785363599999982</v>
      </c>
    </row>
    <row r="122" spans="3:22" x14ac:dyDescent="0.25">
      <c r="C122" s="5">
        <v>120</v>
      </c>
      <c r="D122" s="5" t="s">
        <v>22</v>
      </c>
      <c r="E122" s="5">
        <v>1410.84</v>
      </c>
      <c r="F122" s="5">
        <v>1415.08</v>
      </c>
      <c r="G122" s="5">
        <f t="shared" si="15"/>
        <v>38.207547169811235</v>
      </c>
      <c r="H122" s="5">
        <v>2.87</v>
      </c>
      <c r="I122" s="5">
        <f t="shared" si="22"/>
        <v>5.3000000000000007</v>
      </c>
      <c r="J122" s="5">
        <f t="shared" si="16"/>
        <v>4.0850000000000009</v>
      </c>
      <c r="K122">
        <f t="shared" si="17"/>
        <v>0.35640900000000103</v>
      </c>
      <c r="L122" s="5">
        <v>120</v>
      </c>
      <c r="M122" s="5" t="s">
        <v>20</v>
      </c>
      <c r="N122" s="5">
        <v>1478.4</v>
      </c>
      <c r="O122" s="5">
        <v>1482.36</v>
      </c>
      <c r="P122" s="5">
        <f t="shared" si="18"/>
        <v>40.909090909092882</v>
      </c>
      <c r="Q122" s="5">
        <f t="shared" si="23"/>
        <v>7.8</v>
      </c>
      <c r="R122" s="5">
        <v>7.8</v>
      </c>
      <c r="S122" s="5">
        <f t="shared" si="25"/>
        <v>1.2000000000000002</v>
      </c>
      <c r="T122" s="5">
        <f t="shared" si="25"/>
        <v>1.2000000000000002</v>
      </c>
      <c r="U122" s="5">
        <f t="shared" si="19"/>
        <v>1.2000000000000002</v>
      </c>
      <c r="V122">
        <f t="shared" si="20"/>
        <v>3.2616359999999955E-2</v>
      </c>
    </row>
    <row r="123" spans="3:22" x14ac:dyDescent="0.25">
      <c r="C123" s="5">
        <v>121</v>
      </c>
      <c r="D123" s="5" t="s">
        <v>20</v>
      </c>
      <c r="E123" s="5">
        <v>1410.86</v>
      </c>
      <c r="F123" s="5">
        <v>1413.6</v>
      </c>
      <c r="G123" s="5">
        <f t="shared" si="15"/>
        <v>59.124087591240674</v>
      </c>
      <c r="H123" s="5">
        <v>3</v>
      </c>
      <c r="I123" s="5">
        <f t="shared" si="22"/>
        <v>3</v>
      </c>
      <c r="J123" s="5">
        <f t="shared" si="16"/>
        <v>3</v>
      </c>
      <c r="K123">
        <f t="shared" si="17"/>
        <v>0.23814399999999999</v>
      </c>
      <c r="L123" s="5">
        <v>121</v>
      </c>
      <c r="M123" s="5" t="s">
        <v>20</v>
      </c>
      <c r="N123" s="5">
        <v>1487.04</v>
      </c>
      <c r="O123" s="5">
        <v>1490</v>
      </c>
      <c r="P123" s="5">
        <f t="shared" si="18"/>
        <v>54.729729729729058</v>
      </c>
      <c r="Q123" s="5">
        <f t="shared" si="23"/>
        <v>7.34</v>
      </c>
      <c r="R123" s="5">
        <v>7.34</v>
      </c>
      <c r="S123" s="5">
        <f t="shared" si="25"/>
        <v>1.6600000000000001</v>
      </c>
      <c r="T123" s="5">
        <f t="shared" si="25"/>
        <v>1.6600000000000001</v>
      </c>
      <c r="U123" s="5">
        <f t="shared" si="19"/>
        <v>1.6600000000000001</v>
      </c>
      <c r="V123">
        <f t="shared" si="20"/>
        <v>7.8064360000000055E-2</v>
      </c>
    </row>
    <row r="124" spans="3:22" x14ac:dyDescent="0.25">
      <c r="C124" s="5">
        <v>122</v>
      </c>
      <c r="D124" s="5" t="s">
        <v>20</v>
      </c>
      <c r="E124" s="5">
        <v>1413.24</v>
      </c>
      <c r="F124" s="5">
        <v>1416.44</v>
      </c>
      <c r="G124" s="5">
        <f t="shared" si="15"/>
        <v>50.624999999999282</v>
      </c>
      <c r="H124" s="5">
        <v>2.59</v>
      </c>
      <c r="I124" s="5">
        <f t="shared" si="22"/>
        <v>2.59</v>
      </c>
      <c r="J124" s="5">
        <f t="shared" si="16"/>
        <v>2.59</v>
      </c>
      <c r="K124">
        <f t="shared" si="17"/>
        <v>0.80640400000000023</v>
      </c>
      <c r="L124" s="5">
        <v>122</v>
      </c>
      <c r="M124" s="5" t="s">
        <v>41</v>
      </c>
      <c r="N124" s="5">
        <v>1487.24</v>
      </c>
      <c r="O124" s="5">
        <v>1502.16</v>
      </c>
      <c r="P124" s="5">
        <f t="shared" si="18"/>
        <v>10.857908847184934</v>
      </c>
      <c r="Q124" s="5">
        <f t="shared" si="23"/>
        <v>8.4700000000000006</v>
      </c>
      <c r="R124" s="5">
        <v>8.4700000000000006</v>
      </c>
      <c r="S124" s="5">
        <f t="shared" si="25"/>
        <v>0.52999999999999936</v>
      </c>
      <c r="T124" s="5">
        <f t="shared" si="25"/>
        <v>0.52999999999999936</v>
      </c>
      <c r="U124" s="5">
        <f t="shared" si="19"/>
        <v>0.52999999999999936</v>
      </c>
      <c r="V124">
        <f t="shared" si="20"/>
        <v>0.72352036000000119</v>
      </c>
    </row>
    <row r="125" spans="3:22" x14ac:dyDescent="0.25">
      <c r="C125" s="5">
        <v>123</v>
      </c>
      <c r="D125" s="5" t="s">
        <v>20</v>
      </c>
      <c r="E125" s="5">
        <v>1414</v>
      </c>
      <c r="F125" s="5">
        <v>1417.68</v>
      </c>
      <c r="G125" s="5">
        <f t="shared" si="15"/>
        <v>44.021739130434021</v>
      </c>
      <c r="H125" s="5">
        <v>3.24</v>
      </c>
      <c r="I125" s="5">
        <f t="shared" si="22"/>
        <v>3.24</v>
      </c>
      <c r="J125" s="5">
        <f t="shared" si="16"/>
        <v>3.24</v>
      </c>
      <c r="K125">
        <f t="shared" si="17"/>
        <v>6.1503999999999892E-2</v>
      </c>
      <c r="L125" s="5">
        <v>123</v>
      </c>
      <c r="M125" s="5" t="s">
        <v>20</v>
      </c>
      <c r="N125" s="5">
        <v>1491.12</v>
      </c>
      <c r="O125" s="5">
        <v>1494.24</v>
      </c>
      <c r="P125" s="5">
        <f t="shared" si="18"/>
        <v>51.923076923074959</v>
      </c>
      <c r="Q125" s="5">
        <f t="shared" si="23"/>
        <v>7.77</v>
      </c>
      <c r="R125" s="5">
        <v>7.77</v>
      </c>
      <c r="S125" s="5">
        <f t="shared" si="25"/>
        <v>1.2300000000000004</v>
      </c>
      <c r="T125" s="5">
        <f t="shared" si="25"/>
        <v>1.2300000000000004</v>
      </c>
      <c r="U125" s="5">
        <f t="shared" si="19"/>
        <v>1.2300000000000004</v>
      </c>
      <c r="V125">
        <f t="shared" si="20"/>
        <v>2.2680359999999886E-2</v>
      </c>
    </row>
    <row r="126" spans="3:22" x14ac:dyDescent="0.25">
      <c r="C126" s="5">
        <v>124</v>
      </c>
      <c r="D126" s="5" t="s">
        <v>19</v>
      </c>
      <c r="E126" s="5">
        <v>1418.88</v>
      </c>
      <c r="F126" s="5">
        <v>1421.68</v>
      </c>
      <c r="G126" s="5">
        <f t="shared" si="15"/>
        <v>57.857142857143799</v>
      </c>
      <c r="H126" s="5">
        <v>3.55</v>
      </c>
      <c r="I126" s="5">
        <f t="shared" si="22"/>
        <v>4.99</v>
      </c>
      <c r="J126" s="5">
        <f t="shared" si="16"/>
        <v>4.2699999999999996</v>
      </c>
      <c r="K126">
        <f t="shared" si="17"/>
        <v>0.6115239999999994</v>
      </c>
      <c r="L126" s="5">
        <v>124</v>
      </c>
      <c r="M126" s="5" t="s">
        <v>19</v>
      </c>
      <c r="N126" s="5">
        <v>1495.92</v>
      </c>
      <c r="O126" s="5">
        <v>1498.4</v>
      </c>
      <c r="P126" s="5">
        <f t="shared" si="18"/>
        <v>65.322580645160812</v>
      </c>
      <c r="Q126" s="5">
        <f t="shared" si="23"/>
        <v>8.06</v>
      </c>
      <c r="R126" s="5">
        <v>6.62</v>
      </c>
      <c r="S126" s="5">
        <f t="shared" si="25"/>
        <v>0.9399999999999995</v>
      </c>
      <c r="T126" s="5">
        <f t="shared" si="25"/>
        <v>2.38</v>
      </c>
      <c r="U126" s="5">
        <f t="shared" si="19"/>
        <v>1.6599999999999997</v>
      </c>
      <c r="V126">
        <f t="shared" si="20"/>
        <v>7.8064359999999805E-2</v>
      </c>
    </row>
    <row r="127" spans="3:22" x14ac:dyDescent="0.25">
      <c r="C127" s="5">
        <v>125</v>
      </c>
      <c r="D127" s="5" t="s">
        <v>19</v>
      </c>
      <c r="E127" s="5">
        <v>1420.48</v>
      </c>
      <c r="F127" s="5">
        <v>1424.28</v>
      </c>
      <c r="G127" s="5">
        <f t="shared" si="15"/>
        <v>42.631578947368929</v>
      </c>
      <c r="H127" s="5">
        <v>3.34</v>
      </c>
      <c r="I127" s="5">
        <f t="shared" si="22"/>
        <v>4.7799999999999994</v>
      </c>
      <c r="J127" s="5">
        <f t="shared" si="16"/>
        <v>4.0599999999999996</v>
      </c>
      <c r="K127">
        <f t="shared" si="17"/>
        <v>0.32718399999999959</v>
      </c>
      <c r="L127" s="5">
        <v>125</v>
      </c>
      <c r="M127" s="5" t="s">
        <v>19</v>
      </c>
      <c r="N127" s="5">
        <v>1499.16</v>
      </c>
      <c r="O127" s="5">
        <v>1501.8</v>
      </c>
      <c r="P127" s="5">
        <f t="shared" si="18"/>
        <v>61.363636363639323</v>
      </c>
      <c r="Q127" s="5">
        <f t="shared" si="23"/>
        <v>8.36</v>
      </c>
      <c r="R127" s="5">
        <v>6.92</v>
      </c>
      <c r="S127" s="5">
        <f t="shared" si="25"/>
        <v>0.64000000000000057</v>
      </c>
      <c r="T127" s="5">
        <f t="shared" si="25"/>
        <v>2.08</v>
      </c>
      <c r="U127" s="5">
        <f t="shared" si="19"/>
        <v>1.3600000000000003</v>
      </c>
      <c r="V127">
        <f t="shared" si="20"/>
        <v>4.2435999999998887E-4</v>
      </c>
    </row>
    <row r="128" spans="3:22" x14ac:dyDescent="0.25">
      <c r="C128" s="5">
        <v>126</v>
      </c>
      <c r="D128" s="5" t="s">
        <v>19</v>
      </c>
      <c r="E128" s="5">
        <v>1424</v>
      </c>
      <c r="F128" s="5">
        <v>1427.36</v>
      </c>
      <c r="G128" s="5">
        <f t="shared" si="15"/>
        <v>48.214285714287151</v>
      </c>
      <c r="H128" s="5">
        <v>2.61</v>
      </c>
      <c r="I128" s="5">
        <f t="shared" si="22"/>
        <v>4.05</v>
      </c>
      <c r="J128" s="5">
        <f t="shared" si="16"/>
        <v>3.33</v>
      </c>
      <c r="K128">
        <f t="shared" si="17"/>
        <v>2.4963999999999976E-2</v>
      </c>
    </row>
    <row r="129" spans="3:18" x14ac:dyDescent="0.25">
      <c r="C129" s="5">
        <v>127</v>
      </c>
      <c r="D129" s="5" t="s">
        <v>20</v>
      </c>
      <c r="E129" s="5">
        <v>1424.16</v>
      </c>
      <c r="F129" s="5">
        <v>1427.12</v>
      </c>
      <c r="G129" s="5">
        <f t="shared" si="15"/>
        <v>54.729729729733265</v>
      </c>
      <c r="H129" s="5">
        <v>5.07</v>
      </c>
      <c r="I129" s="5">
        <f t="shared" si="22"/>
        <v>5.07</v>
      </c>
      <c r="J129" s="5">
        <f t="shared" si="16"/>
        <v>5.07</v>
      </c>
      <c r="K129">
        <f t="shared" si="17"/>
        <v>2.5027240000000011</v>
      </c>
    </row>
    <row r="130" spans="3:18" x14ac:dyDescent="0.25">
      <c r="C130" s="5">
        <v>128</v>
      </c>
      <c r="D130" s="5" t="s">
        <v>20</v>
      </c>
      <c r="E130" s="5">
        <v>1426.4</v>
      </c>
      <c r="F130" s="5">
        <v>1431.64</v>
      </c>
      <c r="G130" s="5">
        <f t="shared" si="15"/>
        <v>30.916030534351091</v>
      </c>
      <c r="H130" s="5">
        <v>0.7</v>
      </c>
      <c r="I130" s="5">
        <f t="shared" si="22"/>
        <v>0.7</v>
      </c>
      <c r="J130" s="5">
        <f t="shared" si="16"/>
        <v>0.7</v>
      </c>
      <c r="K130">
        <f t="shared" si="17"/>
        <v>7.7729440000000016</v>
      </c>
    </row>
    <row r="131" spans="3:18" x14ac:dyDescent="0.25">
      <c r="C131" s="5">
        <v>129</v>
      </c>
      <c r="D131" s="5" t="s">
        <v>19</v>
      </c>
      <c r="E131" s="5">
        <v>1427.6</v>
      </c>
      <c r="F131" s="5">
        <v>1431.08</v>
      </c>
      <c r="G131" s="5">
        <f t="shared" si="15"/>
        <v>46.55172413793079</v>
      </c>
      <c r="H131" s="5">
        <v>2.8</v>
      </c>
      <c r="I131" s="5">
        <f t="shared" ref="I131:I162" si="26">IF(D131="Car",H131+1.44,IF(D131="Bus",H131+2.43,IF(D131="Auto",H131+1.4,IF(D131="TAT", H131+2.1, IF(D131="TAT", H131+2.35,H131)))))</f>
        <v>4.24</v>
      </c>
      <c r="J131" s="5">
        <f t="shared" si="16"/>
        <v>3.52</v>
      </c>
      <c r="K131">
        <f t="shared" si="17"/>
        <v>1.0240000000000019E-3</v>
      </c>
    </row>
    <row r="132" spans="3:18" x14ac:dyDescent="0.25">
      <c r="C132" s="5">
        <v>130</v>
      </c>
      <c r="D132" s="5" t="s">
        <v>19</v>
      </c>
      <c r="E132" s="5">
        <v>1428.58</v>
      </c>
      <c r="F132" s="5">
        <v>1432.52</v>
      </c>
      <c r="G132" s="5">
        <f t="shared" si="15"/>
        <v>41.116751269034964</v>
      </c>
      <c r="H132" s="5">
        <v>3.78</v>
      </c>
      <c r="I132" s="5">
        <f t="shared" si="26"/>
        <v>5.22</v>
      </c>
      <c r="J132" s="5">
        <f t="shared" si="16"/>
        <v>4.5</v>
      </c>
      <c r="K132">
        <f t="shared" ref="K132:K171" si="27">(J132-3.488)^2</f>
        <v>1.0241439999999999</v>
      </c>
    </row>
    <row r="133" spans="3:18" x14ac:dyDescent="0.25">
      <c r="C133" s="5">
        <v>131</v>
      </c>
      <c r="D133" s="5" t="s">
        <v>39</v>
      </c>
      <c r="E133" s="5">
        <v>1429.28</v>
      </c>
      <c r="F133" s="5">
        <v>1432.96</v>
      </c>
      <c r="G133" s="5">
        <f t="shared" si="15"/>
        <v>44.021739130434021</v>
      </c>
      <c r="H133" s="5">
        <v>2.19</v>
      </c>
      <c r="I133" s="5">
        <f t="shared" si="26"/>
        <v>2.19</v>
      </c>
      <c r="J133" s="5">
        <f t="shared" si="16"/>
        <v>2.19</v>
      </c>
      <c r="K133">
        <f t="shared" si="27"/>
        <v>1.6848040000000002</v>
      </c>
    </row>
    <row r="134" spans="3:18" x14ac:dyDescent="0.25">
      <c r="C134" s="5">
        <v>132</v>
      </c>
      <c r="D134" s="5" t="s">
        <v>19</v>
      </c>
      <c r="E134" s="5">
        <v>1429.8</v>
      </c>
      <c r="F134" s="5">
        <v>1433.96</v>
      </c>
      <c r="G134" s="5">
        <f t="shared" si="15"/>
        <v>38.942307692306933</v>
      </c>
      <c r="H134" s="5">
        <v>3.63</v>
      </c>
      <c r="I134" s="5">
        <f t="shared" si="26"/>
        <v>5.07</v>
      </c>
      <c r="J134" s="5">
        <f t="shared" si="16"/>
        <v>4.3499999999999996</v>
      </c>
      <c r="K134">
        <f t="shared" si="27"/>
        <v>0.74304399999999937</v>
      </c>
    </row>
    <row r="135" spans="3:18" x14ac:dyDescent="0.25">
      <c r="C135" s="5">
        <v>133</v>
      </c>
      <c r="D135" s="5" t="s">
        <v>20</v>
      </c>
      <c r="E135" s="5">
        <v>1432.8</v>
      </c>
      <c r="F135" s="5">
        <v>1437.08</v>
      </c>
      <c r="G135" s="5">
        <f t="shared" si="15"/>
        <v>37.850467289719866</v>
      </c>
      <c r="H135" s="5">
        <v>2.5</v>
      </c>
      <c r="I135" s="5">
        <f t="shared" si="26"/>
        <v>2.5</v>
      </c>
      <c r="J135" s="5">
        <f t="shared" si="16"/>
        <v>2.5</v>
      </c>
      <c r="K135">
        <f t="shared" si="27"/>
        <v>0.97614400000000001</v>
      </c>
      <c r="M135">
        <f>SUM(J3:J171)/169</f>
        <v>3.4888757396449712</v>
      </c>
      <c r="R135">
        <f>SUM(U3:U127)/125</f>
        <v>1.3805999999999989</v>
      </c>
    </row>
    <row r="136" spans="3:18" x14ac:dyDescent="0.25">
      <c r="C136" s="5">
        <v>134</v>
      </c>
      <c r="D136" s="5" t="s">
        <v>20</v>
      </c>
      <c r="E136" s="5">
        <v>1434.04</v>
      </c>
      <c r="F136" s="5">
        <v>1437.64</v>
      </c>
      <c r="G136" s="5">
        <f t="shared" si="15"/>
        <v>44.999999999998295</v>
      </c>
      <c r="H136" s="5">
        <v>2.2599999999999998</v>
      </c>
      <c r="I136" s="5">
        <f t="shared" si="26"/>
        <v>2.2599999999999998</v>
      </c>
      <c r="J136" s="5">
        <f t="shared" si="16"/>
        <v>2.2599999999999998</v>
      </c>
      <c r="K136">
        <f t="shared" si="27"/>
        <v>1.5079840000000004</v>
      </c>
    </row>
    <row r="137" spans="3:18" x14ac:dyDescent="0.25">
      <c r="C137" s="5">
        <v>135</v>
      </c>
      <c r="D137" s="5" t="s">
        <v>20</v>
      </c>
      <c r="E137" s="5">
        <v>1434.12</v>
      </c>
      <c r="F137" s="5">
        <v>1437.84</v>
      </c>
      <c r="G137" s="5">
        <f t="shared" si="15"/>
        <v>43.54838709677388</v>
      </c>
      <c r="H137" s="5">
        <v>3.71</v>
      </c>
      <c r="I137" s="5">
        <f t="shared" si="26"/>
        <v>3.71</v>
      </c>
      <c r="J137" s="5">
        <f t="shared" si="16"/>
        <v>3.71</v>
      </c>
      <c r="K137">
        <f t="shared" si="27"/>
        <v>4.9283999999999988E-2</v>
      </c>
    </row>
    <row r="138" spans="3:18" x14ac:dyDescent="0.25">
      <c r="C138" s="5">
        <v>136</v>
      </c>
      <c r="D138" s="5" t="s">
        <v>19</v>
      </c>
      <c r="E138" s="5">
        <v>1436.04</v>
      </c>
      <c r="F138" s="5">
        <v>1439.76</v>
      </c>
      <c r="G138" s="5">
        <f t="shared" si="15"/>
        <v>43.54838709677388</v>
      </c>
      <c r="H138" s="5">
        <v>2.48</v>
      </c>
      <c r="I138" s="5">
        <f t="shared" si="26"/>
        <v>3.92</v>
      </c>
      <c r="J138" s="5">
        <f t="shared" si="16"/>
        <v>3.2</v>
      </c>
      <c r="K138">
        <f t="shared" si="27"/>
        <v>8.2943999999999893E-2</v>
      </c>
    </row>
    <row r="139" spans="3:18" x14ac:dyDescent="0.25">
      <c r="C139" s="5">
        <v>137</v>
      </c>
      <c r="D139" s="5" t="s">
        <v>19</v>
      </c>
      <c r="E139" s="5">
        <v>1440.36</v>
      </c>
      <c r="F139" s="5">
        <v>1443.72</v>
      </c>
      <c r="G139" s="5">
        <f t="shared" si="15"/>
        <v>48.214285714283889</v>
      </c>
      <c r="H139" s="5">
        <v>2.5</v>
      </c>
      <c r="I139" s="5">
        <f t="shared" si="26"/>
        <v>3.94</v>
      </c>
      <c r="J139" s="5">
        <f t="shared" si="16"/>
        <v>3.2199999999999998</v>
      </c>
      <c r="K139">
        <f t="shared" si="27"/>
        <v>7.1824000000000124E-2</v>
      </c>
      <c r="R139">
        <f>((SUM(V3:V127))/125)^0.5</f>
        <v>0.68573919240480929</v>
      </c>
    </row>
    <row r="140" spans="3:18" x14ac:dyDescent="0.25">
      <c r="C140" s="5">
        <v>138</v>
      </c>
      <c r="D140" s="5" t="s">
        <v>20</v>
      </c>
      <c r="E140" s="5">
        <v>1440.92</v>
      </c>
      <c r="F140" s="5">
        <v>1443.84</v>
      </c>
      <c r="G140" s="5">
        <f t="shared" si="15"/>
        <v>55.479452054797463</v>
      </c>
      <c r="H140" s="5">
        <v>1.17</v>
      </c>
      <c r="I140" s="5">
        <f t="shared" si="26"/>
        <v>1.17</v>
      </c>
      <c r="J140" s="5">
        <f t="shared" si="16"/>
        <v>1.17</v>
      </c>
      <c r="K140">
        <f t="shared" si="27"/>
        <v>5.3731240000000007</v>
      </c>
      <c r="M140">
        <f>((SUM(K3:K171))/169)^0.5</f>
        <v>1.3890129226930479</v>
      </c>
    </row>
    <row r="141" spans="3:18" x14ac:dyDescent="0.25">
      <c r="C141" s="5">
        <v>139</v>
      </c>
      <c r="D141" s="5" t="s">
        <v>18</v>
      </c>
      <c r="E141" s="5">
        <v>1442.6</v>
      </c>
      <c r="F141" s="5">
        <v>1445.76</v>
      </c>
      <c r="G141" s="5">
        <f t="shared" si="15"/>
        <v>51.265822784808805</v>
      </c>
      <c r="H141" s="5">
        <v>2.92</v>
      </c>
      <c r="I141" s="5">
        <f t="shared" si="26"/>
        <v>4.32</v>
      </c>
      <c r="J141" s="5">
        <f t="shared" si="16"/>
        <v>3.62</v>
      </c>
      <c r="K141">
        <f t="shared" si="27"/>
        <v>1.742400000000003E-2</v>
      </c>
    </row>
    <row r="142" spans="3:18" x14ac:dyDescent="0.25">
      <c r="C142" s="5">
        <v>140</v>
      </c>
      <c r="D142" s="5" t="s">
        <v>39</v>
      </c>
      <c r="E142" s="5">
        <v>1442.76</v>
      </c>
      <c r="F142" s="5">
        <v>1445.92</v>
      </c>
      <c r="G142" s="5">
        <f t="shared" si="15"/>
        <v>51.265822784808805</v>
      </c>
      <c r="H142" s="5">
        <v>1.68</v>
      </c>
      <c r="I142" s="5">
        <f t="shared" si="26"/>
        <v>1.68</v>
      </c>
      <c r="J142" s="5">
        <f t="shared" si="16"/>
        <v>1.68</v>
      </c>
      <c r="K142">
        <f t="shared" si="27"/>
        <v>3.2688640000000002</v>
      </c>
    </row>
    <row r="143" spans="3:18" x14ac:dyDescent="0.25">
      <c r="C143" s="5">
        <v>141</v>
      </c>
      <c r="D143" s="5" t="s">
        <v>19</v>
      </c>
      <c r="E143" s="5">
        <v>1444.68</v>
      </c>
      <c r="F143" s="5">
        <v>1448.4</v>
      </c>
      <c r="G143" s="5">
        <f t="shared" si="15"/>
        <v>43.54838709677388</v>
      </c>
      <c r="H143" s="5">
        <v>2.69</v>
      </c>
      <c r="I143" s="5">
        <f t="shared" si="26"/>
        <v>4.13</v>
      </c>
      <c r="J143" s="5">
        <f t="shared" si="16"/>
        <v>3.41</v>
      </c>
      <c r="K143">
        <f t="shared" si="27"/>
        <v>6.0839999999999766E-3</v>
      </c>
    </row>
    <row r="144" spans="3:18" x14ac:dyDescent="0.25">
      <c r="C144" s="5">
        <v>142</v>
      </c>
      <c r="D144" s="5" t="s">
        <v>19</v>
      </c>
      <c r="E144" s="5">
        <v>1446.04</v>
      </c>
      <c r="F144" s="5">
        <v>1449.56</v>
      </c>
      <c r="G144" s="5">
        <f t="shared" si="15"/>
        <v>46.022727272727515</v>
      </c>
      <c r="H144" s="5">
        <v>2.58</v>
      </c>
      <c r="I144" s="5">
        <f t="shared" si="26"/>
        <v>4.0199999999999996</v>
      </c>
      <c r="J144" s="5">
        <f t="shared" si="16"/>
        <v>3.3</v>
      </c>
      <c r="K144">
        <f t="shared" si="27"/>
        <v>3.5344000000000063E-2</v>
      </c>
    </row>
    <row r="145" spans="3:11" x14ac:dyDescent="0.25">
      <c r="C145" s="5">
        <v>143</v>
      </c>
      <c r="D145" s="5" t="s">
        <v>19</v>
      </c>
      <c r="E145" s="5">
        <v>1447.52</v>
      </c>
      <c r="F145" s="5">
        <v>1451.08</v>
      </c>
      <c r="G145" s="5">
        <f t="shared" si="15"/>
        <v>45.505617977528793</v>
      </c>
      <c r="H145" s="5">
        <v>2.4</v>
      </c>
      <c r="I145" s="5">
        <f t="shared" si="26"/>
        <v>3.84</v>
      </c>
      <c r="J145" s="5">
        <f t="shared" si="16"/>
        <v>3.12</v>
      </c>
      <c r="K145">
        <f t="shared" si="27"/>
        <v>0.13542399999999991</v>
      </c>
    </row>
    <row r="146" spans="3:11" x14ac:dyDescent="0.25">
      <c r="C146" s="5">
        <v>144</v>
      </c>
      <c r="D146" s="5" t="s">
        <v>24</v>
      </c>
      <c r="E146" s="5">
        <v>1448.56</v>
      </c>
      <c r="F146" s="5">
        <v>1459.44</v>
      </c>
      <c r="G146" s="5">
        <f t="shared" si="15"/>
        <v>14.889705882352793</v>
      </c>
      <c r="H146" s="5">
        <v>0.82</v>
      </c>
      <c r="I146" s="5">
        <f t="shared" si="26"/>
        <v>0.82</v>
      </c>
      <c r="J146" s="5">
        <f t="shared" si="16"/>
        <v>0.82</v>
      </c>
      <c r="K146">
        <f t="shared" si="27"/>
        <v>7.1182240000000006</v>
      </c>
    </row>
    <row r="147" spans="3:11" x14ac:dyDescent="0.25">
      <c r="C147" s="5">
        <v>145</v>
      </c>
      <c r="D147" s="5" t="s">
        <v>39</v>
      </c>
      <c r="E147" s="5">
        <v>1448.76</v>
      </c>
      <c r="F147" s="5">
        <v>1451.92</v>
      </c>
      <c r="G147" s="5">
        <f t="shared" si="15"/>
        <v>51.265822784808805</v>
      </c>
      <c r="H147" s="5">
        <v>1.73</v>
      </c>
      <c r="I147" s="5">
        <f t="shared" si="26"/>
        <v>1.73</v>
      </c>
      <c r="J147" s="5">
        <f t="shared" si="16"/>
        <v>1.73</v>
      </c>
      <c r="K147">
        <f t="shared" si="27"/>
        <v>3.0905640000000001</v>
      </c>
    </row>
    <row r="148" spans="3:11" x14ac:dyDescent="0.25">
      <c r="C148" s="5">
        <v>146</v>
      </c>
      <c r="D148" s="5" t="s">
        <v>19</v>
      </c>
      <c r="E148" s="5">
        <v>1449.56</v>
      </c>
      <c r="F148" s="5">
        <v>1452.92</v>
      </c>
      <c r="G148" s="5">
        <f t="shared" si="15"/>
        <v>48.214285714283889</v>
      </c>
      <c r="H148" s="5">
        <v>2.78</v>
      </c>
      <c r="I148" s="5">
        <f t="shared" si="26"/>
        <v>4.22</v>
      </c>
      <c r="J148" s="5">
        <f t="shared" si="16"/>
        <v>3.5</v>
      </c>
      <c r="K148">
        <f t="shared" si="27"/>
        <v>1.4400000000000025E-4</v>
      </c>
    </row>
    <row r="149" spans="3:11" x14ac:dyDescent="0.25">
      <c r="C149" s="5">
        <v>147</v>
      </c>
      <c r="D149" s="5" t="s">
        <v>19</v>
      </c>
      <c r="E149" s="5">
        <v>1451.2</v>
      </c>
      <c r="F149" s="5">
        <v>1454.6</v>
      </c>
      <c r="G149" s="5">
        <f t="shared" si="15"/>
        <v>47.647058823531324</v>
      </c>
      <c r="H149" s="5">
        <v>2.94</v>
      </c>
      <c r="I149" s="5">
        <f t="shared" si="26"/>
        <v>4.38</v>
      </c>
      <c r="J149" s="5">
        <f t="shared" si="16"/>
        <v>3.66</v>
      </c>
      <c r="K149">
        <f t="shared" si="27"/>
        <v>2.9584000000000051E-2</v>
      </c>
    </row>
    <row r="150" spans="3:11" x14ac:dyDescent="0.25">
      <c r="C150" s="5">
        <v>148</v>
      </c>
      <c r="D150" s="5" t="s">
        <v>20</v>
      </c>
      <c r="E150" s="5">
        <v>1459.64</v>
      </c>
      <c r="F150" s="5">
        <v>1463.4</v>
      </c>
      <c r="G150" s="5">
        <f t="shared" si="15"/>
        <v>43.085106382978829</v>
      </c>
      <c r="H150" s="5">
        <v>3.76</v>
      </c>
      <c r="I150" s="5">
        <f t="shared" si="26"/>
        <v>3.76</v>
      </c>
      <c r="J150" s="5">
        <f t="shared" si="16"/>
        <v>3.76</v>
      </c>
      <c r="K150">
        <f t="shared" si="27"/>
        <v>7.3983999999999883E-2</v>
      </c>
    </row>
    <row r="151" spans="3:11" x14ac:dyDescent="0.25">
      <c r="C151" s="5">
        <v>149</v>
      </c>
      <c r="D151" s="5" t="s">
        <v>20</v>
      </c>
      <c r="E151" s="5">
        <v>1459.92</v>
      </c>
      <c r="F151" s="5">
        <v>1463.52</v>
      </c>
      <c r="G151" s="5">
        <f t="shared" si="15"/>
        <v>45.000000000001137</v>
      </c>
      <c r="H151" s="5">
        <v>2.29</v>
      </c>
      <c r="I151" s="5">
        <f t="shared" si="26"/>
        <v>2.29</v>
      </c>
      <c r="J151" s="5">
        <f t="shared" si="16"/>
        <v>2.29</v>
      </c>
      <c r="K151">
        <f t="shared" si="27"/>
        <v>1.4352039999999999</v>
      </c>
    </row>
    <row r="152" spans="3:11" x14ac:dyDescent="0.25">
      <c r="C152" s="5">
        <v>150</v>
      </c>
      <c r="D152" s="5" t="s">
        <v>19</v>
      </c>
      <c r="E152" s="5">
        <v>1461.88</v>
      </c>
      <c r="F152" s="5">
        <v>1465.04</v>
      </c>
      <c r="G152" s="5">
        <f t="shared" si="15"/>
        <v>51.265822784812485</v>
      </c>
      <c r="H152" s="5">
        <v>3.38</v>
      </c>
      <c r="I152" s="5">
        <f t="shared" si="26"/>
        <v>4.82</v>
      </c>
      <c r="J152" s="5">
        <f t="shared" si="16"/>
        <v>4.0999999999999996</v>
      </c>
      <c r="K152">
        <f t="shared" si="27"/>
        <v>0.3745439999999996</v>
      </c>
    </row>
    <row r="153" spans="3:11" x14ac:dyDescent="0.25">
      <c r="C153" s="5">
        <v>151</v>
      </c>
      <c r="D153" s="5" t="s">
        <v>18</v>
      </c>
      <c r="E153" s="5">
        <v>1462.2</v>
      </c>
      <c r="F153" s="5">
        <v>1466.04</v>
      </c>
      <c r="G153" s="5">
        <f t="shared" si="15"/>
        <v>42.187500000000902</v>
      </c>
      <c r="H153" s="5">
        <v>1.62</v>
      </c>
      <c r="I153" s="5">
        <f t="shared" si="26"/>
        <v>3.02</v>
      </c>
      <c r="J153" s="5">
        <f t="shared" si="16"/>
        <v>2.3200000000000003</v>
      </c>
      <c r="K153">
        <f t="shared" si="27"/>
        <v>1.3642239999999992</v>
      </c>
    </row>
    <row r="154" spans="3:11" x14ac:dyDescent="0.25">
      <c r="C154" s="5">
        <v>152</v>
      </c>
      <c r="D154" s="5" t="s">
        <v>19</v>
      </c>
      <c r="E154" s="5">
        <v>1463.16</v>
      </c>
      <c r="F154" s="5">
        <v>1466.36</v>
      </c>
      <c r="G154" s="5">
        <f t="shared" si="15"/>
        <v>50.625000000002878</v>
      </c>
      <c r="H154" s="5">
        <v>4.5599999999999996</v>
      </c>
      <c r="I154" s="5">
        <f t="shared" si="26"/>
        <v>6</v>
      </c>
      <c r="J154" s="5">
        <f t="shared" si="16"/>
        <v>5.2799999999999994</v>
      </c>
      <c r="K154">
        <f t="shared" si="27"/>
        <v>3.2112639999999977</v>
      </c>
    </row>
    <row r="155" spans="3:11" x14ac:dyDescent="0.25">
      <c r="C155" s="5">
        <v>153</v>
      </c>
      <c r="D155" s="5" t="s">
        <v>19</v>
      </c>
      <c r="E155" s="5">
        <v>1468.96</v>
      </c>
      <c r="F155" s="5">
        <v>1472.2</v>
      </c>
      <c r="G155" s="5">
        <f t="shared" si="15"/>
        <v>49.999999999999865</v>
      </c>
      <c r="H155" s="5">
        <v>3.35</v>
      </c>
      <c r="I155" s="5">
        <f t="shared" si="26"/>
        <v>4.79</v>
      </c>
      <c r="J155" s="5">
        <f t="shared" si="16"/>
        <v>4.07</v>
      </c>
      <c r="K155">
        <f t="shared" si="27"/>
        <v>0.33872400000000036</v>
      </c>
    </row>
    <row r="156" spans="3:11" x14ac:dyDescent="0.25">
      <c r="C156" s="5">
        <v>154</v>
      </c>
      <c r="D156" s="5" t="s">
        <v>19</v>
      </c>
      <c r="E156" s="5">
        <v>1470.2</v>
      </c>
      <c r="F156" s="5">
        <v>1473.52</v>
      </c>
      <c r="G156" s="5">
        <f t="shared" si="15"/>
        <v>48.795180722892503</v>
      </c>
      <c r="H156" s="5">
        <v>3.27</v>
      </c>
      <c r="I156" s="5">
        <f t="shared" si="26"/>
        <v>4.71</v>
      </c>
      <c r="J156" s="5">
        <f t="shared" si="16"/>
        <v>3.99</v>
      </c>
      <c r="K156">
        <f t="shared" si="27"/>
        <v>0.25200400000000023</v>
      </c>
    </row>
    <row r="157" spans="3:11" x14ac:dyDescent="0.25">
      <c r="C157" s="5">
        <v>155</v>
      </c>
      <c r="D157" s="5" t="s">
        <v>24</v>
      </c>
      <c r="E157" s="5">
        <v>1472.8</v>
      </c>
      <c r="F157" s="5">
        <v>1482.88</v>
      </c>
      <c r="G157" s="5">
        <f t="shared" si="15"/>
        <v>16.071428571428328</v>
      </c>
      <c r="H157" s="5">
        <v>0.35</v>
      </c>
      <c r="I157" s="5">
        <f t="shared" si="26"/>
        <v>0.35</v>
      </c>
      <c r="J157" s="5">
        <f t="shared" si="16"/>
        <v>0.35</v>
      </c>
      <c r="K157">
        <f t="shared" si="27"/>
        <v>9.8470439999999986</v>
      </c>
    </row>
    <row r="158" spans="3:11" x14ac:dyDescent="0.25">
      <c r="C158" s="5">
        <v>156</v>
      </c>
      <c r="D158" s="5" t="s">
        <v>19</v>
      </c>
      <c r="E158" s="5">
        <v>1477.2</v>
      </c>
      <c r="F158" s="5">
        <v>1480.04</v>
      </c>
      <c r="G158" s="5">
        <f t="shared" si="15"/>
        <v>57.042253521128409</v>
      </c>
      <c r="H158" s="5">
        <v>2.54</v>
      </c>
      <c r="I158" s="5">
        <f t="shared" si="26"/>
        <v>3.98</v>
      </c>
      <c r="J158" s="5">
        <f t="shared" si="16"/>
        <v>3.26</v>
      </c>
      <c r="K158">
        <f t="shared" si="27"/>
        <v>5.1984000000000093E-2</v>
      </c>
    </row>
    <row r="159" spans="3:11" x14ac:dyDescent="0.25">
      <c r="C159" s="5">
        <v>157</v>
      </c>
      <c r="D159" s="5" t="s">
        <v>20</v>
      </c>
      <c r="E159" s="5">
        <v>1477.68</v>
      </c>
      <c r="F159" s="5">
        <v>1479.68</v>
      </c>
      <c r="G159" s="5">
        <f t="shared" si="15"/>
        <v>81</v>
      </c>
      <c r="H159" s="5">
        <v>2.0299999999999998</v>
      </c>
      <c r="I159" s="5">
        <f t="shared" si="26"/>
        <v>2.0299999999999998</v>
      </c>
      <c r="J159" s="5">
        <f t="shared" si="16"/>
        <v>2.0299999999999998</v>
      </c>
      <c r="K159">
        <f t="shared" si="27"/>
        <v>2.1257640000000007</v>
      </c>
    </row>
    <row r="160" spans="3:11" x14ac:dyDescent="0.25">
      <c r="C160" s="5">
        <v>158</v>
      </c>
      <c r="D160" s="5" t="s">
        <v>19</v>
      </c>
      <c r="E160" s="5">
        <v>1478.48</v>
      </c>
      <c r="F160" s="5">
        <v>1486.4</v>
      </c>
      <c r="G160" s="5">
        <f t="shared" si="15"/>
        <v>20.454545454545265</v>
      </c>
      <c r="H160" s="5">
        <v>2.25</v>
      </c>
      <c r="I160" s="5">
        <f t="shared" si="26"/>
        <v>3.69</v>
      </c>
      <c r="J160" s="5">
        <f t="shared" si="16"/>
        <v>2.9699999999999998</v>
      </c>
      <c r="K160">
        <f t="shared" si="27"/>
        <v>0.26832400000000023</v>
      </c>
    </row>
    <row r="161" spans="3:11" x14ac:dyDescent="0.25">
      <c r="C161" s="5">
        <v>159</v>
      </c>
      <c r="D161" s="5" t="s">
        <v>20</v>
      </c>
      <c r="E161" s="5">
        <v>1482.28</v>
      </c>
      <c r="F161" s="5">
        <v>1486.32</v>
      </c>
      <c r="G161" s="5">
        <f t="shared" si="15"/>
        <v>40.09900990099046</v>
      </c>
      <c r="H161" s="5">
        <v>4.67</v>
      </c>
      <c r="I161" s="5">
        <f t="shared" si="26"/>
        <v>4.67</v>
      </c>
      <c r="J161" s="5">
        <f t="shared" si="16"/>
        <v>4.67</v>
      </c>
      <c r="K161">
        <f t="shared" si="27"/>
        <v>1.3971239999999998</v>
      </c>
    </row>
    <row r="162" spans="3:11" x14ac:dyDescent="0.25">
      <c r="C162" s="5">
        <v>160</v>
      </c>
      <c r="D162" s="5" t="s">
        <v>18</v>
      </c>
      <c r="E162" s="5">
        <v>1485.48</v>
      </c>
      <c r="F162" s="5">
        <v>1489.92</v>
      </c>
      <c r="G162" s="5">
        <f t="shared" si="15"/>
        <v>36.486486486486037</v>
      </c>
      <c r="H162" s="5">
        <v>3.9</v>
      </c>
      <c r="I162" s="5">
        <f t="shared" si="26"/>
        <v>5.3</v>
      </c>
      <c r="J162" s="5">
        <f t="shared" si="16"/>
        <v>4.5999999999999996</v>
      </c>
      <c r="K162">
        <f t="shared" si="27"/>
        <v>1.2365439999999992</v>
      </c>
    </row>
    <row r="163" spans="3:11" x14ac:dyDescent="0.25">
      <c r="C163" s="5">
        <v>161</v>
      </c>
      <c r="D163" s="5" t="s">
        <v>20</v>
      </c>
      <c r="E163" s="5">
        <v>1485.84</v>
      </c>
      <c r="F163" s="5">
        <v>1488.72</v>
      </c>
      <c r="G163" s="5">
        <f t="shared" si="15"/>
        <v>56.249999999997868</v>
      </c>
      <c r="H163" s="5">
        <v>4.8099999999999996</v>
      </c>
      <c r="I163" s="5">
        <f t="shared" ref="I163:I194" si="28">IF(D163="Car",H163+1.44,IF(D163="Bus",H163+2.43,IF(D163="Auto",H163+1.4,IF(D163="TAT", H163+2.1, IF(D163="TAT", H163+2.35,H163)))))</f>
        <v>4.8099999999999996</v>
      </c>
      <c r="J163" s="5">
        <f t="shared" si="16"/>
        <v>4.8099999999999996</v>
      </c>
      <c r="K163">
        <f t="shared" si="27"/>
        <v>1.7476839999999989</v>
      </c>
    </row>
    <row r="164" spans="3:11" x14ac:dyDescent="0.25">
      <c r="C164" s="5">
        <v>162</v>
      </c>
      <c r="D164" s="5" t="s">
        <v>20</v>
      </c>
      <c r="E164" s="5">
        <v>1486.84</v>
      </c>
      <c r="F164" s="5">
        <v>1489.84</v>
      </c>
      <c r="G164" s="5">
        <f t="shared" si="15"/>
        <v>54</v>
      </c>
      <c r="H164" s="5">
        <v>5.5</v>
      </c>
      <c r="I164" s="5">
        <f t="shared" si="28"/>
        <v>5.5</v>
      </c>
      <c r="J164" s="5">
        <f t="shared" si="16"/>
        <v>5.5</v>
      </c>
      <c r="K164">
        <f t="shared" si="27"/>
        <v>4.0481439999999997</v>
      </c>
    </row>
    <row r="165" spans="3:11" x14ac:dyDescent="0.25">
      <c r="C165" s="5">
        <v>163</v>
      </c>
      <c r="D165" s="5" t="s">
        <v>18</v>
      </c>
      <c r="E165" s="5">
        <v>1487.52</v>
      </c>
      <c r="F165" s="5">
        <v>1493.8</v>
      </c>
      <c r="G165" s="5">
        <f t="shared" si="15"/>
        <v>25.796178343949158</v>
      </c>
      <c r="H165" s="5">
        <v>1.75</v>
      </c>
      <c r="I165" s="5">
        <f t="shared" si="28"/>
        <v>3.15</v>
      </c>
      <c r="J165" s="5">
        <f t="shared" si="16"/>
        <v>2.4500000000000002</v>
      </c>
      <c r="K165">
        <f t="shared" si="27"/>
        <v>1.0774439999999996</v>
      </c>
    </row>
    <row r="166" spans="3:11" x14ac:dyDescent="0.25">
      <c r="C166" s="5">
        <v>164</v>
      </c>
      <c r="D166" s="5" t="s">
        <v>19</v>
      </c>
      <c r="E166" s="5">
        <v>1488.72</v>
      </c>
      <c r="F166" s="5">
        <v>1492.56</v>
      </c>
      <c r="G166" s="5">
        <f t="shared" si="15"/>
        <v>42.187500000000902</v>
      </c>
      <c r="H166" s="5">
        <v>3.89</v>
      </c>
      <c r="I166" s="5">
        <f t="shared" si="28"/>
        <v>5.33</v>
      </c>
      <c r="J166" s="5">
        <f t="shared" si="16"/>
        <v>4.6100000000000003</v>
      </c>
      <c r="K166">
        <f t="shared" si="27"/>
        <v>1.2588840000000008</v>
      </c>
    </row>
    <row r="167" spans="3:11" x14ac:dyDescent="0.25">
      <c r="C167" s="5">
        <v>165</v>
      </c>
      <c r="D167" s="5" t="s">
        <v>20</v>
      </c>
      <c r="E167" s="5">
        <v>1488.84</v>
      </c>
      <c r="F167" s="5">
        <v>1491.6</v>
      </c>
      <c r="G167" s="5">
        <f t="shared" si="15"/>
        <v>58.695652173913238</v>
      </c>
      <c r="H167" s="5">
        <v>7.41</v>
      </c>
      <c r="I167" s="5">
        <f t="shared" si="28"/>
        <v>7.41</v>
      </c>
      <c r="J167" s="5">
        <f t="shared" si="16"/>
        <v>7.41</v>
      </c>
      <c r="K167">
        <f t="shared" si="27"/>
        <v>15.382084000000001</v>
      </c>
    </row>
    <row r="168" spans="3:11" x14ac:dyDescent="0.25">
      <c r="C168" s="5">
        <v>166</v>
      </c>
      <c r="D168" s="5" t="s">
        <v>20</v>
      </c>
      <c r="E168" s="5">
        <v>1489.84</v>
      </c>
      <c r="F168" s="5">
        <v>1492.72</v>
      </c>
      <c r="G168" s="5">
        <f t="shared" si="15"/>
        <v>56.249999999997868</v>
      </c>
      <c r="H168" s="5">
        <v>4.49</v>
      </c>
      <c r="I168" s="5">
        <f t="shared" si="28"/>
        <v>4.49</v>
      </c>
      <c r="J168" s="5">
        <f t="shared" si="16"/>
        <v>4.49</v>
      </c>
      <c r="K168">
        <f t="shared" si="27"/>
        <v>1.0040040000000003</v>
      </c>
    </row>
    <row r="169" spans="3:11" x14ac:dyDescent="0.25">
      <c r="C169" s="5">
        <v>167</v>
      </c>
      <c r="D169" s="5" t="s">
        <v>20</v>
      </c>
      <c r="E169" s="5">
        <v>1489.92</v>
      </c>
      <c r="F169" s="5">
        <v>1493.56</v>
      </c>
      <c r="G169" s="5">
        <f t="shared" si="15"/>
        <v>44.50549450549606</v>
      </c>
      <c r="H169" s="5">
        <v>4.01</v>
      </c>
      <c r="I169" s="5">
        <f t="shared" si="28"/>
        <v>4.01</v>
      </c>
      <c r="J169" s="5">
        <f t="shared" si="16"/>
        <v>4.01</v>
      </c>
      <c r="K169">
        <f t="shared" si="27"/>
        <v>0.27248399999999978</v>
      </c>
    </row>
    <row r="170" spans="3:11" x14ac:dyDescent="0.25">
      <c r="C170" s="5">
        <v>168</v>
      </c>
      <c r="D170" s="5" t="s">
        <v>20</v>
      </c>
      <c r="E170" s="5">
        <v>1490.48</v>
      </c>
      <c r="F170" s="5">
        <v>1494.12</v>
      </c>
      <c r="G170" s="5">
        <f t="shared" si="15"/>
        <v>44.50549450549606</v>
      </c>
      <c r="H170" s="5">
        <v>4.51</v>
      </c>
      <c r="I170" s="5">
        <f t="shared" si="28"/>
        <v>4.51</v>
      </c>
      <c r="J170" s="5">
        <f t="shared" si="16"/>
        <v>4.51</v>
      </c>
      <c r="K170">
        <f t="shared" si="27"/>
        <v>1.0444839999999995</v>
      </c>
    </row>
    <row r="171" spans="3:11" x14ac:dyDescent="0.25">
      <c r="C171" s="5">
        <v>169</v>
      </c>
      <c r="D171" s="5" t="s">
        <v>24</v>
      </c>
      <c r="E171" s="5">
        <v>1498.84</v>
      </c>
      <c r="F171" s="5">
        <v>1507.44</v>
      </c>
      <c r="G171" s="5">
        <f t="shared" si="15"/>
        <v>18.837209302325284</v>
      </c>
      <c r="H171" s="5">
        <v>0.5</v>
      </c>
      <c r="I171" s="5">
        <f t="shared" si="28"/>
        <v>0.5</v>
      </c>
      <c r="J171" s="5">
        <f t="shared" si="16"/>
        <v>0.5</v>
      </c>
      <c r="K171">
        <f t="shared" si="27"/>
        <v>8.9281439999999996</v>
      </c>
    </row>
    <row r="172" spans="3:11" x14ac:dyDescent="0.25">
      <c r="C172" s="22"/>
      <c r="D172" s="22"/>
      <c r="E172" s="22"/>
      <c r="F172" s="22"/>
      <c r="G172" s="22"/>
      <c r="H172" s="22"/>
      <c r="I172" s="22"/>
      <c r="J172" s="22"/>
    </row>
    <row r="173" spans="3:11" x14ac:dyDescent="0.25">
      <c r="C173" s="22"/>
      <c r="D173" s="22"/>
      <c r="E173" s="22"/>
      <c r="F173" s="22"/>
      <c r="G173" s="22"/>
      <c r="H173" s="22"/>
      <c r="I173" s="22"/>
      <c r="J173" s="22"/>
    </row>
    <row r="174" spans="3:11" ht="15.75" thickBot="1" x14ac:dyDescent="0.3">
      <c r="C174" s="22"/>
      <c r="D174" s="22"/>
      <c r="E174" s="22"/>
      <c r="F174" s="22"/>
      <c r="G174" s="22"/>
      <c r="H174" s="22"/>
      <c r="I174" s="22"/>
      <c r="J174" s="22"/>
    </row>
    <row r="175" spans="3:11" ht="15.75" x14ac:dyDescent="0.25">
      <c r="C175" s="22"/>
      <c r="D175" s="12" t="s">
        <v>28</v>
      </c>
      <c r="E175" s="13" t="s">
        <v>29</v>
      </c>
      <c r="F175" s="13" t="s">
        <v>30</v>
      </c>
      <c r="G175" s="13" t="s">
        <v>31</v>
      </c>
      <c r="H175" s="13" t="s">
        <v>32</v>
      </c>
      <c r="I175" s="14" t="s">
        <v>33</v>
      </c>
      <c r="J175" s="22"/>
    </row>
    <row r="176" spans="3:11" x14ac:dyDescent="0.25">
      <c r="C176" s="22"/>
      <c r="D176" s="15" t="s">
        <v>20</v>
      </c>
      <c r="E176" s="2">
        <f>COUNTIF(D3:D171,"TW")/169</f>
        <v>0.27218934911242604</v>
      </c>
      <c r="F176" s="2">
        <v>0.25</v>
      </c>
      <c r="G176" s="2">
        <f>(F176*F176)</f>
        <v>6.25E-2</v>
      </c>
      <c r="H176" s="2">
        <f>E176*F176</f>
        <v>6.8047337278106509E-2</v>
      </c>
      <c r="I176" s="16">
        <f>E176*G176</f>
        <v>1.7011834319526627E-2</v>
      </c>
      <c r="J176" s="22"/>
    </row>
    <row r="177" spans="4:9" x14ac:dyDescent="0.25">
      <c r="D177" s="15" t="s">
        <v>41</v>
      </c>
      <c r="E177" s="2">
        <f>COUNTIF(D3:D171,"Cycle Rikshaw")/169</f>
        <v>5.9171597633136093E-3</v>
      </c>
      <c r="F177" s="2">
        <v>2.1</v>
      </c>
      <c r="G177" s="2">
        <f t="shared" ref="G177:G182" si="29">(F177*F177)</f>
        <v>4.41</v>
      </c>
      <c r="H177" s="2">
        <f t="shared" ref="H177:H182" si="30">E177*F177</f>
        <v>1.242603550295858E-2</v>
      </c>
      <c r="I177" s="16">
        <f t="shared" ref="I177:I182" si="31">E177*G177</f>
        <v>2.6094674556213018E-2</v>
      </c>
    </row>
    <row r="178" spans="4:9" x14ac:dyDescent="0.25">
      <c r="D178" s="15" t="s">
        <v>24</v>
      </c>
      <c r="E178" s="2">
        <f>COUNTIF(D3:D171,"Cycle")/169</f>
        <v>5.3254437869822487E-2</v>
      </c>
      <c r="F178" s="2">
        <v>0.4</v>
      </c>
      <c r="G178" s="2">
        <f t="shared" si="29"/>
        <v>0.16000000000000003</v>
      </c>
      <c r="H178" s="2">
        <f t="shared" si="30"/>
        <v>2.1301775147928997E-2</v>
      </c>
      <c r="I178" s="16">
        <f t="shared" si="31"/>
        <v>8.520710059171599E-3</v>
      </c>
    </row>
    <row r="179" spans="4:9" x14ac:dyDescent="0.25">
      <c r="D179" s="15" t="s">
        <v>19</v>
      </c>
      <c r="E179" s="2">
        <f>COUNTIF(D3:D171,"Car")/169</f>
        <v>0.57396449704142016</v>
      </c>
      <c r="F179" s="2">
        <v>1</v>
      </c>
      <c r="G179" s="2">
        <f t="shared" si="29"/>
        <v>1</v>
      </c>
      <c r="H179" s="2">
        <f t="shared" si="30"/>
        <v>0.57396449704142016</v>
      </c>
      <c r="I179" s="16">
        <f t="shared" si="31"/>
        <v>0.57396449704142016</v>
      </c>
    </row>
    <row r="180" spans="4:9" x14ac:dyDescent="0.25">
      <c r="D180" s="15" t="s">
        <v>18</v>
      </c>
      <c r="E180" s="2">
        <f>COUNTIF(D3:D171,"Auto")/169</f>
        <v>4.7337278106508875E-2</v>
      </c>
      <c r="F180" s="2">
        <v>1.2</v>
      </c>
      <c r="G180" s="2">
        <f t="shared" si="29"/>
        <v>1.44</v>
      </c>
      <c r="H180" s="2">
        <f t="shared" si="30"/>
        <v>5.6804733727810648E-2</v>
      </c>
      <c r="I180" s="16">
        <f t="shared" si="31"/>
        <v>6.8165680473372778E-2</v>
      </c>
    </row>
    <row r="181" spans="4:9" x14ac:dyDescent="0.25">
      <c r="D181" s="15" t="s">
        <v>22</v>
      </c>
      <c r="E181" s="2">
        <f>COUNTIF(D3:D171,"Bus")/169</f>
        <v>2.3668639053254437E-2</v>
      </c>
      <c r="F181" s="2">
        <v>4.5</v>
      </c>
      <c r="G181" s="2">
        <f t="shared" si="29"/>
        <v>20.25</v>
      </c>
      <c r="H181" s="2">
        <f t="shared" si="30"/>
        <v>0.10650887573964497</v>
      </c>
      <c r="I181" s="16">
        <f t="shared" si="31"/>
        <v>0.47928994082840237</v>
      </c>
    </row>
    <row r="182" spans="4:9" x14ac:dyDescent="0.25">
      <c r="D182" s="15" t="s">
        <v>21</v>
      </c>
      <c r="E182" s="2">
        <f>COUNTIF(D3:D171,"TAT")/169</f>
        <v>1.7751479289940829E-2</v>
      </c>
      <c r="F182" s="2">
        <v>4.8</v>
      </c>
      <c r="G182" s="2">
        <f t="shared" si="29"/>
        <v>23.04</v>
      </c>
      <c r="H182" s="2">
        <f t="shared" si="30"/>
        <v>8.5207100591715976E-2</v>
      </c>
      <c r="I182" s="16">
        <f t="shared" si="31"/>
        <v>0.40899408284023669</v>
      </c>
    </row>
    <row r="183" spans="4:9" x14ac:dyDescent="0.25">
      <c r="D183" s="15"/>
      <c r="E183" s="2"/>
      <c r="F183" s="2"/>
      <c r="G183" s="11" t="s">
        <v>34</v>
      </c>
      <c r="H183" s="2">
        <f>SUM(H176:H182)</f>
        <v>0.92426035502958592</v>
      </c>
      <c r="I183" s="16">
        <f>SUM(I176:I182)</f>
        <v>1.5820414201183435</v>
      </c>
    </row>
    <row r="184" spans="4:9" x14ac:dyDescent="0.25">
      <c r="D184" s="15"/>
      <c r="E184" s="2"/>
      <c r="F184" s="2"/>
      <c r="G184" s="11" t="s">
        <v>37</v>
      </c>
      <c r="H184" s="2">
        <f>H183*H183</f>
        <v>0.85425720387941617</v>
      </c>
      <c r="I184" s="16"/>
    </row>
    <row r="185" spans="4:9" ht="19.5" thickBot="1" x14ac:dyDescent="0.35">
      <c r="D185" s="56" t="s">
        <v>35</v>
      </c>
      <c r="E185" s="57"/>
      <c r="F185" s="57"/>
      <c r="G185" s="57"/>
      <c r="H185" s="18">
        <f>(((I183-H184)^(1/2))/H183)*100</f>
        <v>92.30112435956886</v>
      </c>
      <c r="I185" s="17"/>
    </row>
    <row r="188" spans="4:9" ht="15.75" thickBot="1" x14ac:dyDescent="0.3"/>
    <row r="189" spans="4:9" ht="15.75" x14ac:dyDescent="0.25">
      <c r="D189" s="19" t="s">
        <v>38</v>
      </c>
      <c r="E189" s="20" t="s">
        <v>29</v>
      </c>
      <c r="F189" s="20" t="s">
        <v>30</v>
      </c>
      <c r="G189" s="20" t="s">
        <v>31</v>
      </c>
      <c r="H189" s="20" t="s">
        <v>32</v>
      </c>
      <c r="I189" s="21" t="s">
        <v>33</v>
      </c>
    </row>
    <row r="190" spans="4:9" x14ac:dyDescent="0.25">
      <c r="D190" s="15" t="s">
        <v>20</v>
      </c>
      <c r="E190" s="2">
        <f>COUNTIF(M3:M133,"TW")/125</f>
        <v>0.42399999999999999</v>
      </c>
      <c r="F190" s="2">
        <v>0.25</v>
      </c>
      <c r="G190" s="2">
        <f>(F190*F190)</f>
        <v>6.25E-2</v>
      </c>
      <c r="H190" s="2">
        <f>E190*F190</f>
        <v>0.106</v>
      </c>
      <c r="I190" s="16">
        <f>E190*G190</f>
        <v>2.6499999999999999E-2</v>
      </c>
    </row>
    <row r="191" spans="4:9" x14ac:dyDescent="0.25">
      <c r="D191" s="15" t="s">
        <v>41</v>
      </c>
      <c r="E191" s="2">
        <f>COUNTIF(M3:M133,"Cycle Rikshaw")/125</f>
        <v>3.2000000000000001E-2</v>
      </c>
      <c r="F191" s="2">
        <v>2.1</v>
      </c>
      <c r="G191" s="2">
        <f>(F191*F191)</f>
        <v>4.41</v>
      </c>
      <c r="H191" s="2">
        <f t="shared" ref="H191:H196" si="32">E191*F191</f>
        <v>6.720000000000001E-2</v>
      </c>
      <c r="I191" s="16">
        <f t="shared" ref="I191:I196" si="33">E191*G191</f>
        <v>0.14112</v>
      </c>
    </row>
    <row r="192" spans="4:9" x14ac:dyDescent="0.25">
      <c r="D192" s="15" t="s">
        <v>24</v>
      </c>
      <c r="E192" s="2">
        <f>COUNTIF(M3:M133,"Cycle")/125</f>
        <v>4.8000000000000001E-2</v>
      </c>
      <c r="F192" s="2">
        <v>0.4</v>
      </c>
      <c r="G192" s="2">
        <f t="shared" ref="G192:G196" si="34">(F192*F192)</f>
        <v>0.16000000000000003</v>
      </c>
      <c r="H192" s="2">
        <f t="shared" si="32"/>
        <v>1.9200000000000002E-2</v>
      </c>
      <c r="I192" s="16">
        <f t="shared" si="33"/>
        <v>7.6800000000000019E-3</v>
      </c>
    </row>
    <row r="193" spans="4:9" x14ac:dyDescent="0.25">
      <c r="D193" s="15" t="s">
        <v>19</v>
      </c>
      <c r="E193" s="2">
        <f>COUNTIF(M3:M133,"Car")/125</f>
        <v>0.40799999999999997</v>
      </c>
      <c r="F193" s="2">
        <v>1</v>
      </c>
      <c r="G193" s="2">
        <f t="shared" si="34"/>
        <v>1</v>
      </c>
      <c r="H193" s="2">
        <f t="shared" si="32"/>
        <v>0.40799999999999997</v>
      </c>
      <c r="I193" s="16">
        <f t="shared" si="33"/>
        <v>0.40799999999999997</v>
      </c>
    </row>
    <row r="194" spans="4:9" x14ac:dyDescent="0.25">
      <c r="D194" s="15" t="s">
        <v>18</v>
      </c>
      <c r="E194" s="2">
        <f>COUNTIF(M3:M133,"Auto")/125</f>
        <v>6.4000000000000001E-2</v>
      </c>
      <c r="F194" s="2">
        <v>1.2</v>
      </c>
      <c r="G194" s="2">
        <f t="shared" si="34"/>
        <v>1.44</v>
      </c>
      <c r="H194" s="2">
        <f t="shared" si="32"/>
        <v>7.6799999999999993E-2</v>
      </c>
      <c r="I194" s="16">
        <f t="shared" si="33"/>
        <v>9.2159999999999992E-2</v>
      </c>
    </row>
    <row r="195" spans="4:9" x14ac:dyDescent="0.25">
      <c r="D195" s="15" t="s">
        <v>22</v>
      </c>
      <c r="E195" s="2">
        <f>COUNTIF(M3:M133,"Bus")/125</f>
        <v>8.0000000000000002E-3</v>
      </c>
      <c r="F195" s="2">
        <v>4.5</v>
      </c>
      <c r="G195" s="2">
        <f t="shared" si="34"/>
        <v>20.25</v>
      </c>
      <c r="H195" s="2">
        <f t="shared" si="32"/>
        <v>3.6000000000000004E-2</v>
      </c>
      <c r="I195" s="16">
        <f t="shared" si="33"/>
        <v>0.16200000000000001</v>
      </c>
    </row>
    <row r="196" spans="4:9" x14ac:dyDescent="0.25">
      <c r="D196" s="15" t="s">
        <v>21</v>
      </c>
      <c r="E196" s="2">
        <f>COUNTIF(M3:M133,"TAT")/125</f>
        <v>1.6E-2</v>
      </c>
      <c r="F196" s="2">
        <v>4.8</v>
      </c>
      <c r="G196" s="2">
        <f t="shared" si="34"/>
        <v>23.04</v>
      </c>
      <c r="H196" s="2">
        <f t="shared" si="32"/>
        <v>7.6799999999999993E-2</v>
      </c>
      <c r="I196" s="16">
        <f t="shared" si="33"/>
        <v>0.36863999999999997</v>
      </c>
    </row>
    <row r="197" spans="4:9" x14ac:dyDescent="0.25">
      <c r="D197" s="15"/>
      <c r="E197" s="2"/>
      <c r="F197" s="2"/>
      <c r="G197" s="11" t="s">
        <v>34</v>
      </c>
      <c r="H197" s="2">
        <f>SUM(H190:H196)</f>
        <v>0.79</v>
      </c>
      <c r="I197" s="16">
        <f>SUM(I190:I196)</f>
        <v>1.2060999999999999</v>
      </c>
    </row>
    <row r="198" spans="4:9" x14ac:dyDescent="0.25">
      <c r="D198" s="15"/>
      <c r="E198" s="2"/>
      <c r="F198" s="2"/>
      <c r="G198" s="11" t="s">
        <v>37</v>
      </c>
      <c r="H198" s="2">
        <f>H197*H197</f>
        <v>0.6241000000000001</v>
      </c>
      <c r="I198" s="16"/>
    </row>
    <row r="199" spans="4:9" ht="19.5" thickBot="1" x14ac:dyDescent="0.35">
      <c r="D199" s="56" t="s">
        <v>43</v>
      </c>
      <c r="E199" s="57"/>
      <c r="F199" s="57"/>
      <c r="G199" s="57"/>
      <c r="H199" s="18">
        <f>(((I197-H198)^(1/2))/H197)*100</f>
        <v>96.568258849421014</v>
      </c>
      <c r="I199" s="17"/>
    </row>
  </sheetData>
  <mergeCells count="4">
    <mergeCell ref="D199:G199"/>
    <mergeCell ref="D1:I1"/>
    <mergeCell ref="M1:S1"/>
    <mergeCell ref="D185:G185"/>
  </mergeCells>
  <conditionalFormatting sqref="A1:XFD1048576">
    <cfRule type="containsText" dxfId="85" priority="1" operator="containsText" text="TAT">
      <formula>NOT(ISERROR(SEARCH("TAT",A1)))</formula>
    </cfRule>
    <cfRule type="containsText" dxfId="84" priority="18" operator="containsText" text="Cycle Rikshaw">
      <formula>NOT(ISERROR(SEARCH("Cycle Rikshaw",A1)))</formula>
    </cfRule>
  </conditionalFormatting>
  <conditionalFormatting sqref="D1:D174 D186:D188 D200:D1048576">
    <cfRule type="containsText" dxfId="83" priority="33" operator="containsText" text="Bus">
      <formula>NOT(ISERROR(SEARCH("Bus",D1)))</formula>
    </cfRule>
    <cfRule type="containsText" dxfId="82" priority="34" operator="containsText" text="Cycle">
      <formula>NOT(ISERROR(SEARCH("Cycle",D1)))</formula>
    </cfRule>
    <cfRule type="containsText" dxfId="81" priority="35" operator="containsText" text="Auto">
      <formula>NOT(ISERROR(SEARCH("Auto",D1)))</formula>
    </cfRule>
    <cfRule type="containsText" dxfId="80" priority="36" operator="containsText" text="Car">
      <formula>NOT(ISERROR(SEARCH("Car",D1)))</formula>
    </cfRule>
    <cfRule type="containsText" dxfId="79" priority="37" operator="containsText" text="TW">
      <formula>NOT(ISERROR(SEARCH("TW",D1)))</formula>
    </cfRule>
  </conditionalFormatting>
  <conditionalFormatting sqref="D1:D174 D200:D1048576 D186:D188">
    <cfRule type="containsText" dxfId="78" priority="32" operator="containsText" text="LCV">
      <formula>NOT(ISERROR(SEARCH("LCV",D1)))</formula>
    </cfRule>
  </conditionalFormatting>
  <conditionalFormatting sqref="D1:D174 D200:D1048576">
    <cfRule type="containsText" dxfId="77" priority="31" operator="containsText" text="TAT">
      <formula>NOT(ISERROR(SEARCH("TAT",D1)))</formula>
    </cfRule>
  </conditionalFormatting>
  <conditionalFormatting sqref="D189:D199">
    <cfRule type="containsText" dxfId="76" priority="11" operator="containsText" text="TAT">
      <formula>NOT(ISERROR(SEARCH("TAT",D189)))</formula>
    </cfRule>
    <cfRule type="containsText" dxfId="75" priority="12" operator="containsText" text="LCV">
      <formula>NOT(ISERROR(SEARCH("LCV",D189)))</formula>
    </cfRule>
    <cfRule type="containsText" dxfId="74" priority="13" operator="containsText" text="Bus">
      <formula>NOT(ISERROR(SEARCH("Bus",D189)))</formula>
    </cfRule>
    <cfRule type="containsText" dxfId="73" priority="14" operator="containsText" text="Cycle">
      <formula>NOT(ISERROR(SEARCH("Cycle",D189)))</formula>
    </cfRule>
    <cfRule type="containsText" dxfId="72" priority="15" operator="containsText" text="Auto">
      <formula>NOT(ISERROR(SEARCH("Auto",D189)))</formula>
    </cfRule>
    <cfRule type="containsText" dxfId="71" priority="16" operator="containsText" text="Car">
      <formula>NOT(ISERROR(SEARCH("Car",D189)))</formula>
    </cfRule>
    <cfRule type="containsText" dxfId="70" priority="17" operator="containsText" text="TW">
      <formula>NOT(ISERROR(SEARCH("TW",D189)))</formula>
    </cfRule>
  </conditionalFormatting>
  <conditionalFormatting sqref="D199 H199:I199">
    <cfRule type="containsText" dxfId="69" priority="3" operator="containsText" text="TAT">
      <formula>NOT(ISERROR(SEARCH("TAT",D199)))</formula>
    </cfRule>
  </conditionalFormatting>
  <conditionalFormatting sqref="D175:I175 D176:H181">
    <cfRule type="containsText" dxfId="68" priority="23" operator="containsText" text="LCV">
      <formula>NOT(ISERROR(SEARCH("LCV",D175)))</formula>
    </cfRule>
    <cfRule type="containsText" dxfId="67" priority="24" operator="containsText" text="TAT">
      <formula>NOT(ISERROR(SEARCH("TAT",D175)))</formula>
    </cfRule>
    <cfRule type="containsText" dxfId="66" priority="25" operator="containsText" text="Bus">
      <formula>NOT(ISERROR(SEARCH("Bus",D175)))</formula>
    </cfRule>
    <cfRule type="containsText" dxfId="65" priority="26" operator="containsText" text="Cycle">
      <formula>NOT(ISERROR(SEARCH("Cycle",D175)))</formula>
    </cfRule>
    <cfRule type="containsText" dxfId="64" priority="27" operator="containsText" text="Auto">
      <formula>NOT(ISERROR(SEARCH("Auto",D175)))</formula>
    </cfRule>
    <cfRule type="containsText" dxfId="63" priority="28" operator="containsText" text="TW">
      <formula>NOT(ISERROR(SEARCH("TW",D175)))</formula>
    </cfRule>
    <cfRule type="containsText" dxfId="62" priority="29" operator="containsText" text="Car">
      <formula>NOT(ISERROR(SEARCH("Car",D175)))</formula>
    </cfRule>
  </conditionalFormatting>
  <conditionalFormatting sqref="D175:I184 H185:I185 D185:D188">
    <cfRule type="containsText" dxfId="61" priority="22" operator="containsText" text="TAT">
      <formula>NOT(ISERROR(SEARCH("TAT",D175)))</formula>
    </cfRule>
  </conditionalFormatting>
  <conditionalFormatting sqref="D189:I189 D190:H195">
    <cfRule type="containsText" dxfId="60" priority="4" operator="containsText" text="LCV">
      <formula>NOT(ISERROR(SEARCH("LCV",D189)))</formula>
    </cfRule>
    <cfRule type="containsText" dxfId="59" priority="5" operator="containsText" text="TAT">
      <formula>NOT(ISERROR(SEARCH("TAT",D189)))</formula>
    </cfRule>
    <cfRule type="containsText" dxfId="58" priority="6" operator="containsText" text="Bus">
      <formula>NOT(ISERROR(SEARCH("Bus",D189)))</formula>
    </cfRule>
    <cfRule type="containsText" dxfId="57" priority="7" operator="containsText" text="Cycle">
      <formula>NOT(ISERROR(SEARCH("Cycle",D189)))</formula>
    </cfRule>
    <cfRule type="containsText" dxfId="56" priority="8" operator="containsText" text="Auto">
      <formula>NOT(ISERROR(SEARCH("Auto",D189)))</formula>
    </cfRule>
    <cfRule type="containsText" dxfId="55" priority="9" operator="containsText" text="TW">
      <formula>NOT(ISERROR(SEARCH("TW",D189)))</formula>
    </cfRule>
    <cfRule type="containsText" dxfId="54" priority="10" operator="containsText" text="Car">
      <formula>NOT(ISERROR(SEARCH("Car",D189)))</formula>
    </cfRule>
  </conditionalFormatting>
  <conditionalFormatting sqref="D189:I198">
    <cfRule type="containsText" dxfId="53" priority="19" operator="containsText" text="TAT">
      <formula>NOT(ISERROR(SEARCH("TAT",D189)))</formula>
    </cfRule>
  </conditionalFormatting>
  <conditionalFormatting sqref="D189:I199">
    <cfRule type="containsText" dxfId="52" priority="2" operator="containsText" text="Cycle Rikshaw">
      <formula>NOT(ISERROR(SEARCH("Cycle Rikshaw",D189)))</formula>
    </cfRule>
  </conditionalFormatting>
  <conditionalFormatting sqref="L1:U127">
    <cfRule type="containsText" dxfId="51" priority="38" operator="containsText" text="TW">
      <formula>NOT(ISERROR(SEARCH("TW",L1)))</formula>
    </cfRule>
    <cfRule type="containsText" dxfId="50" priority="39" operator="containsText" text="Car">
      <formula>NOT(ISERROR(SEARCH("Car",L1)))</formula>
    </cfRule>
  </conditionalFormatting>
  <conditionalFormatting sqref="M1:M127">
    <cfRule type="containsText" dxfId="49" priority="41" operator="containsText" text="Bus">
      <formula>NOT(ISERROR(SEARCH("Bus",M1)))</formula>
    </cfRule>
    <cfRule type="containsText" dxfId="48" priority="42" operator="containsText" text="LCV">
      <formula>NOT(ISERROR(SEARCH("LCV",M1)))</formula>
    </cfRule>
    <cfRule type="containsText" dxfId="47" priority="43" operator="containsText" text="Cycle">
      <formula>NOT(ISERROR(SEARCH("Cycle",M1)))</formula>
    </cfRule>
    <cfRule type="containsText" dxfId="46" priority="44" operator="containsText" text="Auto">
      <formula>NOT(ISERROR(SEARCH("Auto",M1)))</formula>
    </cfRule>
    <cfRule type="containsText" dxfId="45" priority="45" operator="containsText" text="TW">
      <formula>NOT(ISERROR(SEARCH("TW",M1)))</formula>
    </cfRule>
    <cfRule type="containsText" dxfId="44" priority="46" operator="containsText" text="Car">
      <formula>NOT(ISERROR(SEARCH("Car",M1)))</formula>
    </cfRule>
  </conditionalFormatting>
  <conditionalFormatting sqref="Q29">
    <cfRule type="containsText" dxfId="43" priority="40" operator="containsText" text="Car">
      <formula>NOT(ISERROR(SEARCH("Car",Q29)))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FAA6-6CFE-4865-B488-35BCABC78F83}">
  <dimension ref="A1:V204"/>
  <sheetViews>
    <sheetView topLeftCell="K98" workbookViewId="0">
      <selection activeCell="R102" sqref="R102"/>
    </sheetView>
  </sheetViews>
  <sheetFormatPr defaultRowHeight="15" x14ac:dyDescent="0.25"/>
  <cols>
    <col min="2" max="2" width="15.140625" customWidth="1"/>
    <col min="3" max="3" width="17.28515625" customWidth="1"/>
    <col min="4" max="4" width="16.5703125" customWidth="1"/>
    <col min="5" max="5" width="17.5703125" customWidth="1"/>
    <col min="6" max="6" width="14.7109375" customWidth="1"/>
    <col min="7" max="8" width="21.7109375" customWidth="1"/>
    <col min="9" max="9" width="21.85546875" bestFit="1" customWidth="1"/>
    <col min="12" max="12" width="14.28515625" customWidth="1"/>
    <col min="13" max="13" width="16.140625" customWidth="1"/>
    <col min="14" max="14" width="14.28515625" customWidth="1"/>
    <col min="15" max="15" width="17.7109375" customWidth="1"/>
    <col min="16" max="16" width="15.5703125" customWidth="1"/>
    <col min="17" max="18" width="21.85546875" customWidth="1"/>
    <col min="19" max="19" width="25" bestFit="1" customWidth="1"/>
    <col min="20" max="20" width="23" bestFit="1" customWidth="1"/>
  </cols>
  <sheetData>
    <row r="1" spans="1:22" ht="15.75" x14ac:dyDescent="0.3">
      <c r="C1" s="5"/>
      <c r="D1" s="54" t="s">
        <v>6</v>
      </c>
      <c r="E1" s="55"/>
      <c r="F1" s="55"/>
      <c r="G1" s="55"/>
      <c r="H1" s="55"/>
      <c r="I1" s="55"/>
      <c r="J1" s="5"/>
      <c r="L1" s="5"/>
      <c r="M1" s="54" t="s">
        <v>7</v>
      </c>
      <c r="N1" s="55"/>
      <c r="O1" s="55"/>
      <c r="P1" s="55"/>
      <c r="Q1" s="55"/>
      <c r="R1" s="55"/>
      <c r="S1" s="55"/>
      <c r="T1" s="5"/>
      <c r="U1" s="5"/>
    </row>
    <row r="2" spans="1:22" ht="31.5" x14ac:dyDescent="0.25">
      <c r="A2" t="s">
        <v>11</v>
      </c>
      <c r="C2" s="6" t="s">
        <v>0</v>
      </c>
      <c r="D2" s="6" t="s">
        <v>1</v>
      </c>
      <c r="E2" s="6" t="s">
        <v>42</v>
      </c>
      <c r="F2" s="6" t="s">
        <v>3</v>
      </c>
      <c r="G2" s="6" t="s">
        <v>4</v>
      </c>
      <c r="H2" s="6" t="s">
        <v>5</v>
      </c>
      <c r="I2" s="6" t="s">
        <v>12</v>
      </c>
      <c r="J2" s="6" t="s">
        <v>17</v>
      </c>
      <c r="K2" s="1"/>
      <c r="L2" s="6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15</v>
      </c>
      <c r="R2" s="6" t="s">
        <v>12</v>
      </c>
      <c r="S2" s="6" t="s">
        <v>16</v>
      </c>
      <c r="T2" s="6" t="s">
        <v>13</v>
      </c>
      <c r="U2" s="6" t="s">
        <v>17</v>
      </c>
    </row>
    <row r="3" spans="1:22" x14ac:dyDescent="0.25">
      <c r="A3">
        <v>45</v>
      </c>
      <c r="C3" s="5">
        <v>1</v>
      </c>
      <c r="D3" s="5" t="s">
        <v>24</v>
      </c>
      <c r="E3" s="2">
        <v>1501.96</v>
      </c>
      <c r="F3" s="2">
        <v>1514.7700000000002</v>
      </c>
      <c r="G3" s="5">
        <f>$A$3/(F3-E3)*3.6</f>
        <v>12.646370023419035</v>
      </c>
      <c r="H3" s="5">
        <v>0.48</v>
      </c>
      <c r="I3" s="5">
        <f t="shared" ref="I3:I34" si="0">IF(D3="Car",H3+1.44,IF(D3="Bus",H3+2.43,IF(D3="Auto",H3+1.4,IF(D3="TAT", H3+2.1, IF(D3="TAT", H3+2.35,H3)))))</f>
        <v>0.48</v>
      </c>
      <c r="J3" s="5">
        <f>(H3+I3)/2</f>
        <v>0.48</v>
      </c>
      <c r="K3">
        <f>(J3-3.81)^2</f>
        <v>11.088900000000001</v>
      </c>
      <c r="L3" s="5">
        <v>1</v>
      </c>
      <c r="M3" s="5" t="s">
        <v>19</v>
      </c>
      <c r="N3" s="5">
        <v>1500.44</v>
      </c>
      <c r="O3" s="5">
        <v>1503.76</v>
      </c>
      <c r="P3" s="5">
        <f>$A$3/(O3-N3)*3.6</f>
        <v>48.795180722892503</v>
      </c>
      <c r="Q3" s="5">
        <f t="shared" ref="Q3:Q9" si="1">IF(M3="Car", R3 + 1.44, IF(M3="Bus", R3+2.43,IF(M3="Auto", R3+1.4,IF(M3="TAT",R3+2.1,IF(M3="TAT", R3 + 2.35, R3)))))</f>
        <v>7.27</v>
      </c>
      <c r="R3" s="5">
        <v>5.83</v>
      </c>
      <c r="S3" s="5">
        <f>$A$5-Q3</f>
        <v>1.7300000000000004</v>
      </c>
      <c r="T3" s="5">
        <f>$A$5-R3</f>
        <v>3.17</v>
      </c>
      <c r="U3" s="5">
        <f>(S3+T3)/2</f>
        <v>2.4500000000000002</v>
      </c>
      <c r="V3">
        <f>(U3-1.4)^2</f>
        <v>1.1025000000000005</v>
      </c>
    </row>
    <row r="4" spans="1:22" x14ac:dyDescent="0.25">
      <c r="A4" t="s">
        <v>14</v>
      </c>
      <c r="C4" s="5">
        <v>2</v>
      </c>
      <c r="D4" s="5" t="s">
        <v>20</v>
      </c>
      <c r="E4" s="2">
        <v>1503.76</v>
      </c>
      <c r="F4" s="2">
        <v>1507.48</v>
      </c>
      <c r="G4" s="5">
        <f t="shared" ref="G4:G67" si="2">$A$3/(F4-E4)*3.6</f>
        <v>43.54838709677388</v>
      </c>
      <c r="H4" s="5">
        <v>2.0499999999999998</v>
      </c>
      <c r="I4" s="5">
        <f t="shared" si="0"/>
        <v>2.0499999999999998</v>
      </c>
      <c r="J4" s="5">
        <f t="shared" ref="J4:J67" si="3">(H4+I4)/2</f>
        <v>2.0499999999999998</v>
      </c>
      <c r="K4">
        <f t="shared" ref="K4:K67" si="4">(J4-3.81)^2</f>
        <v>3.0976000000000008</v>
      </c>
      <c r="L4" s="5">
        <v>2</v>
      </c>
      <c r="M4" s="5" t="s">
        <v>19</v>
      </c>
      <c r="N4" s="5">
        <v>1503.8</v>
      </c>
      <c r="O4" s="5">
        <v>1507.52</v>
      </c>
      <c r="P4" s="5">
        <f t="shared" ref="P4:P67" si="5">$A$3/(O4-N4)*3.6</f>
        <v>43.54838709677388</v>
      </c>
      <c r="Q4" s="5">
        <f t="shared" si="1"/>
        <v>7.4700000000000006</v>
      </c>
      <c r="R4" s="5">
        <v>6.03</v>
      </c>
      <c r="S4" s="5">
        <f t="shared" ref="S4:T19" si="6">$A$5-Q4</f>
        <v>1.5299999999999994</v>
      </c>
      <c r="T4" s="5">
        <f t="shared" si="6"/>
        <v>2.9699999999999998</v>
      </c>
      <c r="U4" s="5">
        <f t="shared" ref="U4:U67" si="7">(S4+T4)/2</f>
        <v>2.2499999999999996</v>
      </c>
      <c r="V4">
        <f t="shared" ref="V4:V67" si="8">(U4-1.4)^2</f>
        <v>0.72249999999999936</v>
      </c>
    </row>
    <row r="5" spans="1:22" x14ac:dyDescent="0.25">
      <c r="A5">
        <v>9</v>
      </c>
      <c r="C5" s="5">
        <v>3</v>
      </c>
      <c r="D5" s="5" t="s">
        <v>19</v>
      </c>
      <c r="E5" s="2">
        <v>1503.88</v>
      </c>
      <c r="F5" s="2">
        <v>1508.26</v>
      </c>
      <c r="G5" s="5">
        <f t="shared" si="2"/>
        <v>36.986301369864016</v>
      </c>
      <c r="H5" s="5">
        <v>3.57</v>
      </c>
      <c r="I5" s="5">
        <f t="shared" si="0"/>
        <v>5.01</v>
      </c>
      <c r="J5" s="7">
        <f t="shared" si="3"/>
        <v>4.29</v>
      </c>
      <c r="K5">
        <f t="shared" si="4"/>
        <v>0.23039999999999999</v>
      </c>
      <c r="L5" s="5">
        <v>3</v>
      </c>
      <c r="M5" s="5" t="s">
        <v>20</v>
      </c>
      <c r="N5" s="5">
        <v>1504.2</v>
      </c>
      <c r="O5" s="5">
        <v>1508.48</v>
      </c>
      <c r="P5" s="5">
        <f t="shared" si="5"/>
        <v>37.850467289719866</v>
      </c>
      <c r="Q5" s="5">
        <f t="shared" si="1"/>
        <v>7.84</v>
      </c>
      <c r="R5" s="5">
        <v>7.84</v>
      </c>
      <c r="S5" s="5">
        <f t="shared" si="6"/>
        <v>1.1600000000000001</v>
      </c>
      <c r="T5" s="5">
        <f t="shared" si="6"/>
        <v>1.1600000000000001</v>
      </c>
      <c r="U5" s="5">
        <f t="shared" si="7"/>
        <v>1.1600000000000001</v>
      </c>
      <c r="V5">
        <f t="shared" si="8"/>
        <v>5.7599999999999887E-2</v>
      </c>
    </row>
    <row r="6" spans="1:22" x14ac:dyDescent="0.25">
      <c r="C6" s="5">
        <v>4</v>
      </c>
      <c r="D6" s="5" t="s">
        <v>20</v>
      </c>
      <c r="E6" s="2">
        <v>1504.52</v>
      </c>
      <c r="F6" s="2">
        <v>1507.84</v>
      </c>
      <c r="G6" s="5">
        <f t="shared" si="2"/>
        <v>48.795180722892503</v>
      </c>
      <c r="H6" s="5">
        <v>3.72</v>
      </c>
      <c r="I6" s="5">
        <f t="shared" si="0"/>
        <v>3.72</v>
      </c>
      <c r="J6" s="5">
        <f t="shared" si="3"/>
        <v>3.72</v>
      </c>
      <c r="K6">
        <f t="shared" si="4"/>
        <v>8.0999999999999753E-3</v>
      </c>
      <c r="L6" s="5">
        <v>4</v>
      </c>
      <c r="M6" s="5" t="s">
        <v>19</v>
      </c>
      <c r="N6" s="5">
        <v>1507.8</v>
      </c>
      <c r="O6" s="5">
        <v>1511.72</v>
      </c>
      <c r="P6" s="5">
        <f t="shared" si="5"/>
        <v>41.326530612244127</v>
      </c>
      <c r="Q6" s="5">
        <f t="shared" si="1"/>
        <v>8.7200000000000006</v>
      </c>
      <c r="R6" s="5">
        <v>7.28</v>
      </c>
      <c r="S6" s="5">
        <f t="shared" si="6"/>
        <v>0.27999999999999936</v>
      </c>
      <c r="T6" s="5">
        <f t="shared" si="6"/>
        <v>1.7199999999999998</v>
      </c>
      <c r="U6" s="5">
        <f t="shared" si="7"/>
        <v>0.99999999999999956</v>
      </c>
      <c r="V6">
        <f t="shared" si="8"/>
        <v>0.16000000000000028</v>
      </c>
    </row>
    <row r="7" spans="1:22" x14ac:dyDescent="0.25">
      <c r="C7" s="5">
        <v>5</v>
      </c>
      <c r="D7" s="5" t="s">
        <v>20</v>
      </c>
      <c r="E7" s="2">
        <v>1509.68</v>
      </c>
      <c r="F7" s="2">
        <v>1512.95</v>
      </c>
      <c r="G7" s="5">
        <f t="shared" si="2"/>
        <v>49.541284403669998</v>
      </c>
      <c r="H7" s="5">
        <v>3.5</v>
      </c>
      <c r="I7" s="5">
        <f t="shared" si="0"/>
        <v>3.5</v>
      </c>
      <c r="J7" s="5">
        <f t="shared" si="3"/>
        <v>3.5</v>
      </c>
      <c r="K7">
        <f t="shared" si="4"/>
        <v>9.6100000000000033E-2</v>
      </c>
      <c r="L7" s="5">
        <v>5</v>
      </c>
      <c r="M7" s="5" t="s">
        <v>20</v>
      </c>
      <c r="N7" s="5">
        <v>1509.36</v>
      </c>
      <c r="O7" s="5">
        <v>1514.16</v>
      </c>
      <c r="P7" s="5">
        <f t="shared" si="5"/>
        <v>33.749999999998721</v>
      </c>
      <c r="Q7" s="5">
        <f t="shared" si="1"/>
        <v>8.06</v>
      </c>
      <c r="R7" s="5">
        <v>8.06</v>
      </c>
      <c r="S7" s="5">
        <f t="shared" si="6"/>
        <v>0.9399999999999995</v>
      </c>
      <c r="T7" s="5">
        <f t="shared" si="6"/>
        <v>0.9399999999999995</v>
      </c>
      <c r="U7" s="5">
        <f t="shared" si="7"/>
        <v>0.9399999999999995</v>
      </c>
      <c r="V7">
        <f t="shared" si="8"/>
        <v>0.21160000000000037</v>
      </c>
    </row>
    <row r="8" spans="1:22" x14ac:dyDescent="0.25">
      <c r="C8" s="5">
        <v>6</v>
      </c>
      <c r="D8" s="5" t="s">
        <v>20</v>
      </c>
      <c r="E8" s="2">
        <v>1514.08</v>
      </c>
      <c r="F8" s="2">
        <v>1517.0800000000002</v>
      </c>
      <c r="G8" s="5">
        <f t="shared" si="2"/>
        <v>53.999999999995907</v>
      </c>
      <c r="H8" s="5">
        <v>3.37</v>
      </c>
      <c r="I8" s="5">
        <f t="shared" si="0"/>
        <v>3.37</v>
      </c>
      <c r="J8" s="5">
        <f t="shared" si="3"/>
        <v>3.37</v>
      </c>
      <c r="K8">
        <f t="shared" si="4"/>
        <v>0.19359999999999997</v>
      </c>
      <c r="L8" s="5">
        <v>6</v>
      </c>
      <c r="M8" s="5" t="s">
        <v>20</v>
      </c>
      <c r="N8" s="5">
        <v>1515.48</v>
      </c>
      <c r="O8" s="5">
        <v>1520.48</v>
      </c>
      <c r="P8" s="5">
        <f t="shared" si="5"/>
        <v>32.4</v>
      </c>
      <c r="Q8" s="5">
        <f t="shared" si="1"/>
        <v>7.51</v>
      </c>
      <c r="R8" s="5">
        <v>7.51</v>
      </c>
      <c r="S8" s="5">
        <f t="shared" si="6"/>
        <v>1.4900000000000002</v>
      </c>
      <c r="T8" s="5">
        <f t="shared" si="6"/>
        <v>1.4900000000000002</v>
      </c>
      <c r="U8" s="5">
        <f t="shared" si="7"/>
        <v>1.4900000000000002</v>
      </c>
      <c r="V8">
        <f t="shared" si="8"/>
        <v>8.1000000000000551E-3</v>
      </c>
    </row>
    <row r="9" spans="1:22" x14ac:dyDescent="0.25">
      <c r="C9" s="5">
        <v>7</v>
      </c>
      <c r="D9" s="5" t="s">
        <v>24</v>
      </c>
      <c r="E9" s="2">
        <v>1518.28</v>
      </c>
      <c r="F9" s="2">
        <v>1525.28</v>
      </c>
      <c r="G9" s="5">
        <f t="shared" si="2"/>
        <v>23.142857142857146</v>
      </c>
      <c r="H9" s="5">
        <v>0.7</v>
      </c>
      <c r="I9" s="5">
        <f t="shared" si="0"/>
        <v>0.7</v>
      </c>
      <c r="J9" s="7">
        <f t="shared" si="3"/>
        <v>0.7</v>
      </c>
      <c r="K9">
        <f t="shared" si="4"/>
        <v>9.6721000000000021</v>
      </c>
      <c r="L9" s="5">
        <v>7</v>
      </c>
      <c r="M9" s="5" t="s">
        <v>20</v>
      </c>
      <c r="N9" s="5">
        <v>1522.96</v>
      </c>
      <c r="O9" s="5">
        <v>1527.6</v>
      </c>
      <c r="P9" s="5">
        <f t="shared" si="5"/>
        <v>34.91379310344923</v>
      </c>
      <c r="Q9" s="5">
        <f t="shared" si="1"/>
        <v>8.06</v>
      </c>
      <c r="R9" s="5">
        <v>8.06</v>
      </c>
      <c r="S9" s="5">
        <f t="shared" si="6"/>
        <v>0.9399999999999995</v>
      </c>
      <c r="T9" s="5">
        <f t="shared" si="6"/>
        <v>0.9399999999999995</v>
      </c>
      <c r="U9" s="5">
        <f t="shared" si="7"/>
        <v>0.9399999999999995</v>
      </c>
      <c r="V9">
        <f t="shared" si="8"/>
        <v>0.21160000000000037</v>
      </c>
    </row>
    <row r="10" spans="1:22" x14ac:dyDescent="0.25">
      <c r="C10" s="5">
        <v>8</v>
      </c>
      <c r="D10" s="5" t="s">
        <v>19</v>
      </c>
      <c r="E10" s="2">
        <v>1518.52</v>
      </c>
      <c r="F10" s="2">
        <v>1522.1</v>
      </c>
      <c r="G10" s="5">
        <f t="shared" si="2"/>
        <v>45.251396648045613</v>
      </c>
      <c r="H10" s="5">
        <v>3.57</v>
      </c>
      <c r="I10" s="5">
        <f t="shared" si="0"/>
        <v>5.01</v>
      </c>
      <c r="J10" s="5">
        <f t="shared" si="3"/>
        <v>4.29</v>
      </c>
      <c r="K10">
        <f t="shared" si="4"/>
        <v>0.23039999999999999</v>
      </c>
      <c r="L10" s="5">
        <v>8</v>
      </c>
      <c r="M10" s="5" t="s">
        <v>18</v>
      </c>
      <c r="N10" s="5">
        <v>1538.36</v>
      </c>
      <c r="O10" s="5">
        <v>1541.96</v>
      </c>
      <c r="P10" s="5">
        <f t="shared" si="5"/>
        <v>44.999999999998295</v>
      </c>
      <c r="Q10" s="5">
        <v>8.2799999999999994</v>
      </c>
      <c r="R10" s="5">
        <v>7.3</v>
      </c>
      <c r="S10" s="5">
        <f t="shared" si="6"/>
        <v>0.72000000000000064</v>
      </c>
      <c r="T10" s="5">
        <f t="shared" si="6"/>
        <v>1.7000000000000002</v>
      </c>
      <c r="U10" s="5">
        <f t="shared" si="7"/>
        <v>1.2100000000000004</v>
      </c>
      <c r="V10">
        <f t="shared" si="8"/>
        <v>3.6099999999999813E-2</v>
      </c>
    </row>
    <row r="11" spans="1:22" x14ac:dyDescent="0.25">
      <c r="C11" s="5">
        <v>9</v>
      </c>
      <c r="D11" s="5" t="s">
        <v>19</v>
      </c>
      <c r="E11" s="2">
        <v>1520.72</v>
      </c>
      <c r="F11" s="2">
        <v>1524.28</v>
      </c>
      <c r="G11" s="5">
        <f t="shared" si="2"/>
        <v>45.505617977528793</v>
      </c>
      <c r="H11" s="5">
        <v>3.48</v>
      </c>
      <c r="I11" s="5">
        <f t="shared" si="0"/>
        <v>4.92</v>
      </c>
      <c r="J11" s="5">
        <f t="shared" si="3"/>
        <v>4.2</v>
      </c>
      <c r="K11">
        <f t="shared" si="4"/>
        <v>0.1521000000000001</v>
      </c>
      <c r="L11" s="5">
        <v>9</v>
      </c>
      <c r="M11" s="5" t="s">
        <v>20</v>
      </c>
      <c r="N11" s="5">
        <v>1538.68</v>
      </c>
      <c r="O11" s="5">
        <v>1543.4</v>
      </c>
      <c r="P11" s="5">
        <f t="shared" si="5"/>
        <v>34.322033898304888</v>
      </c>
      <c r="Q11" s="5">
        <f>IF(M11="Car", R11 + 1.44, IF(M11="Bus", R11+2.43,IF(M11="Auto", R11+1.4,IF(M11="TAT",R11+2.1,IF(M11="TAT", R11 + 2.35, R11)))))</f>
        <v>8.6999999999999993</v>
      </c>
      <c r="R11" s="5">
        <v>8.6999999999999993</v>
      </c>
      <c r="S11" s="5">
        <f t="shared" si="6"/>
        <v>0.30000000000000071</v>
      </c>
      <c r="T11" s="5">
        <f t="shared" si="6"/>
        <v>0.30000000000000071</v>
      </c>
      <c r="U11" s="5">
        <f t="shared" si="7"/>
        <v>0.30000000000000071</v>
      </c>
      <c r="V11">
        <f t="shared" si="8"/>
        <v>1.2099999999999982</v>
      </c>
    </row>
    <row r="12" spans="1:22" x14ac:dyDescent="0.25">
      <c r="C12" s="5">
        <v>10</v>
      </c>
      <c r="D12" s="5" t="s">
        <v>20</v>
      </c>
      <c r="E12" s="2">
        <v>1521.18</v>
      </c>
      <c r="F12" s="2">
        <v>1524.79</v>
      </c>
      <c r="G12" s="5">
        <f t="shared" si="2"/>
        <v>44.875346260389058</v>
      </c>
      <c r="H12" s="5">
        <v>6.04</v>
      </c>
      <c r="I12" s="5">
        <f t="shared" si="0"/>
        <v>6.04</v>
      </c>
      <c r="J12" s="5">
        <f t="shared" si="3"/>
        <v>6.04</v>
      </c>
      <c r="K12">
        <f t="shared" si="4"/>
        <v>4.9729000000000001</v>
      </c>
      <c r="L12" s="5">
        <v>10</v>
      </c>
      <c r="M12" s="5" t="s">
        <v>20</v>
      </c>
      <c r="N12" s="5">
        <v>1542.2</v>
      </c>
      <c r="O12" s="5">
        <v>1547.48</v>
      </c>
      <c r="P12" s="5">
        <f t="shared" si="5"/>
        <v>30.68181818181834</v>
      </c>
      <c r="Q12" s="5">
        <f>IF(M12="Car", R12 + 1.44, IF(M12="Bus", R12+2.43,IF(M12="Auto", R12+1.4,IF(M12="TAT",R12+2.1,IF(M12="TAT", R12 + 2.35, R12)))))</f>
        <v>8.66</v>
      </c>
      <c r="R12" s="5">
        <v>8.66</v>
      </c>
      <c r="S12" s="5">
        <f>$A$5-Q12</f>
        <v>0.33999999999999986</v>
      </c>
      <c r="T12" s="5">
        <f t="shared" si="6"/>
        <v>0.33999999999999986</v>
      </c>
      <c r="U12" s="5">
        <f t="shared" si="7"/>
        <v>0.33999999999999986</v>
      </c>
      <c r="V12">
        <f t="shared" si="8"/>
        <v>1.1236000000000002</v>
      </c>
    </row>
    <row r="13" spans="1:22" x14ac:dyDescent="0.25">
      <c r="C13" s="5">
        <v>11</v>
      </c>
      <c r="D13" s="5" t="s">
        <v>19</v>
      </c>
      <c r="E13" s="2">
        <v>1522.04</v>
      </c>
      <c r="F13" s="2">
        <v>1525.81</v>
      </c>
      <c r="G13" s="5">
        <f t="shared" si="2"/>
        <v>42.970822281167322</v>
      </c>
      <c r="H13" s="5">
        <v>3.84</v>
      </c>
      <c r="I13" s="5">
        <f t="shared" si="0"/>
        <v>5.2799999999999994</v>
      </c>
      <c r="J13" s="5">
        <f t="shared" si="3"/>
        <v>4.5599999999999996</v>
      </c>
      <c r="K13">
        <f t="shared" si="4"/>
        <v>0.56249999999999933</v>
      </c>
      <c r="L13" s="5">
        <v>11</v>
      </c>
      <c r="M13" s="5" t="s">
        <v>19</v>
      </c>
      <c r="N13" s="5">
        <v>1545.84</v>
      </c>
      <c r="O13" s="5">
        <v>1550.08</v>
      </c>
      <c r="P13" s="5">
        <f t="shared" si="5"/>
        <v>38.207547169811235</v>
      </c>
      <c r="Q13" s="5">
        <f>IF(M13="Car", R13 + 1.44, IF(M13="Bus", R13+2.43,IF(M13="Auto", R13+1.4,IF(M13="TAT",R13+2.1,IF(M13="TAT", R13 + 2.35, R13)))))</f>
        <v>8.44</v>
      </c>
      <c r="R13" s="5">
        <v>7</v>
      </c>
      <c r="S13" s="5">
        <f t="shared" si="6"/>
        <v>0.5600000000000005</v>
      </c>
      <c r="T13" s="5">
        <f t="shared" si="6"/>
        <v>2</v>
      </c>
      <c r="U13" s="5">
        <f t="shared" si="7"/>
        <v>1.2800000000000002</v>
      </c>
      <c r="V13">
        <f t="shared" si="8"/>
        <v>1.439999999999992E-2</v>
      </c>
    </row>
    <row r="14" spans="1:22" x14ac:dyDescent="0.25">
      <c r="C14" s="5">
        <v>12</v>
      </c>
      <c r="D14" s="5" t="s">
        <v>19</v>
      </c>
      <c r="E14" s="2">
        <v>1523.8400000000001</v>
      </c>
      <c r="F14" s="2">
        <v>1527.54</v>
      </c>
      <c r="G14" s="5">
        <f t="shared" si="2"/>
        <v>43.783783783785935</v>
      </c>
      <c r="H14" s="5">
        <v>3.75</v>
      </c>
      <c r="I14" s="5">
        <f t="shared" si="0"/>
        <v>5.1899999999999995</v>
      </c>
      <c r="J14" s="5">
        <f t="shared" si="3"/>
        <v>4.47</v>
      </c>
      <c r="K14">
        <f t="shared" si="4"/>
        <v>0.4355999999999996</v>
      </c>
      <c r="L14" s="5">
        <v>12</v>
      </c>
      <c r="M14" s="5" t="s">
        <v>20</v>
      </c>
      <c r="N14" s="5">
        <v>1550.72</v>
      </c>
      <c r="O14" s="5">
        <v>1560.16</v>
      </c>
      <c r="P14" s="5">
        <f t="shared" si="5"/>
        <v>17.161016949152444</v>
      </c>
      <c r="Q14" s="5">
        <f>IF(M14="Car", R14 + 1.44, IF(M14="Bus", R14+2.43,IF(M14="Auto", R14+1.4,IF(M14="TAT",R14+2.1,IF(M14="TAT", R14 + 2.35, R14)))))</f>
        <v>8.9700000000000006</v>
      </c>
      <c r="R14" s="5">
        <v>8.9700000000000006</v>
      </c>
      <c r="S14" s="5">
        <f t="shared" si="6"/>
        <v>2.9999999999999361E-2</v>
      </c>
      <c r="T14" s="5">
        <f t="shared" si="6"/>
        <v>2.9999999999999361E-2</v>
      </c>
      <c r="U14" s="5">
        <f t="shared" si="7"/>
        <v>2.9999999999999361E-2</v>
      </c>
      <c r="V14">
        <f t="shared" si="8"/>
        <v>1.8769000000000016</v>
      </c>
    </row>
    <row r="15" spans="1:22" x14ac:dyDescent="0.25">
      <c r="C15" s="5">
        <v>13</v>
      </c>
      <c r="D15" s="5" t="s">
        <v>20</v>
      </c>
      <c r="E15" s="2">
        <v>1525.56</v>
      </c>
      <c r="F15" s="2">
        <v>1529.04</v>
      </c>
      <c r="G15" s="5">
        <f t="shared" si="2"/>
        <v>46.55172413793079</v>
      </c>
      <c r="H15" s="5">
        <v>3.44</v>
      </c>
      <c r="I15" s="5">
        <f t="shared" si="0"/>
        <v>3.44</v>
      </c>
      <c r="J15" s="5">
        <f t="shared" si="3"/>
        <v>3.44</v>
      </c>
      <c r="K15">
        <f t="shared" si="4"/>
        <v>0.13690000000000008</v>
      </c>
      <c r="L15" s="5">
        <v>13</v>
      </c>
      <c r="M15" s="7" t="s">
        <v>20</v>
      </c>
      <c r="N15" s="5">
        <v>1554.8</v>
      </c>
      <c r="O15" s="5">
        <v>1559.76</v>
      </c>
      <c r="P15" s="5">
        <f t="shared" si="5"/>
        <v>32.661290322580406</v>
      </c>
      <c r="Q15" s="5">
        <f>IF(M15="Car", R15 + 1.44, IF(M15="Bus", R15+2.43,IF(M15="Auto", R15+1.4,IF(M15="TAT",R15+2.1,IF(M15="TAT", R15 + 2.35, R15)))))</f>
        <v>8.9499999999999993</v>
      </c>
      <c r="R15" s="5">
        <v>8.9499999999999993</v>
      </c>
      <c r="S15" s="5">
        <f t="shared" si="6"/>
        <v>5.0000000000000711E-2</v>
      </c>
      <c r="T15" s="5">
        <f t="shared" si="6"/>
        <v>5.0000000000000711E-2</v>
      </c>
      <c r="U15" s="5">
        <f t="shared" si="7"/>
        <v>5.0000000000000711E-2</v>
      </c>
      <c r="V15">
        <f t="shared" si="8"/>
        <v>1.8224999999999978</v>
      </c>
    </row>
    <row r="16" spans="1:22" x14ac:dyDescent="0.25">
      <c r="C16" s="5">
        <v>14</v>
      </c>
      <c r="D16" s="5" t="s">
        <v>19</v>
      </c>
      <c r="E16" s="2">
        <v>1526.76</v>
      </c>
      <c r="F16" s="2">
        <v>1530.8999999999999</v>
      </c>
      <c r="G16" s="5">
        <f t="shared" si="2"/>
        <v>39.130434782609903</v>
      </c>
      <c r="H16" s="5">
        <v>3.08</v>
      </c>
      <c r="I16" s="5">
        <f t="shared" si="0"/>
        <v>4.5199999999999996</v>
      </c>
      <c r="J16" s="5">
        <f t="shared" si="3"/>
        <v>3.8</v>
      </c>
      <c r="K16">
        <f t="shared" si="4"/>
        <v>1.0000000000000461E-4</v>
      </c>
      <c r="L16" s="5">
        <v>14</v>
      </c>
      <c r="M16" s="5" t="s">
        <v>19</v>
      </c>
      <c r="N16" s="5">
        <v>1557.4</v>
      </c>
      <c r="O16" s="5">
        <v>1561.08</v>
      </c>
      <c r="P16" s="5">
        <f t="shared" si="5"/>
        <v>44.021739130436742</v>
      </c>
      <c r="Q16" s="5">
        <v>8.57</v>
      </c>
      <c r="R16" s="5">
        <v>7.4</v>
      </c>
      <c r="S16" s="5">
        <f t="shared" si="6"/>
        <v>0.42999999999999972</v>
      </c>
      <c r="T16" s="5">
        <f t="shared" si="6"/>
        <v>1.5999999999999996</v>
      </c>
      <c r="U16" s="5">
        <f t="shared" si="7"/>
        <v>1.0149999999999997</v>
      </c>
      <c r="V16">
        <f t="shared" si="8"/>
        <v>0.14822500000000019</v>
      </c>
    </row>
    <row r="17" spans="3:22" x14ac:dyDescent="0.25">
      <c r="C17" s="5">
        <v>15</v>
      </c>
      <c r="D17" s="5" t="s">
        <v>20</v>
      </c>
      <c r="E17" s="2">
        <v>1529.2</v>
      </c>
      <c r="F17" s="2">
        <v>1533.21</v>
      </c>
      <c r="G17" s="5">
        <f t="shared" si="2"/>
        <v>40.399002493765678</v>
      </c>
      <c r="H17" s="5">
        <v>2.3199999999999998</v>
      </c>
      <c r="I17" s="5">
        <f t="shared" si="0"/>
        <v>2.3199999999999998</v>
      </c>
      <c r="J17" s="5">
        <f t="shared" si="3"/>
        <v>2.3199999999999998</v>
      </c>
      <c r="K17">
        <f t="shared" si="4"/>
        <v>2.2201000000000009</v>
      </c>
      <c r="L17" s="5">
        <v>15</v>
      </c>
      <c r="M17" s="5" t="s">
        <v>19</v>
      </c>
      <c r="N17" s="5">
        <v>1558.92</v>
      </c>
      <c r="O17" s="5">
        <v>1562.16</v>
      </c>
      <c r="P17" s="5">
        <f t="shared" si="5"/>
        <v>49.999999999999865</v>
      </c>
      <c r="Q17" s="5">
        <v>7.99</v>
      </c>
      <c r="R17" s="5">
        <v>7.08</v>
      </c>
      <c r="S17" s="5">
        <f t="shared" si="6"/>
        <v>1.0099999999999998</v>
      </c>
      <c r="T17" s="5">
        <f t="shared" si="6"/>
        <v>1.92</v>
      </c>
      <c r="U17" s="5">
        <f t="shared" si="7"/>
        <v>1.4649999999999999</v>
      </c>
      <c r="V17">
        <f t="shared" si="8"/>
        <v>4.2249999999999927E-3</v>
      </c>
    </row>
    <row r="18" spans="3:22" x14ac:dyDescent="0.25">
      <c r="C18" s="5">
        <v>16</v>
      </c>
      <c r="D18" s="5" t="s">
        <v>20</v>
      </c>
      <c r="E18" s="2">
        <v>1530.72</v>
      </c>
      <c r="F18" s="2">
        <v>1534.4699999999998</v>
      </c>
      <c r="G18" s="5">
        <f t="shared" si="2"/>
        <v>43.200000000002625</v>
      </c>
      <c r="H18" s="5">
        <v>3.68</v>
      </c>
      <c r="I18" s="5">
        <f t="shared" si="0"/>
        <v>3.68</v>
      </c>
      <c r="J18" s="5">
        <f t="shared" si="3"/>
        <v>3.68</v>
      </c>
      <c r="K18">
        <f t="shared" si="4"/>
        <v>1.6899999999999971E-2</v>
      </c>
      <c r="L18" s="5">
        <v>16</v>
      </c>
      <c r="M18" s="5" t="s">
        <v>20</v>
      </c>
      <c r="N18" s="5">
        <v>1568.92</v>
      </c>
      <c r="O18" s="5">
        <v>1573.92</v>
      </c>
      <c r="P18" s="5">
        <f t="shared" si="5"/>
        <v>32.4</v>
      </c>
      <c r="Q18" s="5">
        <f>IF(M18="Car", R18 + 1.44, IF(M18="Bus", R18+2.43,IF(M18="Auto", R18+1.4,IF(M18="TAT",R18+2.1,IF(M18="TAT", R18 + 2.35, R18)))))</f>
        <v>8.82</v>
      </c>
      <c r="R18" s="5">
        <v>8.82</v>
      </c>
      <c r="S18" s="5">
        <f t="shared" si="6"/>
        <v>0.17999999999999972</v>
      </c>
      <c r="T18" s="5">
        <f t="shared" si="6"/>
        <v>0.17999999999999972</v>
      </c>
      <c r="U18" s="5">
        <f t="shared" si="7"/>
        <v>0.17999999999999972</v>
      </c>
      <c r="V18">
        <f t="shared" si="8"/>
        <v>1.4884000000000004</v>
      </c>
    </row>
    <row r="19" spans="3:22" x14ac:dyDescent="0.25">
      <c r="C19" s="5">
        <v>17</v>
      </c>
      <c r="D19" s="5" t="s">
        <v>19</v>
      </c>
      <c r="E19" s="2">
        <v>1531.92</v>
      </c>
      <c r="F19" s="2">
        <v>1535.72</v>
      </c>
      <c r="G19" s="5">
        <f t="shared" si="2"/>
        <v>42.631578947368929</v>
      </c>
      <c r="H19" s="5">
        <v>3.97</v>
      </c>
      <c r="I19" s="5">
        <f t="shared" si="0"/>
        <v>5.41</v>
      </c>
      <c r="J19" s="5">
        <f t="shared" si="3"/>
        <v>4.6900000000000004</v>
      </c>
      <c r="K19">
        <f t="shared" si="4"/>
        <v>0.77440000000000064</v>
      </c>
      <c r="L19" s="5">
        <v>17</v>
      </c>
      <c r="M19" s="5" t="s">
        <v>20</v>
      </c>
      <c r="N19" s="5">
        <v>1569.12</v>
      </c>
      <c r="O19" s="5">
        <v>1573.44</v>
      </c>
      <c r="P19" s="5">
        <f t="shared" si="5"/>
        <v>37.499999999998579</v>
      </c>
      <c r="Q19" s="5">
        <f>IF(M19="Car", R19 + 1.44, IF(M19="Bus", R19+2.43,IF(M19="Auto", R19+1.4,IF(M19="TAT",R19+2.1,IF(M19="TAT", R19 + 2.35, R19)))))</f>
        <v>7.6</v>
      </c>
      <c r="R19" s="5">
        <v>7.6</v>
      </c>
      <c r="S19" s="5">
        <f t="shared" si="6"/>
        <v>1.4000000000000004</v>
      </c>
      <c r="T19" s="5">
        <f t="shared" si="6"/>
        <v>1.4000000000000004</v>
      </c>
      <c r="U19" s="5">
        <f t="shared" si="7"/>
        <v>1.4000000000000004</v>
      </c>
      <c r="V19">
        <f t="shared" si="8"/>
        <v>1.9721522630525295E-31</v>
      </c>
    </row>
    <row r="20" spans="3:22" x14ac:dyDescent="0.25">
      <c r="C20" s="5">
        <v>18</v>
      </c>
      <c r="D20" s="5" t="s">
        <v>20</v>
      </c>
      <c r="E20" s="2">
        <v>1534.3600000000001</v>
      </c>
      <c r="F20" s="2">
        <v>1537.98</v>
      </c>
      <c r="G20" s="5">
        <f t="shared" si="2"/>
        <v>44.751381215470964</v>
      </c>
      <c r="H20" s="5">
        <v>2.88</v>
      </c>
      <c r="I20" s="5">
        <f t="shared" si="0"/>
        <v>2.88</v>
      </c>
      <c r="J20" s="5">
        <f t="shared" si="3"/>
        <v>2.88</v>
      </c>
      <c r="K20">
        <f t="shared" si="4"/>
        <v>0.86490000000000034</v>
      </c>
      <c r="L20" s="5">
        <v>18</v>
      </c>
      <c r="M20" s="5" t="s">
        <v>20</v>
      </c>
      <c r="N20" s="5">
        <v>1570.84</v>
      </c>
      <c r="O20" s="5">
        <v>1575.88</v>
      </c>
      <c r="P20" s="5">
        <f t="shared" si="5"/>
        <v>32.142857142855924</v>
      </c>
      <c r="Q20" s="5">
        <f>IF(M20="Car", R20 + 1.44, IF(M20="Bus", R20+2.43,IF(M20="Auto", R20+1.4,IF(M20="TAT",R20+2.1,IF(M20="TAT", R20 + 2.35, R20)))))</f>
        <v>8.8000000000000007</v>
      </c>
      <c r="R20" s="5">
        <v>8.8000000000000007</v>
      </c>
      <c r="S20" s="5">
        <f>$A$5-Q20</f>
        <v>0.19999999999999929</v>
      </c>
      <c r="T20" s="5">
        <f>$A$5-R20</f>
        <v>0.19999999999999929</v>
      </c>
      <c r="U20" s="5">
        <f t="shared" si="7"/>
        <v>0.19999999999999929</v>
      </c>
      <c r="V20">
        <f t="shared" si="8"/>
        <v>1.4400000000000015</v>
      </c>
    </row>
    <row r="21" spans="3:22" x14ac:dyDescent="0.25">
      <c r="C21" s="5">
        <v>19</v>
      </c>
      <c r="D21" s="5" t="s">
        <v>20</v>
      </c>
      <c r="E21" s="2">
        <v>1535.76</v>
      </c>
      <c r="F21" s="2">
        <v>1539.3300000000002</v>
      </c>
      <c r="G21" s="5">
        <f t="shared" si="2"/>
        <v>45.378151260502122</v>
      </c>
      <c r="H21" s="5">
        <v>2.72</v>
      </c>
      <c r="I21" s="5">
        <f t="shared" si="0"/>
        <v>2.72</v>
      </c>
      <c r="J21" s="5">
        <f t="shared" si="3"/>
        <v>2.72</v>
      </c>
      <c r="K21">
        <f t="shared" si="4"/>
        <v>1.1880999999999997</v>
      </c>
      <c r="L21" s="5">
        <v>19</v>
      </c>
      <c r="M21" s="5" t="s">
        <v>19</v>
      </c>
      <c r="N21" s="5">
        <v>1571.32</v>
      </c>
      <c r="O21" s="5">
        <v>1575.12</v>
      </c>
      <c r="P21" s="5">
        <f t="shared" si="5"/>
        <v>42.631578947368929</v>
      </c>
      <c r="Q21" s="5">
        <f>IF(M21="Car", R21 + 1.44, IF(M21="Bus", R21+2.43,IF(M21="Auto", R21+1.4,IF(M21="TAT",R21+2.1,IF(M21="TAT", R21 + 2.35, R21)))))</f>
        <v>8.5299999999999994</v>
      </c>
      <c r="R21" s="5">
        <v>7.09</v>
      </c>
      <c r="S21" s="5">
        <f t="shared" ref="S21:T84" si="9">$A$5-Q21</f>
        <v>0.47000000000000064</v>
      </c>
      <c r="T21" s="5">
        <f t="shared" ref="T21:T34" si="10">$A$5-R21</f>
        <v>1.9100000000000001</v>
      </c>
      <c r="U21" s="5">
        <f t="shared" si="7"/>
        <v>1.1900000000000004</v>
      </c>
      <c r="V21">
        <f t="shared" si="8"/>
        <v>4.4099999999999799E-2</v>
      </c>
    </row>
    <row r="22" spans="3:22" x14ac:dyDescent="0.25">
      <c r="C22" s="5">
        <v>20</v>
      </c>
      <c r="D22" s="5" t="s">
        <v>24</v>
      </c>
      <c r="E22" s="2">
        <v>1537.4</v>
      </c>
      <c r="F22" s="2">
        <v>1549.9399999999998</v>
      </c>
      <c r="G22" s="5">
        <f t="shared" si="2"/>
        <v>12.918660287081611</v>
      </c>
      <c r="H22" s="5">
        <v>0.49</v>
      </c>
      <c r="I22" s="5">
        <f t="shared" si="0"/>
        <v>0.49</v>
      </c>
      <c r="J22" s="5">
        <f t="shared" si="3"/>
        <v>0.49</v>
      </c>
      <c r="K22">
        <f t="shared" si="4"/>
        <v>11.022400000000001</v>
      </c>
      <c r="L22" s="5">
        <v>20</v>
      </c>
      <c r="M22" s="5" t="s">
        <v>18</v>
      </c>
      <c r="N22" s="5">
        <v>1590.8</v>
      </c>
      <c r="O22" s="5">
        <v>1595.68</v>
      </c>
      <c r="P22" s="5">
        <f t="shared" si="5"/>
        <v>33.196721311474668</v>
      </c>
      <c r="Q22" s="5">
        <v>7.38</v>
      </c>
      <c r="R22" s="5">
        <v>6.46</v>
      </c>
      <c r="S22" s="5">
        <f t="shared" si="9"/>
        <v>1.62</v>
      </c>
      <c r="T22" s="5">
        <f t="shared" si="10"/>
        <v>2.54</v>
      </c>
      <c r="U22" s="5">
        <f t="shared" si="7"/>
        <v>2.08</v>
      </c>
      <c r="V22">
        <f t="shared" si="8"/>
        <v>0.4624000000000002</v>
      </c>
    </row>
    <row r="23" spans="3:22" x14ac:dyDescent="0.25">
      <c r="C23" s="5">
        <v>21</v>
      </c>
      <c r="D23" s="5" t="s">
        <v>19</v>
      </c>
      <c r="E23" s="2">
        <v>1544.6000000000001</v>
      </c>
      <c r="F23" s="2">
        <v>1548.0600000000002</v>
      </c>
      <c r="G23" s="5">
        <f t="shared" si="2"/>
        <v>46.820809248554426</v>
      </c>
      <c r="H23" s="5">
        <v>3.53</v>
      </c>
      <c r="I23" s="5">
        <f t="shared" si="0"/>
        <v>4.97</v>
      </c>
      <c r="J23" s="5">
        <f t="shared" si="3"/>
        <v>4.25</v>
      </c>
      <c r="K23">
        <f t="shared" si="4"/>
        <v>0.19359999999999997</v>
      </c>
      <c r="L23" s="5">
        <v>21</v>
      </c>
      <c r="M23" s="5" t="s">
        <v>20</v>
      </c>
      <c r="N23" s="5">
        <v>1596</v>
      </c>
      <c r="O23" s="5">
        <v>1601.08</v>
      </c>
      <c r="P23" s="5">
        <f t="shared" si="5"/>
        <v>31.889763779528014</v>
      </c>
      <c r="Q23" s="5">
        <f>IF(M23="Car", R23 + 1.44, IF(M23="Bus", R23+2.43,IF(M23="Auto", R23+1.4,IF(M23="TAT",R23+2.1,IF(M23="TAT", R23 + 2.35, R23)))))</f>
        <v>8.5299999999999994</v>
      </c>
      <c r="R23" s="5">
        <v>8.5299999999999994</v>
      </c>
      <c r="S23" s="5">
        <f t="shared" si="9"/>
        <v>0.47000000000000064</v>
      </c>
      <c r="T23" s="5">
        <f t="shared" si="10"/>
        <v>0.47000000000000064</v>
      </c>
      <c r="U23" s="5">
        <f t="shared" si="7"/>
        <v>0.47000000000000064</v>
      </c>
      <c r="V23">
        <f t="shared" si="8"/>
        <v>0.86489999999999867</v>
      </c>
    </row>
    <row r="24" spans="3:22" x14ac:dyDescent="0.25">
      <c r="C24" s="5">
        <v>22</v>
      </c>
      <c r="D24" s="5" t="s">
        <v>20</v>
      </c>
      <c r="E24" s="2">
        <v>1545.2</v>
      </c>
      <c r="F24" s="2">
        <v>1548.71</v>
      </c>
      <c r="G24" s="5">
        <f t="shared" si="2"/>
        <v>46.153846153846274</v>
      </c>
      <c r="H24" s="5">
        <v>2.39</v>
      </c>
      <c r="I24" s="5">
        <f t="shared" si="0"/>
        <v>2.39</v>
      </c>
      <c r="J24" s="5">
        <f t="shared" si="3"/>
        <v>2.39</v>
      </c>
      <c r="K24">
        <f t="shared" si="4"/>
        <v>2.0164</v>
      </c>
      <c r="L24" s="5">
        <v>22</v>
      </c>
      <c r="M24" s="5" t="s">
        <v>20</v>
      </c>
      <c r="N24" s="5">
        <v>1597.32</v>
      </c>
      <c r="O24" s="5">
        <v>1603.4</v>
      </c>
      <c r="P24" s="5">
        <f t="shared" si="5"/>
        <v>26.644736842104585</v>
      </c>
      <c r="Q24" s="5">
        <f>IF(M24="Car", R24 + 1.44, IF(M24="Bus", R24+2.43,IF(M24="Auto", R24+1.4,IF(M24="TAT",R24+2.1,IF(M24="TAT", R24 + 2.35, R24)))))</f>
        <v>7.95</v>
      </c>
      <c r="R24" s="5">
        <v>7.95</v>
      </c>
      <c r="S24" s="5">
        <f t="shared" si="9"/>
        <v>1.0499999999999998</v>
      </c>
      <c r="T24" s="5">
        <f t="shared" si="10"/>
        <v>1.0499999999999998</v>
      </c>
      <c r="U24" s="5">
        <f t="shared" si="7"/>
        <v>1.0499999999999998</v>
      </c>
      <c r="V24">
        <f t="shared" si="8"/>
        <v>0.12250000000000007</v>
      </c>
    </row>
    <row r="25" spans="3:22" x14ac:dyDescent="0.25">
      <c r="C25" s="5">
        <v>23</v>
      </c>
      <c r="D25" s="5" t="s">
        <v>20</v>
      </c>
      <c r="E25" s="2">
        <v>1545.24</v>
      </c>
      <c r="F25" s="2">
        <v>1548.6100000000001</v>
      </c>
      <c r="G25" s="5">
        <f t="shared" si="2"/>
        <v>48.071216617208997</v>
      </c>
      <c r="H25" s="5">
        <v>5.17</v>
      </c>
      <c r="I25" s="5">
        <f t="shared" si="0"/>
        <v>5.17</v>
      </c>
      <c r="J25" s="5">
        <f t="shared" si="3"/>
        <v>5.17</v>
      </c>
      <c r="K25">
        <f t="shared" si="4"/>
        <v>1.8495999999999997</v>
      </c>
      <c r="L25" s="5">
        <v>23</v>
      </c>
      <c r="M25" s="5" t="s">
        <v>21</v>
      </c>
      <c r="N25" s="5">
        <v>1603.24</v>
      </c>
      <c r="O25" s="5">
        <v>1608.72</v>
      </c>
      <c r="P25" s="5">
        <f t="shared" si="5"/>
        <v>29.562043795620337</v>
      </c>
      <c r="Q25" s="5">
        <f>IF(M25="Car", R25 + 1.44, IF(M25="Bus", R25+2.43,IF(M25="Auto", R25+1.4,IF(M25="TAT",R25+2.1,IF(M25="TAT", R25 + 2.35, R25)))))</f>
        <v>6.6300000000000008</v>
      </c>
      <c r="R25" s="5">
        <v>4.53</v>
      </c>
      <c r="S25" s="5">
        <f t="shared" si="9"/>
        <v>2.3699999999999992</v>
      </c>
      <c r="T25" s="5">
        <f t="shared" si="10"/>
        <v>4.47</v>
      </c>
      <c r="U25" s="5">
        <f t="shared" si="7"/>
        <v>3.4199999999999995</v>
      </c>
      <c r="V25">
        <f t="shared" si="8"/>
        <v>4.0803999999999983</v>
      </c>
    </row>
    <row r="26" spans="3:22" x14ac:dyDescent="0.25">
      <c r="C26" s="5">
        <v>24</v>
      </c>
      <c r="D26" s="5" t="s">
        <v>20</v>
      </c>
      <c r="E26" s="2">
        <v>1545.68</v>
      </c>
      <c r="F26" s="2">
        <v>1549.25</v>
      </c>
      <c r="G26" s="5">
        <f t="shared" si="2"/>
        <v>45.378151260505014</v>
      </c>
      <c r="H26" s="5">
        <v>3.75</v>
      </c>
      <c r="I26" s="5">
        <f t="shared" si="0"/>
        <v>3.75</v>
      </c>
      <c r="J26" s="5">
        <f t="shared" si="3"/>
        <v>3.75</v>
      </c>
      <c r="K26">
        <f t="shared" si="4"/>
        <v>3.6000000000000064E-3</v>
      </c>
      <c r="L26" s="5">
        <v>24</v>
      </c>
      <c r="M26" s="33" t="s">
        <v>21</v>
      </c>
      <c r="N26" s="5">
        <v>1605.56</v>
      </c>
      <c r="O26" s="5">
        <v>1613.28</v>
      </c>
      <c r="P26" s="5">
        <f t="shared" si="5"/>
        <v>20.984455958549148</v>
      </c>
      <c r="Q26" s="5">
        <v>8.81</v>
      </c>
      <c r="R26" s="5">
        <v>7.58</v>
      </c>
      <c r="S26" s="5">
        <f t="shared" si="9"/>
        <v>0.1899999999999995</v>
      </c>
      <c r="T26" s="5">
        <f t="shared" si="10"/>
        <v>1.42</v>
      </c>
      <c r="U26" s="5">
        <f t="shared" si="7"/>
        <v>0.80499999999999972</v>
      </c>
      <c r="V26">
        <f t="shared" si="8"/>
        <v>0.35402500000000026</v>
      </c>
    </row>
    <row r="27" spans="3:22" x14ac:dyDescent="0.25">
      <c r="C27" s="5">
        <v>25</v>
      </c>
      <c r="D27" s="5" t="s">
        <v>20</v>
      </c>
      <c r="E27" s="2">
        <v>1547.04</v>
      </c>
      <c r="F27" s="2">
        <v>1550.4099999999999</v>
      </c>
      <c r="G27" s="5">
        <f t="shared" si="2"/>
        <v>48.071216617212244</v>
      </c>
      <c r="H27" s="5">
        <v>4.57</v>
      </c>
      <c r="I27" s="5">
        <f t="shared" si="0"/>
        <v>4.57</v>
      </c>
      <c r="J27" s="5">
        <f t="shared" si="3"/>
        <v>4.57</v>
      </c>
      <c r="K27">
        <f t="shared" si="4"/>
        <v>0.57760000000000034</v>
      </c>
      <c r="L27" s="5">
        <v>25</v>
      </c>
      <c r="M27" s="5" t="s">
        <v>20</v>
      </c>
      <c r="N27" s="5">
        <v>1606.32</v>
      </c>
      <c r="O27" s="5">
        <v>1610.8</v>
      </c>
      <c r="P27" s="5">
        <f t="shared" si="5"/>
        <v>36.160714285714143</v>
      </c>
      <c r="Q27" s="5">
        <f t="shared" ref="Q27:Q34" si="11">IF(M27="Car", R27 + 1.44, IF(M27="Bus", R27+2.43,IF(M27="Auto", R27+1.4,IF(M27="TAT",R27+2.1,IF(M27="TAT", R27 + 2.35, R27)))))</f>
        <v>6.31</v>
      </c>
      <c r="R27" s="5">
        <v>6.31</v>
      </c>
      <c r="S27" s="5">
        <f t="shared" si="9"/>
        <v>2.6900000000000004</v>
      </c>
      <c r="T27" s="5">
        <f t="shared" si="10"/>
        <v>2.6900000000000004</v>
      </c>
      <c r="U27" s="5">
        <f t="shared" si="7"/>
        <v>2.6900000000000004</v>
      </c>
      <c r="V27">
        <f t="shared" si="8"/>
        <v>1.6641000000000012</v>
      </c>
    </row>
    <row r="28" spans="3:22" x14ac:dyDescent="0.25">
      <c r="C28" s="5">
        <v>26</v>
      </c>
      <c r="D28" s="5" t="s">
        <v>19</v>
      </c>
      <c r="E28" s="2">
        <v>1548.32</v>
      </c>
      <c r="F28" s="2">
        <v>1551.4699999999998</v>
      </c>
      <c r="G28" s="5">
        <f t="shared" si="2"/>
        <v>51.428571428573655</v>
      </c>
      <c r="H28" s="5">
        <v>4.4000000000000004</v>
      </c>
      <c r="I28" s="5">
        <f t="shared" si="0"/>
        <v>5.84</v>
      </c>
      <c r="J28" s="5">
        <f t="shared" si="3"/>
        <v>5.12</v>
      </c>
      <c r="K28">
        <f t="shared" si="4"/>
        <v>1.7161000000000002</v>
      </c>
      <c r="L28" s="5">
        <v>26</v>
      </c>
      <c r="M28" s="5" t="s">
        <v>21</v>
      </c>
      <c r="N28" s="5">
        <v>1607.48</v>
      </c>
      <c r="O28" s="5">
        <v>1612.8</v>
      </c>
      <c r="P28" s="5">
        <f t="shared" si="5"/>
        <v>30.451127819549235</v>
      </c>
      <c r="Q28" s="5">
        <f t="shared" si="11"/>
        <v>7.3000000000000007</v>
      </c>
      <c r="R28" s="5">
        <v>5.2</v>
      </c>
      <c r="S28" s="5">
        <f t="shared" si="9"/>
        <v>1.6999999999999993</v>
      </c>
      <c r="T28" s="5">
        <f t="shared" si="10"/>
        <v>3.8</v>
      </c>
      <c r="U28" s="5">
        <f t="shared" si="7"/>
        <v>2.7499999999999996</v>
      </c>
      <c r="V28">
        <f t="shared" si="8"/>
        <v>1.8224999999999991</v>
      </c>
    </row>
    <row r="29" spans="3:22" x14ac:dyDescent="0.25">
      <c r="C29" s="5">
        <v>27</v>
      </c>
      <c r="D29" s="5" t="s">
        <v>20</v>
      </c>
      <c r="E29" s="2">
        <v>1549.28</v>
      </c>
      <c r="F29" s="2">
        <v>1553.07</v>
      </c>
      <c r="G29" s="5">
        <f t="shared" si="2"/>
        <v>42.744063324538672</v>
      </c>
      <c r="H29" s="5">
        <v>2.99</v>
      </c>
      <c r="I29" s="5">
        <f t="shared" si="0"/>
        <v>2.99</v>
      </c>
      <c r="J29" s="5">
        <f t="shared" si="3"/>
        <v>2.99</v>
      </c>
      <c r="K29">
        <f t="shared" si="4"/>
        <v>0.67239999999999978</v>
      </c>
      <c r="L29" s="5">
        <v>27</v>
      </c>
      <c r="M29" s="5" t="s">
        <v>20</v>
      </c>
      <c r="N29" s="5">
        <v>1608.6</v>
      </c>
      <c r="O29" s="5">
        <v>1613.88</v>
      </c>
      <c r="P29" s="5">
        <f t="shared" si="5"/>
        <v>30.681818181817022</v>
      </c>
      <c r="Q29" s="5">
        <f t="shared" si="11"/>
        <v>7.88</v>
      </c>
      <c r="R29" s="5">
        <v>7.88</v>
      </c>
      <c r="S29" s="5">
        <f t="shared" si="9"/>
        <v>1.1200000000000001</v>
      </c>
      <c r="T29" s="5">
        <f t="shared" si="10"/>
        <v>1.1200000000000001</v>
      </c>
      <c r="U29" s="5">
        <f t="shared" si="7"/>
        <v>1.1200000000000001</v>
      </c>
      <c r="V29">
        <f t="shared" si="8"/>
        <v>7.8399999999999886E-2</v>
      </c>
    </row>
    <row r="30" spans="3:22" x14ac:dyDescent="0.25">
      <c r="C30" s="5">
        <v>28</v>
      </c>
      <c r="D30" s="5" t="s">
        <v>20</v>
      </c>
      <c r="E30" s="2">
        <v>1549.96</v>
      </c>
      <c r="F30" s="2">
        <v>1553.28</v>
      </c>
      <c r="G30" s="5">
        <f t="shared" si="2"/>
        <v>48.795180722892503</v>
      </c>
      <c r="H30" s="5">
        <v>5.26</v>
      </c>
      <c r="I30" s="5">
        <f t="shared" si="0"/>
        <v>5.26</v>
      </c>
      <c r="J30" s="5">
        <f t="shared" si="3"/>
        <v>5.26</v>
      </c>
      <c r="K30">
        <f t="shared" si="4"/>
        <v>2.1024999999999991</v>
      </c>
      <c r="L30" s="5">
        <v>28</v>
      </c>
      <c r="M30" s="5" t="s">
        <v>18</v>
      </c>
      <c r="N30" s="5">
        <v>1609.56</v>
      </c>
      <c r="O30" s="5">
        <v>1615.24</v>
      </c>
      <c r="P30" s="5">
        <f t="shared" si="5"/>
        <v>28.521126760563064</v>
      </c>
      <c r="Q30" s="5">
        <f t="shared" si="11"/>
        <v>8.7799999999999994</v>
      </c>
      <c r="R30" s="5">
        <v>7.38</v>
      </c>
      <c r="S30" s="5">
        <f t="shared" si="9"/>
        <v>0.22000000000000064</v>
      </c>
      <c r="T30" s="5">
        <f t="shared" si="10"/>
        <v>1.62</v>
      </c>
      <c r="U30" s="5">
        <f t="shared" si="7"/>
        <v>0.92000000000000037</v>
      </c>
      <c r="V30">
        <f t="shared" si="8"/>
        <v>0.23039999999999955</v>
      </c>
    </row>
    <row r="31" spans="3:22" x14ac:dyDescent="0.25">
      <c r="C31" s="5">
        <v>29</v>
      </c>
      <c r="D31" s="5" t="s">
        <v>19</v>
      </c>
      <c r="E31" s="2">
        <v>1550.3600000000001</v>
      </c>
      <c r="F31" s="2">
        <v>1553.96</v>
      </c>
      <c r="G31" s="5">
        <f t="shared" si="2"/>
        <v>45.000000000001137</v>
      </c>
      <c r="H31" s="5">
        <v>4.3099999999999996</v>
      </c>
      <c r="I31" s="5">
        <f t="shared" si="0"/>
        <v>5.75</v>
      </c>
      <c r="J31" s="5">
        <f t="shared" si="3"/>
        <v>5.0299999999999994</v>
      </c>
      <c r="K31">
        <f t="shared" si="4"/>
        <v>1.4883999999999984</v>
      </c>
      <c r="L31" s="5">
        <v>29</v>
      </c>
      <c r="M31" s="5" t="s">
        <v>19</v>
      </c>
      <c r="N31" s="5">
        <v>1610.52</v>
      </c>
      <c r="O31" s="5">
        <v>1616.04</v>
      </c>
      <c r="P31" s="5">
        <f t="shared" si="5"/>
        <v>29.347826086956619</v>
      </c>
      <c r="Q31" s="5">
        <f t="shared" si="11"/>
        <v>7.93</v>
      </c>
      <c r="R31" s="5">
        <v>6.49</v>
      </c>
      <c r="S31" s="5">
        <f t="shared" si="9"/>
        <v>1.0700000000000003</v>
      </c>
      <c r="T31" s="5">
        <f t="shared" si="10"/>
        <v>2.5099999999999998</v>
      </c>
      <c r="U31" s="5">
        <f t="shared" si="7"/>
        <v>1.79</v>
      </c>
      <c r="V31">
        <f t="shared" si="8"/>
        <v>0.1521000000000001</v>
      </c>
    </row>
    <row r="32" spans="3:22" x14ac:dyDescent="0.25">
      <c r="C32" s="5">
        <v>30</v>
      </c>
      <c r="D32" s="5" t="s">
        <v>19</v>
      </c>
      <c r="E32" s="2">
        <v>1551.4</v>
      </c>
      <c r="F32" s="2">
        <v>1555.11</v>
      </c>
      <c r="G32" s="5">
        <f t="shared" si="2"/>
        <v>43.665768194072328</v>
      </c>
      <c r="H32" s="5">
        <v>4.3499999999999996</v>
      </c>
      <c r="I32" s="5">
        <f t="shared" si="0"/>
        <v>5.7899999999999991</v>
      </c>
      <c r="J32" s="5">
        <f t="shared" si="3"/>
        <v>5.0699999999999994</v>
      </c>
      <c r="K32">
        <f t="shared" si="4"/>
        <v>1.5875999999999983</v>
      </c>
      <c r="L32" s="5">
        <v>30</v>
      </c>
      <c r="M32" s="5" t="s">
        <v>20</v>
      </c>
      <c r="N32" s="5">
        <v>1611.6</v>
      </c>
      <c r="O32" s="5">
        <v>1616.96</v>
      </c>
      <c r="P32" s="5">
        <f t="shared" si="5"/>
        <v>30.223880597014208</v>
      </c>
      <c r="Q32" s="5">
        <f t="shared" si="11"/>
        <v>7.69</v>
      </c>
      <c r="R32" s="5">
        <v>7.69</v>
      </c>
      <c r="S32" s="5">
        <f t="shared" si="9"/>
        <v>1.3099999999999996</v>
      </c>
      <c r="T32" s="5">
        <f t="shared" si="10"/>
        <v>1.3099999999999996</v>
      </c>
      <c r="U32" s="5">
        <f t="shared" si="7"/>
        <v>1.3099999999999996</v>
      </c>
      <c r="V32">
        <f t="shared" si="8"/>
        <v>8.1000000000000551E-3</v>
      </c>
    </row>
    <row r="33" spans="3:22" x14ac:dyDescent="0.25">
      <c r="C33" s="5">
        <v>31</v>
      </c>
      <c r="D33" s="5" t="s">
        <v>19</v>
      </c>
      <c r="E33" s="2">
        <v>1552.16</v>
      </c>
      <c r="F33" s="2">
        <v>1555.61</v>
      </c>
      <c r="G33" s="5">
        <f t="shared" si="2"/>
        <v>46.956521739132917</v>
      </c>
      <c r="H33" s="5">
        <v>4.71</v>
      </c>
      <c r="I33" s="5">
        <f t="shared" si="0"/>
        <v>6.15</v>
      </c>
      <c r="J33" s="5">
        <f t="shared" si="3"/>
        <v>5.43</v>
      </c>
      <c r="K33">
        <f t="shared" si="4"/>
        <v>2.6243999999999987</v>
      </c>
      <c r="L33" s="5">
        <v>31</v>
      </c>
      <c r="M33" s="5" t="s">
        <v>20</v>
      </c>
      <c r="N33" s="5">
        <v>1613.36</v>
      </c>
      <c r="O33" s="5">
        <v>1618.24</v>
      </c>
      <c r="P33" s="5">
        <f t="shared" si="5"/>
        <v>33.196721311474668</v>
      </c>
      <c r="Q33" s="5">
        <f t="shared" si="11"/>
        <v>6.65</v>
      </c>
      <c r="R33" s="5">
        <v>6.65</v>
      </c>
      <c r="S33" s="5">
        <f t="shared" si="9"/>
        <v>2.3499999999999996</v>
      </c>
      <c r="T33" s="5">
        <f t="shared" si="10"/>
        <v>2.3499999999999996</v>
      </c>
      <c r="U33" s="5">
        <f t="shared" si="7"/>
        <v>2.3499999999999996</v>
      </c>
      <c r="V33">
        <f t="shared" si="8"/>
        <v>0.90249999999999952</v>
      </c>
    </row>
    <row r="34" spans="3:22" x14ac:dyDescent="0.25">
      <c r="C34" s="5">
        <v>32</v>
      </c>
      <c r="D34" s="5" t="s">
        <v>19</v>
      </c>
      <c r="E34" s="2">
        <v>1553.2</v>
      </c>
      <c r="F34" s="2">
        <v>1557.03</v>
      </c>
      <c r="G34" s="5">
        <f t="shared" si="2"/>
        <v>42.297650130549108</v>
      </c>
      <c r="H34" s="5">
        <v>4.07</v>
      </c>
      <c r="I34" s="5">
        <f t="shared" si="0"/>
        <v>5.51</v>
      </c>
      <c r="J34" s="5">
        <f t="shared" si="3"/>
        <v>4.79</v>
      </c>
      <c r="K34">
        <f t="shared" si="4"/>
        <v>0.96039999999999992</v>
      </c>
      <c r="L34" s="5">
        <v>32</v>
      </c>
      <c r="M34" s="5" t="s">
        <v>20</v>
      </c>
      <c r="N34" s="5">
        <v>1613.8</v>
      </c>
      <c r="O34" s="5">
        <v>1618.32</v>
      </c>
      <c r="P34" s="5">
        <f t="shared" si="5"/>
        <v>35.840707964601911</v>
      </c>
      <c r="Q34" s="5">
        <f t="shared" si="11"/>
        <v>8.39</v>
      </c>
      <c r="R34" s="5">
        <v>8.39</v>
      </c>
      <c r="S34" s="5">
        <f t="shared" si="9"/>
        <v>0.60999999999999943</v>
      </c>
      <c r="T34" s="5">
        <f t="shared" si="10"/>
        <v>0.60999999999999943</v>
      </c>
      <c r="U34" s="5">
        <f t="shared" si="7"/>
        <v>0.60999999999999943</v>
      </c>
      <c r="V34">
        <f t="shared" si="8"/>
        <v>0.62410000000000077</v>
      </c>
    </row>
    <row r="35" spans="3:22" x14ac:dyDescent="0.25">
      <c r="C35" s="5">
        <v>33</v>
      </c>
      <c r="D35" s="5" t="s">
        <v>20</v>
      </c>
      <c r="E35" s="2">
        <v>1553.16</v>
      </c>
      <c r="F35" s="2">
        <v>1556.48</v>
      </c>
      <c r="G35" s="5">
        <f t="shared" si="2"/>
        <v>48.795180722892503</v>
      </c>
      <c r="H35" s="5">
        <v>6.16</v>
      </c>
      <c r="I35" s="5">
        <f t="shared" ref="I35:I66" si="12">IF(D35="Car",H35+1.44,IF(D35="Bus",H35+2.43,IF(D35="Auto",H35+1.4,IF(D35="TAT", H35+2.1, IF(D35="TAT", H35+2.35,H35)))))</f>
        <v>6.16</v>
      </c>
      <c r="J35" s="5">
        <f t="shared" si="3"/>
        <v>6.16</v>
      </c>
      <c r="K35">
        <f t="shared" si="4"/>
        <v>5.5225000000000009</v>
      </c>
      <c r="L35" s="5">
        <v>33</v>
      </c>
      <c r="M35" s="5" t="s">
        <v>19</v>
      </c>
      <c r="N35" s="5">
        <v>1615.44</v>
      </c>
      <c r="O35" s="5">
        <v>1620.24</v>
      </c>
      <c r="P35" s="5">
        <f t="shared" si="5"/>
        <v>33.75000000000032</v>
      </c>
      <c r="Q35" s="5">
        <v>8.09</v>
      </c>
      <c r="R35" s="5">
        <v>7.04</v>
      </c>
      <c r="S35" s="5">
        <f t="shared" si="9"/>
        <v>0.91000000000000014</v>
      </c>
      <c r="T35" s="5">
        <f t="shared" si="9"/>
        <v>1.96</v>
      </c>
      <c r="U35" s="5">
        <f t="shared" si="7"/>
        <v>1.4350000000000001</v>
      </c>
      <c r="V35">
        <f t="shared" si="8"/>
        <v>1.2250000000000099E-3</v>
      </c>
    </row>
    <row r="36" spans="3:22" x14ac:dyDescent="0.25">
      <c r="C36" s="5">
        <v>34</v>
      </c>
      <c r="D36" s="5" t="s">
        <v>24</v>
      </c>
      <c r="E36" s="2">
        <v>1553.24</v>
      </c>
      <c r="F36" s="2">
        <v>1564.1</v>
      </c>
      <c r="G36" s="5">
        <f t="shared" si="2"/>
        <v>14.917127071823343</v>
      </c>
      <c r="H36" s="5">
        <v>0.53</v>
      </c>
      <c r="I36" s="5">
        <f t="shared" si="12"/>
        <v>0.53</v>
      </c>
      <c r="J36" s="5">
        <f t="shared" si="3"/>
        <v>0.53</v>
      </c>
      <c r="K36">
        <f t="shared" si="4"/>
        <v>10.758400000000002</v>
      </c>
      <c r="L36" s="5">
        <v>34</v>
      </c>
      <c r="M36" s="5" t="s">
        <v>19</v>
      </c>
      <c r="N36" s="5">
        <v>1616.4</v>
      </c>
      <c r="O36" s="5">
        <v>1621.24</v>
      </c>
      <c r="P36" s="5">
        <f t="shared" si="5"/>
        <v>33.471074380165859</v>
      </c>
      <c r="Q36" s="5">
        <v>7.06</v>
      </c>
      <c r="R36" s="5">
        <v>5.77</v>
      </c>
      <c r="S36" s="5">
        <f t="shared" si="9"/>
        <v>1.9400000000000004</v>
      </c>
      <c r="T36" s="5">
        <f t="shared" si="9"/>
        <v>3.2300000000000004</v>
      </c>
      <c r="U36" s="5">
        <f t="shared" si="7"/>
        <v>2.5850000000000004</v>
      </c>
      <c r="V36">
        <f t="shared" si="8"/>
        <v>1.4042250000000012</v>
      </c>
    </row>
    <row r="37" spans="3:22" x14ac:dyDescent="0.25">
      <c r="C37" s="5">
        <v>35</v>
      </c>
      <c r="D37" s="5" t="s">
        <v>19</v>
      </c>
      <c r="E37" s="2">
        <v>1555.44</v>
      </c>
      <c r="F37" s="2">
        <v>1558.98</v>
      </c>
      <c r="G37" s="5">
        <f t="shared" si="2"/>
        <v>45.762711864407251</v>
      </c>
      <c r="H37" s="5">
        <v>3.91</v>
      </c>
      <c r="I37" s="5">
        <f t="shared" si="12"/>
        <v>5.35</v>
      </c>
      <c r="J37" s="5">
        <f t="shared" si="3"/>
        <v>4.63</v>
      </c>
      <c r="K37">
        <f t="shared" si="4"/>
        <v>0.67239999999999978</v>
      </c>
      <c r="L37" s="5">
        <v>35</v>
      </c>
      <c r="M37" s="5" t="s">
        <v>20</v>
      </c>
      <c r="N37" s="5">
        <v>1624.8</v>
      </c>
      <c r="O37" s="5">
        <v>1630.2</v>
      </c>
      <c r="P37" s="5">
        <f t="shared" si="5"/>
        <v>29.999999999999499</v>
      </c>
      <c r="Q37" s="5">
        <f>IF(M37="Car", R37 + 1.44, IF(M37="Bus", R37+2.43,IF(M37="Auto", R37+1.4,IF(M37="TAT",R37+2.1,IF(M37="TAT", R37 + 2.35, R37)))))</f>
        <v>8.85</v>
      </c>
      <c r="R37" s="5">
        <v>8.85</v>
      </c>
      <c r="S37" s="5">
        <f t="shared" si="9"/>
        <v>0.15000000000000036</v>
      </c>
      <c r="T37" s="5">
        <f t="shared" si="9"/>
        <v>0.15000000000000036</v>
      </c>
      <c r="U37" s="5">
        <f t="shared" si="7"/>
        <v>0.15000000000000036</v>
      </c>
      <c r="V37">
        <f t="shared" si="8"/>
        <v>1.5624999999999989</v>
      </c>
    </row>
    <row r="38" spans="3:22" x14ac:dyDescent="0.25">
      <c r="C38" s="5">
        <v>36</v>
      </c>
      <c r="D38" s="5" t="s">
        <v>19</v>
      </c>
      <c r="E38" s="2">
        <v>1556.52</v>
      </c>
      <c r="F38" s="2">
        <v>1559.86</v>
      </c>
      <c r="G38" s="5">
        <f t="shared" si="2"/>
        <v>48.502994011977236</v>
      </c>
      <c r="H38" s="5">
        <v>4.33</v>
      </c>
      <c r="I38" s="5">
        <f t="shared" si="12"/>
        <v>5.77</v>
      </c>
      <c r="J38" s="5">
        <f t="shared" si="3"/>
        <v>5.05</v>
      </c>
      <c r="K38">
        <f t="shared" si="4"/>
        <v>1.5375999999999994</v>
      </c>
      <c r="L38" s="5">
        <v>36</v>
      </c>
      <c r="M38" s="5" t="s">
        <v>18</v>
      </c>
      <c r="N38" s="5">
        <v>1630.04</v>
      </c>
      <c r="O38" s="5">
        <v>1634.76</v>
      </c>
      <c r="P38" s="5">
        <f t="shared" si="5"/>
        <v>34.322033898304888</v>
      </c>
      <c r="Q38" s="5">
        <v>7.57</v>
      </c>
      <c r="R38" s="5">
        <v>6.59</v>
      </c>
      <c r="S38" s="5">
        <f t="shared" si="9"/>
        <v>1.4299999999999997</v>
      </c>
      <c r="T38" s="5">
        <f t="shared" si="9"/>
        <v>2.41</v>
      </c>
      <c r="U38" s="5">
        <f t="shared" si="7"/>
        <v>1.92</v>
      </c>
      <c r="V38">
        <f t="shared" si="8"/>
        <v>0.27040000000000003</v>
      </c>
    </row>
    <row r="39" spans="3:22" x14ac:dyDescent="0.25">
      <c r="C39" s="5">
        <v>37</v>
      </c>
      <c r="D39" s="5" t="s">
        <v>20</v>
      </c>
      <c r="E39" s="2">
        <v>1557.52</v>
      </c>
      <c r="F39" s="2">
        <v>1560.84</v>
      </c>
      <c r="G39" s="5">
        <f t="shared" si="2"/>
        <v>48.795180722892503</v>
      </c>
      <c r="H39" s="5">
        <v>2.42</v>
      </c>
      <c r="I39" s="5">
        <f t="shared" si="12"/>
        <v>2.42</v>
      </c>
      <c r="J39" s="5">
        <f t="shared" si="3"/>
        <v>2.42</v>
      </c>
      <c r="K39">
        <f t="shared" si="4"/>
        <v>1.9321000000000004</v>
      </c>
      <c r="L39" s="5">
        <v>37</v>
      </c>
      <c r="M39" s="5" t="s">
        <v>20</v>
      </c>
      <c r="N39" s="5">
        <v>1631.24</v>
      </c>
      <c r="O39" s="5">
        <v>1636.64</v>
      </c>
      <c r="P39" s="5">
        <f t="shared" si="5"/>
        <v>29.999999999999499</v>
      </c>
      <c r="Q39" s="5">
        <f t="shared" ref="Q39:Q45" si="13">IF(M39="Car", R39 + 1.44, IF(M39="Bus", R39+2.43,IF(M39="Auto", R39+1.4,IF(M39="TAT",R39+2.1,IF(M39="TAT", R39 + 2.35, R39)))))</f>
        <v>8.61</v>
      </c>
      <c r="R39" s="5">
        <v>8.61</v>
      </c>
      <c r="S39" s="5">
        <f t="shared" si="9"/>
        <v>0.39000000000000057</v>
      </c>
      <c r="T39" s="5">
        <f t="shared" si="9"/>
        <v>0.39000000000000057</v>
      </c>
      <c r="U39" s="5">
        <f t="shared" si="7"/>
        <v>0.39000000000000057</v>
      </c>
      <c r="V39">
        <f t="shared" si="8"/>
        <v>1.0200999999999987</v>
      </c>
    </row>
    <row r="40" spans="3:22" x14ac:dyDescent="0.25">
      <c r="C40" s="5">
        <v>38</v>
      </c>
      <c r="D40" s="5" t="s">
        <v>19</v>
      </c>
      <c r="E40" s="2">
        <v>1558</v>
      </c>
      <c r="F40" s="2">
        <v>1560.99</v>
      </c>
      <c r="G40" s="5">
        <f t="shared" si="2"/>
        <v>54.180602006688794</v>
      </c>
      <c r="H40" s="5">
        <v>3.78</v>
      </c>
      <c r="I40" s="5">
        <f t="shared" si="12"/>
        <v>5.22</v>
      </c>
      <c r="J40" s="5">
        <f t="shared" si="3"/>
        <v>4.5</v>
      </c>
      <c r="K40">
        <f t="shared" si="4"/>
        <v>0.47609999999999991</v>
      </c>
      <c r="L40" s="5">
        <v>38</v>
      </c>
      <c r="M40" s="5" t="s">
        <v>20</v>
      </c>
      <c r="N40" s="5">
        <v>1632.76</v>
      </c>
      <c r="O40" s="5">
        <v>1637.8</v>
      </c>
      <c r="P40" s="5">
        <f t="shared" si="5"/>
        <v>32.142857142857373</v>
      </c>
      <c r="Q40" s="5">
        <f t="shared" si="13"/>
        <v>8.8800000000000008</v>
      </c>
      <c r="R40" s="5">
        <v>8.8800000000000008</v>
      </c>
      <c r="S40" s="5">
        <f t="shared" si="9"/>
        <v>0.11999999999999922</v>
      </c>
      <c r="T40" s="5">
        <f t="shared" si="9"/>
        <v>0.11999999999999922</v>
      </c>
      <c r="U40" s="5">
        <f t="shared" si="7"/>
        <v>0.11999999999999922</v>
      </c>
      <c r="V40">
        <f t="shared" si="8"/>
        <v>1.6384000000000019</v>
      </c>
    </row>
    <row r="41" spans="3:22" x14ac:dyDescent="0.25">
      <c r="C41" s="5">
        <v>39</v>
      </c>
      <c r="D41" s="5" t="s">
        <v>19</v>
      </c>
      <c r="E41" s="2">
        <v>1558.08</v>
      </c>
      <c r="F41" s="2">
        <v>1561.46</v>
      </c>
      <c r="G41" s="5">
        <f t="shared" si="2"/>
        <v>47.928994082838685</v>
      </c>
      <c r="H41" s="5">
        <v>5.34</v>
      </c>
      <c r="I41" s="5">
        <f t="shared" si="12"/>
        <v>6.7799999999999994</v>
      </c>
      <c r="J41" s="5">
        <f t="shared" si="3"/>
        <v>6.06</v>
      </c>
      <c r="K41">
        <f t="shared" si="4"/>
        <v>5.0624999999999982</v>
      </c>
      <c r="L41" s="5">
        <v>39</v>
      </c>
      <c r="M41" s="5" t="s">
        <v>20</v>
      </c>
      <c r="N41" s="5">
        <v>1632.92</v>
      </c>
      <c r="O41" s="5">
        <v>1638.44</v>
      </c>
      <c r="P41" s="5">
        <f t="shared" si="5"/>
        <v>29.347826086956619</v>
      </c>
      <c r="Q41" s="5">
        <f t="shared" si="13"/>
        <v>8.17</v>
      </c>
      <c r="R41" s="5">
        <v>8.17</v>
      </c>
      <c r="S41" s="5">
        <f t="shared" si="9"/>
        <v>0.83000000000000007</v>
      </c>
      <c r="T41" s="5">
        <f t="shared" si="9"/>
        <v>0.83000000000000007</v>
      </c>
      <c r="U41" s="5">
        <f t="shared" si="7"/>
        <v>0.83000000000000007</v>
      </c>
      <c r="V41">
        <f t="shared" si="8"/>
        <v>0.3248999999999998</v>
      </c>
    </row>
    <row r="42" spans="3:22" x14ac:dyDescent="0.25">
      <c r="C42" s="5">
        <v>40</v>
      </c>
      <c r="D42" s="5" t="s">
        <v>19</v>
      </c>
      <c r="E42" s="2">
        <v>1563.3600000000001</v>
      </c>
      <c r="F42" s="2">
        <v>1566.84</v>
      </c>
      <c r="G42" s="5">
        <f t="shared" si="2"/>
        <v>46.551724137933832</v>
      </c>
      <c r="H42" s="5">
        <v>4.2699999999999996</v>
      </c>
      <c r="I42" s="5">
        <f t="shared" si="12"/>
        <v>5.7099999999999991</v>
      </c>
      <c r="J42" s="5">
        <f t="shared" si="3"/>
        <v>4.9899999999999993</v>
      </c>
      <c r="K42">
        <f t="shared" si="4"/>
        <v>1.3923999999999983</v>
      </c>
      <c r="L42" s="5">
        <v>40</v>
      </c>
      <c r="M42" s="5" t="s">
        <v>20</v>
      </c>
      <c r="N42" s="5">
        <v>1634.92</v>
      </c>
      <c r="O42" s="5">
        <v>1640.32</v>
      </c>
      <c r="P42" s="5">
        <f t="shared" si="5"/>
        <v>30.000000000000757</v>
      </c>
      <c r="Q42" s="5">
        <f t="shared" si="13"/>
        <v>8.15</v>
      </c>
      <c r="R42" s="5">
        <v>8.15</v>
      </c>
      <c r="S42" s="5">
        <f t="shared" si="9"/>
        <v>0.84999999999999964</v>
      </c>
      <c r="T42" s="5">
        <f t="shared" si="9"/>
        <v>0.84999999999999964</v>
      </c>
      <c r="U42" s="5">
        <f t="shared" si="7"/>
        <v>0.84999999999999964</v>
      </c>
      <c r="V42">
        <f t="shared" si="8"/>
        <v>0.30250000000000027</v>
      </c>
    </row>
    <row r="43" spans="3:22" x14ac:dyDescent="0.25">
      <c r="C43" s="5">
        <v>41</v>
      </c>
      <c r="D43" s="5" t="s">
        <v>19</v>
      </c>
      <c r="E43" s="2">
        <v>1564.24</v>
      </c>
      <c r="F43" s="2">
        <v>1567.86</v>
      </c>
      <c r="G43" s="5">
        <f t="shared" si="2"/>
        <v>44.751381215470964</v>
      </c>
      <c r="H43" s="5">
        <v>4.07</v>
      </c>
      <c r="I43" s="5">
        <f t="shared" si="12"/>
        <v>5.51</v>
      </c>
      <c r="J43" s="5">
        <f t="shared" si="3"/>
        <v>4.79</v>
      </c>
      <c r="K43">
        <f t="shared" si="4"/>
        <v>0.96039999999999992</v>
      </c>
      <c r="L43" s="5">
        <v>41</v>
      </c>
      <c r="M43" s="5" t="s">
        <v>19</v>
      </c>
      <c r="N43" s="5">
        <v>1635.96</v>
      </c>
      <c r="O43" s="5">
        <v>1641.2</v>
      </c>
      <c r="P43" s="5">
        <f t="shared" si="5"/>
        <v>30.916030534351091</v>
      </c>
      <c r="Q43" s="5">
        <f t="shared" si="13"/>
        <v>7.9399999999999995</v>
      </c>
      <c r="R43" s="5">
        <v>6.5</v>
      </c>
      <c r="S43" s="5">
        <f t="shared" si="9"/>
        <v>1.0600000000000005</v>
      </c>
      <c r="T43" s="5">
        <f t="shared" si="9"/>
        <v>2.5</v>
      </c>
      <c r="U43" s="5">
        <f t="shared" si="7"/>
        <v>1.7800000000000002</v>
      </c>
      <c r="V43">
        <f t="shared" si="8"/>
        <v>0.14440000000000025</v>
      </c>
    </row>
    <row r="44" spans="3:22" x14ac:dyDescent="0.25">
      <c r="C44" s="5">
        <v>42</v>
      </c>
      <c r="D44" s="5" t="s">
        <v>20</v>
      </c>
      <c r="E44" s="2">
        <v>1566.08</v>
      </c>
      <c r="F44" s="2">
        <v>1572.6799999999998</v>
      </c>
      <c r="G44" s="5">
        <f t="shared" si="2"/>
        <v>24.545454545454884</v>
      </c>
      <c r="H44" s="5">
        <v>1.28</v>
      </c>
      <c r="I44" s="5">
        <f t="shared" si="12"/>
        <v>1.28</v>
      </c>
      <c r="J44" s="5">
        <f t="shared" si="3"/>
        <v>1.28</v>
      </c>
      <c r="K44">
        <f t="shared" si="4"/>
        <v>6.4009000000000009</v>
      </c>
      <c r="L44" s="5">
        <v>42</v>
      </c>
      <c r="M44" s="5" t="s">
        <v>20</v>
      </c>
      <c r="N44" s="5">
        <v>1636.44</v>
      </c>
      <c r="O44" s="5">
        <v>1641.6</v>
      </c>
      <c r="P44" s="5">
        <f t="shared" si="5"/>
        <v>31.395348837210189</v>
      </c>
      <c r="Q44" s="5">
        <f t="shared" si="13"/>
        <v>7.97</v>
      </c>
      <c r="R44" s="5">
        <v>7.97</v>
      </c>
      <c r="S44" s="5">
        <f t="shared" si="9"/>
        <v>1.0300000000000002</v>
      </c>
      <c r="T44" s="5">
        <f t="shared" si="9"/>
        <v>1.0300000000000002</v>
      </c>
      <c r="U44" s="5">
        <f t="shared" si="7"/>
        <v>1.0300000000000002</v>
      </c>
      <c r="V44">
        <f t="shared" si="8"/>
        <v>0.13689999999999974</v>
      </c>
    </row>
    <row r="45" spans="3:22" x14ac:dyDescent="0.25">
      <c r="C45" s="5">
        <v>43</v>
      </c>
      <c r="D45" s="5" t="s">
        <v>19</v>
      </c>
      <c r="E45" s="2">
        <v>1566.1200000000001</v>
      </c>
      <c r="F45" s="2">
        <v>1569.76</v>
      </c>
      <c r="G45" s="5">
        <f t="shared" si="2"/>
        <v>44.50549450549606</v>
      </c>
      <c r="H45" s="5">
        <v>4.04</v>
      </c>
      <c r="I45" s="5">
        <f t="shared" si="12"/>
        <v>5.48</v>
      </c>
      <c r="J45" s="5">
        <f t="shared" si="3"/>
        <v>4.76</v>
      </c>
      <c r="K45">
        <f t="shared" si="4"/>
        <v>0.90249999999999952</v>
      </c>
      <c r="L45" s="5">
        <v>43</v>
      </c>
      <c r="M45" s="5" t="s">
        <v>20</v>
      </c>
      <c r="N45" s="5">
        <v>1637.76</v>
      </c>
      <c r="O45" s="5">
        <v>1643.08</v>
      </c>
      <c r="P45" s="5">
        <f t="shared" si="5"/>
        <v>30.451127819549235</v>
      </c>
      <c r="Q45" s="5">
        <f t="shared" si="13"/>
        <v>8.3000000000000007</v>
      </c>
      <c r="R45" s="5">
        <v>8.3000000000000007</v>
      </c>
      <c r="S45" s="5">
        <f t="shared" si="9"/>
        <v>0.69999999999999929</v>
      </c>
      <c r="T45" s="5">
        <f t="shared" si="9"/>
        <v>0.69999999999999929</v>
      </c>
      <c r="U45" s="5">
        <f t="shared" si="7"/>
        <v>0.69999999999999929</v>
      </c>
      <c r="V45">
        <f t="shared" si="8"/>
        <v>0.49000000000000088</v>
      </c>
    </row>
    <row r="46" spans="3:22" x14ac:dyDescent="0.25">
      <c r="C46" s="5">
        <v>44</v>
      </c>
      <c r="D46" s="5" t="s">
        <v>20</v>
      </c>
      <c r="E46" s="2">
        <v>1567</v>
      </c>
      <c r="F46" s="2">
        <v>1573.68</v>
      </c>
      <c r="G46" s="5">
        <f t="shared" si="2"/>
        <v>24.251497005987794</v>
      </c>
      <c r="H46" s="5">
        <v>1.74</v>
      </c>
      <c r="I46" s="5">
        <f t="shared" si="12"/>
        <v>1.74</v>
      </c>
      <c r="J46" s="5">
        <f t="shared" si="3"/>
        <v>1.74</v>
      </c>
      <c r="K46">
        <f t="shared" si="4"/>
        <v>4.2849000000000013</v>
      </c>
      <c r="L46" s="5">
        <v>44</v>
      </c>
      <c r="M46" s="5" t="s">
        <v>19</v>
      </c>
      <c r="N46" s="5">
        <v>1640.48</v>
      </c>
      <c r="O46" s="5">
        <v>1645</v>
      </c>
      <c r="P46" s="5">
        <f t="shared" si="5"/>
        <v>35.840707964601911</v>
      </c>
      <c r="Q46" s="5">
        <v>7.63</v>
      </c>
      <c r="R46" s="5">
        <v>6.4</v>
      </c>
      <c r="S46" s="5">
        <f t="shared" si="9"/>
        <v>1.37</v>
      </c>
      <c r="T46" s="5">
        <f t="shared" si="9"/>
        <v>2.5999999999999996</v>
      </c>
      <c r="U46" s="5">
        <f t="shared" si="7"/>
        <v>1.9849999999999999</v>
      </c>
      <c r="V46">
        <f t="shared" si="8"/>
        <v>0.34222499999999995</v>
      </c>
    </row>
    <row r="47" spans="3:22" x14ac:dyDescent="0.25">
      <c r="C47" s="5">
        <v>45</v>
      </c>
      <c r="D47" s="5" t="s">
        <v>19</v>
      </c>
      <c r="E47" s="2">
        <v>1567.04</v>
      </c>
      <c r="F47" s="2">
        <v>1570.9399999999998</v>
      </c>
      <c r="G47" s="5">
        <f t="shared" si="2"/>
        <v>41.53846153846299</v>
      </c>
      <c r="H47" s="5">
        <v>4.13</v>
      </c>
      <c r="I47" s="5">
        <f t="shared" si="12"/>
        <v>5.57</v>
      </c>
      <c r="J47" s="5">
        <f t="shared" si="3"/>
        <v>4.8499999999999996</v>
      </c>
      <c r="K47">
        <f t="shared" si="4"/>
        <v>1.0815999999999992</v>
      </c>
      <c r="L47" s="5">
        <v>45</v>
      </c>
      <c r="M47" s="5" t="s">
        <v>20</v>
      </c>
      <c r="N47" s="5">
        <v>1647.72</v>
      </c>
      <c r="O47" s="5">
        <v>1652.48</v>
      </c>
      <c r="P47" s="5">
        <f t="shared" si="5"/>
        <v>34.033613445378215</v>
      </c>
      <c r="Q47" s="5">
        <f>IF(M47="Car", R47 + 1.44, IF(M47="Bus", R47+2.43,IF(M47="Auto", R47+1.4,IF(M47="TAT",R47+2.1,IF(M47="TAT", R47 + 2.35, R47)))))</f>
        <v>8.75</v>
      </c>
      <c r="R47" s="5">
        <v>8.75</v>
      </c>
      <c r="S47" s="5">
        <f t="shared" si="9"/>
        <v>0.25</v>
      </c>
      <c r="T47" s="5">
        <f t="shared" si="9"/>
        <v>0.25</v>
      </c>
      <c r="U47" s="5">
        <f t="shared" si="7"/>
        <v>0.25</v>
      </c>
      <c r="V47">
        <f t="shared" si="8"/>
        <v>1.3224999999999998</v>
      </c>
    </row>
    <row r="48" spans="3:22" x14ac:dyDescent="0.25">
      <c r="C48" s="5">
        <v>46</v>
      </c>
      <c r="D48" s="5" t="s">
        <v>19</v>
      </c>
      <c r="E48" s="2">
        <v>1568.08</v>
      </c>
      <c r="F48" s="2">
        <v>1571.97</v>
      </c>
      <c r="G48" s="5">
        <f t="shared" si="2"/>
        <v>41.645244215937232</v>
      </c>
      <c r="H48" s="5">
        <v>4.42</v>
      </c>
      <c r="I48" s="5">
        <f t="shared" si="12"/>
        <v>5.8599999999999994</v>
      </c>
      <c r="J48" s="5">
        <f t="shared" si="3"/>
        <v>5.14</v>
      </c>
      <c r="K48">
        <f t="shared" si="4"/>
        <v>1.768899999999999</v>
      </c>
      <c r="L48" s="5">
        <v>46</v>
      </c>
      <c r="M48" s="5" t="s">
        <v>20</v>
      </c>
      <c r="N48" s="5">
        <v>1648.12</v>
      </c>
      <c r="O48" s="5">
        <v>1653.16</v>
      </c>
      <c r="P48" s="5">
        <f t="shared" si="5"/>
        <v>32.142857142855924</v>
      </c>
      <c r="Q48" s="5">
        <f>IF(M48="Car", R48 + 1.44, IF(M48="Bus", R48+2.43,IF(M48="Auto", R48+1.4,IF(M48="TAT",R48+2.1,IF(M48="TAT", R48 + 2.35, R48)))))</f>
        <v>8.33</v>
      </c>
      <c r="R48" s="5">
        <v>8.33</v>
      </c>
      <c r="S48" s="5">
        <f t="shared" si="9"/>
        <v>0.66999999999999993</v>
      </c>
      <c r="T48" s="5">
        <f t="shared" si="9"/>
        <v>0.66999999999999993</v>
      </c>
      <c r="U48" s="5">
        <f t="shared" si="7"/>
        <v>0.66999999999999993</v>
      </c>
      <c r="V48">
        <f t="shared" si="8"/>
        <v>0.53289999999999993</v>
      </c>
    </row>
    <row r="49" spans="3:22" x14ac:dyDescent="0.25">
      <c r="C49" s="5">
        <v>47</v>
      </c>
      <c r="D49" s="5" t="s">
        <v>19</v>
      </c>
      <c r="E49" s="2">
        <v>1571.08</v>
      </c>
      <c r="F49" s="2">
        <v>1575.14</v>
      </c>
      <c r="G49" s="5">
        <f t="shared" si="2"/>
        <v>39.901477832510615</v>
      </c>
      <c r="H49" s="5">
        <v>4.3899999999999997</v>
      </c>
      <c r="I49" s="5">
        <f t="shared" si="12"/>
        <v>5.83</v>
      </c>
      <c r="J49" s="5">
        <f t="shared" si="3"/>
        <v>5.1099999999999994</v>
      </c>
      <c r="K49">
        <f t="shared" si="4"/>
        <v>1.6899999999999984</v>
      </c>
      <c r="L49" s="5">
        <v>47</v>
      </c>
      <c r="M49" s="5" t="s">
        <v>19</v>
      </c>
      <c r="N49" s="5">
        <v>1648.48</v>
      </c>
      <c r="O49" s="5">
        <v>1653</v>
      </c>
      <c r="P49" s="5">
        <f t="shared" si="5"/>
        <v>35.840707964601911</v>
      </c>
      <c r="Q49" s="5">
        <v>6.98</v>
      </c>
      <c r="R49" s="5">
        <v>5.85</v>
      </c>
      <c r="S49" s="5">
        <f t="shared" si="9"/>
        <v>2.0199999999999996</v>
      </c>
      <c r="T49" s="5">
        <f t="shared" si="9"/>
        <v>3.1500000000000004</v>
      </c>
      <c r="U49" s="5">
        <f t="shared" si="7"/>
        <v>2.585</v>
      </c>
      <c r="V49">
        <f t="shared" si="8"/>
        <v>1.4042250000000001</v>
      </c>
    </row>
    <row r="50" spans="3:22" x14ac:dyDescent="0.25">
      <c r="C50" s="5">
        <v>48</v>
      </c>
      <c r="D50" s="5" t="s">
        <v>20</v>
      </c>
      <c r="E50" s="2">
        <v>1572</v>
      </c>
      <c r="F50" s="2">
        <v>1576.14</v>
      </c>
      <c r="G50" s="5">
        <f t="shared" si="2"/>
        <v>39.13043478260775</v>
      </c>
      <c r="H50" s="5">
        <v>3.46</v>
      </c>
      <c r="I50" s="5">
        <f t="shared" si="12"/>
        <v>3.46</v>
      </c>
      <c r="J50" s="5">
        <f t="shared" si="3"/>
        <v>3.46</v>
      </c>
      <c r="K50">
        <f t="shared" si="4"/>
        <v>0.12250000000000007</v>
      </c>
      <c r="L50" s="5">
        <v>48</v>
      </c>
      <c r="M50" s="5" t="s">
        <v>19</v>
      </c>
      <c r="N50" s="5">
        <v>1650.2</v>
      </c>
      <c r="O50" s="5">
        <v>1654.32</v>
      </c>
      <c r="P50" s="5">
        <f t="shared" si="5"/>
        <v>39.320388349515603</v>
      </c>
      <c r="Q50" s="5">
        <f t="shared" ref="Q50:Q89" si="14">IF(M50="Car", R50 + 1.44, IF(M50="Bus", R50+2.43,IF(M50="Auto", R50+1.4,IF(M50="TAT",R50+2.1,IF(M50="TAT", R50 + 2.35, R50)))))</f>
        <v>9</v>
      </c>
      <c r="R50" s="5">
        <v>7.56</v>
      </c>
      <c r="S50" s="5">
        <f t="shared" si="9"/>
        <v>0</v>
      </c>
      <c r="T50" s="5">
        <f t="shared" si="9"/>
        <v>1.4400000000000004</v>
      </c>
      <c r="U50" s="5">
        <f t="shared" si="7"/>
        <v>0.7200000000000002</v>
      </c>
      <c r="V50">
        <f t="shared" si="8"/>
        <v>0.46239999999999959</v>
      </c>
    </row>
    <row r="51" spans="3:22" x14ac:dyDescent="0.25">
      <c r="C51" s="5">
        <v>49</v>
      </c>
      <c r="D51" s="5" t="s">
        <v>19</v>
      </c>
      <c r="E51" s="2">
        <v>1572.24</v>
      </c>
      <c r="F51" s="2">
        <v>1576.6799999999998</v>
      </c>
      <c r="G51" s="5">
        <f t="shared" si="2"/>
        <v>36.486486486487905</v>
      </c>
      <c r="H51" s="5">
        <v>5.73</v>
      </c>
      <c r="I51" s="5">
        <f t="shared" si="12"/>
        <v>7.17</v>
      </c>
      <c r="J51" s="5">
        <f t="shared" si="3"/>
        <v>6.45</v>
      </c>
      <c r="K51">
        <f t="shared" si="4"/>
        <v>6.9696000000000007</v>
      </c>
      <c r="L51" s="5">
        <v>49</v>
      </c>
      <c r="M51" s="5" t="s">
        <v>20</v>
      </c>
      <c r="N51" s="5">
        <v>1660.36</v>
      </c>
      <c r="O51" s="5">
        <v>1664.8</v>
      </c>
      <c r="P51" s="5">
        <f t="shared" si="5"/>
        <v>36.486486486486037</v>
      </c>
      <c r="Q51" s="5">
        <f t="shared" si="14"/>
        <v>8.92</v>
      </c>
      <c r="R51" s="5">
        <v>8.92</v>
      </c>
      <c r="S51" s="5">
        <f t="shared" si="9"/>
        <v>8.0000000000000071E-2</v>
      </c>
      <c r="T51" s="5">
        <f t="shared" si="9"/>
        <v>8.0000000000000071E-2</v>
      </c>
      <c r="U51" s="5">
        <f t="shared" si="7"/>
        <v>8.0000000000000071E-2</v>
      </c>
      <c r="V51">
        <f t="shared" si="8"/>
        <v>1.7423999999999995</v>
      </c>
    </row>
    <row r="52" spans="3:22" x14ac:dyDescent="0.25">
      <c r="C52" s="5">
        <v>50</v>
      </c>
      <c r="D52" s="5" t="s">
        <v>19</v>
      </c>
      <c r="E52" s="2">
        <v>1574.48</v>
      </c>
      <c r="F52" s="2">
        <v>1578.47</v>
      </c>
      <c r="G52" s="5">
        <f t="shared" si="2"/>
        <v>40.601503759398405</v>
      </c>
      <c r="H52" s="5">
        <v>3.04</v>
      </c>
      <c r="I52" s="5">
        <f t="shared" si="12"/>
        <v>4.4800000000000004</v>
      </c>
      <c r="J52" s="5">
        <f t="shared" si="3"/>
        <v>3.7600000000000002</v>
      </c>
      <c r="K52">
        <f t="shared" si="4"/>
        <v>2.4999999999999823E-3</v>
      </c>
      <c r="L52" s="5">
        <v>50</v>
      </c>
      <c r="M52" s="5" t="s">
        <v>20</v>
      </c>
      <c r="N52" s="5">
        <v>1660.88</v>
      </c>
      <c r="O52" s="5">
        <v>1665.96</v>
      </c>
      <c r="P52" s="5">
        <f t="shared" si="5"/>
        <v>31.889763779528014</v>
      </c>
      <c r="Q52" s="5">
        <f t="shared" si="14"/>
        <v>6.56</v>
      </c>
      <c r="R52" s="5">
        <v>6.56</v>
      </c>
      <c r="S52" s="5">
        <f t="shared" si="9"/>
        <v>2.4400000000000004</v>
      </c>
      <c r="T52" s="5">
        <f t="shared" si="9"/>
        <v>2.4400000000000004</v>
      </c>
      <c r="U52" s="5">
        <f t="shared" si="7"/>
        <v>2.4400000000000004</v>
      </c>
      <c r="V52">
        <f t="shared" si="8"/>
        <v>1.081600000000001</v>
      </c>
    </row>
    <row r="53" spans="3:22" x14ac:dyDescent="0.25">
      <c r="C53" s="5">
        <v>51</v>
      </c>
      <c r="D53" s="5" t="s">
        <v>19</v>
      </c>
      <c r="E53" s="2">
        <v>1575.72</v>
      </c>
      <c r="F53" s="2">
        <v>1579.6699999999998</v>
      </c>
      <c r="G53" s="5">
        <f t="shared" si="2"/>
        <v>41.01265822784999</v>
      </c>
      <c r="H53" s="5">
        <v>4.0599999999999996</v>
      </c>
      <c r="I53" s="5">
        <f t="shared" si="12"/>
        <v>5.5</v>
      </c>
      <c r="J53" s="5">
        <f t="shared" si="3"/>
        <v>4.7799999999999994</v>
      </c>
      <c r="K53">
        <f t="shared" si="4"/>
        <v>0.94089999999999863</v>
      </c>
      <c r="L53" s="5">
        <v>51</v>
      </c>
      <c r="M53" s="5" t="s">
        <v>18</v>
      </c>
      <c r="N53" s="5">
        <v>1661.28</v>
      </c>
      <c r="O53" s="5">
        <v>1666.12</v>
      </c>
      <c r="P53" s="5">
        <f t="shared" si="5"/>
        <v>33.471074380165859</v>
      </c>
      <c r="Q53" s="5">
        <f t="shared" si="14"/>
        <v>8.56</v>
      </c>
      <c r="R53" s="5">
        <v>7.16</v>
      </c>
      <c r="S53" s="5">
        <f t="shared" si="9"/>
        <v>0.4399999999999995</v>
      </c>
      <c r="T53" s="5">
        <f t="shared" si="9"/>
        <v>1.8399999999999999</v>
      </c>
      <c r="U53" s="5">
        <f t="shared" si="7"/>
        <v>1.1399999999999997</v>
      </c>
      <c r="V53">
        <f t="shared" si="8"/>
        <v>6.7600000000000118E-2</v>
      </c>
    </row>
    <row r="54" spans="3:22" x14ac:dyDescent="0.25">
      <c r="C54" s="5">
        <v>52</v>
      </c>
      <c r="D54" s="5" t="s">
        <v>19</v>
      </c>
      <c r="E54" s="2">
        <v>1577.04</v>
      </c>
      <c r="F54" s="2">
        <v>1581.14</v>
      </c>
      <c r="G54" s="5">
        <f t="shared" si="2"/>
        <v>39.512195121949908</v>
      </c>
      <c r="H54" s="5">
        <v>4.26</v>
      </c>
      <c r="I54" s="5">
        <f t="shared" si="12"/>
        <v>5.6999999999999993</v>
      </c>
      <c r="J54" s="5">
        <f t="shared" si="3"/>
        <v>4.9799999999999995</v>
      </c>
      <c r="K54">
        <f t="shared" si="4"/>
        <v>1.3688999999999989</v>
      </c>
      <c r="L54" s="5">
        <v>52</v>
      </c>
      <c r="M54" s="5" t="s">
        <v>18</v>
      </c>
      <c r="N54" s="5">
        <v>1667.28</v>
      </c>
      <c r="O54" s="5">
        <v>1671.68</v>
      </c>
      <c r="P54" s="5">
        <f t="shared" si="5"/>
        <v>36.818181818181053</v>
      </c>
      <c r="Q54" s="5">
        <f t="shared" si="14"/>
        <v>8.64</v>
      </c>
      <c r="R54" s="5">
        <v>7.24</v>
      </c>
      <c r="S54" s="5">
        <f t="shared" si="9"/>
        <v>0.35999999999999943</v>
      </c>
      <c r="T54" s="5">
        <f t="shared" si="9"/>
        <v>1.7599999999999998</v>
      </c>
      <c r="U54" s="5">
        <f t="shared" si="7"/>
        <v>1.0599999999999996</v>
      </c>
      <c r="V54">
        <f t="shared" si="8"/>
        <v>0.1156000000000002</v>
      </c>
    </row>
    <row r="55" spans="3:22" x14ac:dyDescent="0.25">
      <c r="C55" s="5">
        <v>53</v>
      </c>
      <c r="D55" s="5" t="s">
        <v>20</v>
      </c>
      <c r="E55" s="2">
        <v>1578.56</v>
      </c>
      <c r="F55" s="2">
        <v>1582.97</v>
      </c>
      <c r="G55" s="5">
        <f t="shared" si="2"/>
        <v>36.734693877550342</v>
      </c>
      <c r="H55" s="5">
        <v>2.85</v>
      </c>
      <c r="I55" s="5">
        <f t="shared" si="12"/>
        <v>2.85</v>
      </c>
      <c r="J55" s="5">
        <f t="shared" si="3"/>
        <v>2.85</v>
      </c>
      <c r="K55">
        <f t="shared" si="4"/>
        <v>0.92159999999999997</v>
      </c>
      <c r="L55" s="5">
        <v>53</v>
      </c>
      <c r="M55" s="5" t="s">
        <v>19</v>
      </c>
      <c r="N55" s="5">
        <v>1680.84</v>
      </c>
      <c r="O55" s="5">
        <v>1684.4</v>
      </c>
      <c r="P55" s="5">
        <f t="shared" si="5"/>
        <v>45.50561797752588</v>
      </c>
      <c r="Q55" s="5">
        <f t="shared" si="14"/>
        <v>8.33</v>
      </c>
      <c r="R55" s="5">
        <v>6.89</v>
      </c>
      <c r="S55" s="5">
        <f t="shared" si="9"/>
        <v>0.66999999999999993</v>
      </c>
      <c r="T55" s="5">
        <f t="shared" si="9"/>
        <v>2.1100000000000003</v>
      </c>
      <c r="U55" s="5">
        <f t="shared" si="7"/>
        <v>1.3900000000000001</v>
      </c>
      <c r="V55">
        <f t="shared" si="8"/>
        <v>9.9999999999995736E-5</v>
      </c>
    </row>
    <row r="56" spans="3:22" x14ac:dyDescent="0.25">
      <c r="C56" s="5">
        <v>54</v>
      </c>
      <c r="D56" s="5" t="s">
        <v>19</v>
      </c>
      <c r="E56" s="2">
        <v>1578.64</v>
      </c>
      <c r="F56" s="2">
        <v>1582.58</v>
      </c>
      <c r="G56" s="5">
        <f t="shared" si="2"/>
        <v>41.116751269037337</v>
      </c>
      <c r="H56" s="5">
        <v>4.25</v>
      </c>
      <c r="I56" s="5">
        <f t="shared" si="12"/>
        <v>5.6899999999999995</v>
      </c>
      <c r="J56" s="5">
        <f t="shared" si="3"/>
        <v>4.97</v>
      </c>
      <c r="K56">
        <f t="shared" si="4"/>
        <v>1.3455999999999992</v>
      </c>
      <c r="L56" s="5">
        <v>54</v>
      </c>
      <c r="M56" s="5" t="s">
        <v>19</v>
      </c>
      <c r="N56" s="5">
        <v>1681.72</v>
      </c>
      <c r="O56" s="5">
        <v>1684.64</v>
      </c>
      <c r="P56" s="5">
        <f t="shared" si="5"/>
        <v>55.479452054793136</v>
      </c>
      <c r="Q56" s="5">
        <f t="shared" si="14"/>
        <v>8.42</v>
      </c>
      <c r="R56" s="5">
        <v>6.98</v>
      </c>
      <c r="S56" s="5">
        <f t="shared" si="9"/>
        <v>0.58000000000000007</v>
      </c>
      <c r="T56" s="5">
        <f t="shared" si="9"/>
        <v>2.0199999999999996</v>
      </c>
      <c r="U56" s="5">
        <f t="shared" si="7"/>
        <v>1.2999999999999998</v>
      </c>
      <c r="V56">
        <f t="shared" si="8"/>
        <v>1.0000000000000018E-2</v>
      </c>
    </row>
    <row r="57" spans="3:22" x14ac:dyDescent="0.25">
      <c r="C57" s="5">
        <v>55</v>
      </c>
      <c r="D57" s="5" t="s">
        <v>19</v>
      </c>
      <c r="E57" s="2">
        <v>1580.28</v>
      </c>
      <c r="F57" s="2">
        <v>1583.81</v>
      </c>
      <c r="G57" s="5">
        <f t="shared" si="2"/>
        <v>45.892351274787892</v>
      </c>
      <c r="H57" s="5">
        <v>4.41</v>
      </c>
      <c r="I57" s="5">
        <f t="shared" si="12"/>
        <v>5.85</v>
      </c>
      <c r="J57" s="5">
        <f t="shared" si="3"/>
        <v>5.13</v>
      </c>
      <c r="K57">
        <f t="shared" si="4"/>
        <v>1.7423999999999995</v>
      </c>
      <c r="L57" s="5">
        <v>55</v>
      </c>
      <c r="M57" s="5" t="s">
        <v>20</v>
      </c>
      <c r="N57" s="5">
        <v>1682.6</v>
      </c>
      <c r="O57" s="5">
        <v>1686.56</v>
      </c>
      <c r="P57" s="5">
        <f t="shared" si="5"/>
        <v>40.90909090909053</v>
      </c>
      <c r="Q57" s="5">
        <f t="shared" si="14"/>
        <v>7.3</v>
      </c>
      <c r="R57" s="5">
        <v>7.3</v>
      </c>
      <c r="S57" s="5">
        <f t="shared" si="9"/>
        <v>1.7000000000000002</v>
      </c>
      <c r="T57" s="5">
        <f t="shared" si="9"/>
        <v>1.7000000000000002</v>
      </c>
      <c r="U57" s="5">
        <f t="shared" si="7"/>
        <v>1.7000000000000002</v>
      </c>
      <c r="V57">
        <f t="shared" si="8"/>
        <v>9.0000000000000163E-2</v>
      </c>
    </row>
    <row r="58" spans="3:22" x14ac:dyDescent="0.25">
      <c r="C58" s="5">
        <v>56</v>
      </c>
      <c r="D58" s="5" t="s">
        <v>19</v>
      </c>
      <c r="E58" s="2">
        <v>1581</v>
      </c>
      <c r="F58" s="2">
        <v>1584.67</v>
      </c>
      <c r="G58" s="5">
        <f t="shared" si="2"/>
        <v>44.141689373296131</v>
      </c>
      <c r="H58" s="5">
        <v>3.1</v>
      </c>
      <c r="I58" s="5">
        <f t="shared" si="12"/>
        <v>4.54</v>
      </c>
      <c r="J58" s="5">
        <f t="shared" si="3"/>
        <v>3.8200000000000003</v>
      </c>
      <c r="K58">
        <f t="shared" si="4"/>
        <v>1.0000000000000461E-4</v>
      </c>
      <c r="L58" s="5">
        <v>56</v>
      </c>
      <c r="M58" s="5" t="s">
        <v>20</v>
      </c>
      <c r="N58" s="5">
        <v>1685.88</v>
      </c>
      <c r="O58" s="5">
        <v>1689.88</v>
      </c>
      <c r="P58" s="5">
        <f t="shared" si="5"/>
        <v>40.5</v>
      </c>
      <c r="Q58" s="5">
        <f t="shared" si="14"/>
        <v>8.66</v>
      </c>
      <c r="R58" s="5">
        <v>8.66</v>
      </c>
      <c r="S58" s="5">
        <f t="shared" si="9"/>
        <v>0.33999999999999986</v>
      </c>
      <c r="T58" s="5">
        <f t="shared" si="9"/>
        <v>0.33999999999999986</v>
      </c>
      <c r="U58" s="5">
        <f t="shared" si="7"/>
        <v>0.33999999999999986</v>
      </c>
      <c r="V58">
        <f t="shared" si="8"/>
        <v>1.1236000000000002</v>
      </c>
    </row>
    <row r="59" spans="3:22" x14ac:dyDescent="0.25">
      <c r="C59" s="5">
        <v>57</v>
      </c>
      <c r="D59" s="5" t="s">
        <v>20</v>
      </c>
      <c r="E59" s="2">
        <v>1583.28</v>
      </c>
      <c r="F59" s="2">
        <v>1587.74</v>
      </c>
      <c r="G59" s="5">
        <f t="shared" si="2"/>
        <v>36.322869955156655</v>
      </c>
      <c r="H59" s="5">
        <v>2.31</v>
      </c>
      <c r="I59" s="5">
        <f t="shared" si="12"/>
        <v>2.31</v>
      </c>
      <c r="J59" s="5">
        <f t="shared" si="3"/>
        <v>2.31</v>
      </c>
      <c r="K59">
        <f t="shared" si="4"/>
        <v>2.25</v>
      </c>
      <c r="L59" s="5">
        <v>57</v>
      </c>
      <c r="M59" s="5" t="s">
        <v>19</v>
      </c>
      <c r="N59" s="5">
        <v>1688.12</v>
      </c>
      <c r="O59" s="5">
        <v>1692.16</v>
      </c>
      <c r="P59" s="5">
        <f t="shared" si="5"/>
        <v>40.0990099009882</v>
      </c>
      <c r="Q59" s="5">
        <f t="shared" si="14"/>
        <v>8.1199999999999992</v>
      </c>
      <c r="R59" s="5">
        <v>6.68</v>
      </c>
      <c r="S59" s="5">
        <f t="shared" si="9"/>
        <v>0.88000000000000078</v>
      </c>
      <c r="T59" s="5">
        <f t="shared" si="9"/>
        <v>2.3200000000000003</v>
      </c>
      <c r="U59" s="5">
        <f t="shared" si="7"/>
        <v>1.6000000000000005</v>
      </c>
      <c r="V59">
        <f t="shared" si="8"/>
        <v>4.0000000000000251E-2</v>
      </c>
    </row>
    <row r="60" spans="3:22" x14ac:dyDescent="0.25">
      <c r="C60" s="5">
        <v>58</v>
      </c>
      <c r="D60" s="5" t="s">
        <v>19</v>
      </c>
      <c r="E60" s="2">
        <v>1584.72</v>
      </c>
      <c r="F60" s="2">
        <v>1587.8999999999999</v>
      </c>
      <c r="G60" s="5">
        <f t="shared" si="2"/>
        <v>50.943396226417718</v>
      </c>
      <c r="H60" s="5">
        <v>4.47</v>
      </c>
      <c r="I60" s="5">
        <f t="shared" si="12"/>
        <v>5.91</v>
      </c>
      <c r="J60" s="5">
        <f t="shared" si="3"/>
        <v>5.1899999999999995</v>
      </c>
      <c r="K60">
        <f t="shared" si="4"/>
        <v>1.9043999999999985</v>
      </c>
      <c r="L60" s="5">
        <v>58</v>
      </c>
      <c r="M60" s="5" t="s">
        <v>20</v>
      </c>
      <c r="N60" s="5">
        <v>1698.44</v>
      </c>
      <c r="O60" s="5">
        <v>1704</v>
      </c>
      <c r="P60" s="5">
        <f t="shared" si="5"/>
        <v>29.136690647482304</v>
      </c>
      <c r="Q60" s="5">
        <f t="shared" si="14"/>
        <v>8.84</v>
      </c>
      <c r="R60" s="5">
        <v>8.84</v>
      </c>
      <c r="S60" s="5">
        <f t="shared" si="9"/>
        <v>0.16000000000000014</v>
      </c>
      <c r="T60" s="5">
        <f t="shared" si="9"/>
        <v>0.16000000000000014</v>
      </c>
      <c r="U60" s="5">
        <f t="shared" si="7"/>
        <v>0.16000000000000014</v>
      </c>
      <c r="V60">
        <f t="shared" si="8"/>
        <v>1.5375999999999994</v>
      </c>
    </row>
    <row r="61" spans="3:22" x14ac:dyDescent="0.25">
      <c r="C61" s="5">
        <v>59</v>
      </c>
      <c r="D61" s="5" t="s">
        <v>20</v>
      </c>
      <c r="E61" s="2">
        <v>1585.64</v>
      </c>
      <c r="F61" s="2">
        <v>1589.8899999999999</v>
      </c>
      <c r="G61" s="5">
        <f t="shared" si="2"/>
        <v>38.117647058825568</v>
      </c>
      <c r="H61" s="5">
        <v>2.13</v>
      </c>
      <c r="I61" s="5">
        <f t="shared" si="12"/>
        <v>2.13</v>
      </c>
      <c r="J61" s="5">
        <f t="shared" si="3"/>
        <v>2.13</v>
      </c>
      <c r="K61">
        <f t="shared" si="4"/>
        <v>2.8224000000000005</v>
      </c>
      <c r="L61" s="5">
        <v>59</v>
      </c>
      <c r="M61" s="5" t="s">
        <v>21</v>
      </c>
      <c r="N61" s="5">
        <v>1699.4</v>
      </c>
      <c r="O61" s="5">
        <v>1703.28</v>
      </c>
      <c r="P61" s="5">
        <f t="shared" si="5"/>
        <v>41.752577319588902</v>
      </c>
      <c r="Q61" s="5">
        <f t="shared" si="14"/>
        <v>8.1199999999999992</v>
      </c>
      <c r="R61" s="5">
        <v>6.02</v>
      </c>
      <c r="S61" s="5">
        <f t="shared" si="9"/>
        <v>0.88000000000000078</v>
      </c>
      <c r="T61" s="5">
        <f t="shared" si="9"/>
        <v>2.9800000000000004</v>
      </c>
      <c r="U61" s="5">
        <f t="shared" si="7"/>
        <v>1.9300000000000006</v>
      </c>
      <c r="V61">
        <f t="shared" si="8"/>
        <v>0.28090000000000076</v>
      </c>
    </row>
    <row r="62" spans="3:22" x14ac:dyDescent="0.25">
      <c r="C62" s="5">
        <v>60</v>
      </c>
      <c r="D62" s="5" t="s">
        <v>24</v>
      </c>
      <c r="E62" s="2">
        <v>1585.26</v>
      </c>
      <c r="F62" s="2">
        <v>1593.76</v>
      </c>
      <c r="G62" s="5">
        <f t="shared" si="2"/>
        <v>19.058823529411764</v>
      </c>
      <c r="H62" s="5">
        <v>0.37</v>
      </c>
      <c r="I62" s="5">
        <f t="shared" si="12"/>
        <v>0.37</v>
      </c>
      <c r="J62" s="5">
        <f t="shared" si="3"/>
        <v>0.37</v>
      </c>
      <c r="K62">
        <f t="shared" si="4"/>
        <v>11.833599999999999</v>
      </c>
      <c r="L62" s="5">
        <v>60</v>
      </c>
      <c r="M62" s="5" t="s">
        <v>20</v>
      </c>
      <c r="N62" s="5">
        <v>1700.12</v>
      </c>
      <c r="O62" s="5">
        <v>1704.16</v>
      </c>
      <c r="P62" s="5">
        <f t="shared" si="5"/>
        <v>40.0990099009882</v>
      </c>
      <c r="Q62" s="5">
        <f t="shared" si="14"/>
        <v>7.3</v>
      </c>
      <c r="R62" s="5">
        <v>7.3</v>
      </c>
      <c r="S62" s="5">
        <f t="shared" si="9"/>
        <v>1.7000000000000002</v>
      </c>
      <c r="T62" s="5">
        <f t="shared" si="9"/>
        <v>1.7000000000000002</v>
      </c>
      <c r="U62" s="5">
        <f t="shared" si="7"/>
        <v>1.7000000000000002</v>
      </c>
      <c r="V62">
        <f t="shared" si="8"/>
        <v>9.0000000000000163E-2</v>
      </c>
    </row>
    <row r="63" spans="3:22" x14ac:dyDescent="0.25">
      <c r="C63" s="5">
        <v>61</v>
      </c>
      <c r="D63" s="5" t="s">
        <v>20</v>
      </c>
      <c r="E63" s="2">
        <v>1589.96</v>
      </c>
      <c r="F63" s="2">
        <v>1593.27</v>
      </c>
      <c r="G63" s="5">
        <f t="shared" si="2"/>
        <v>48.942598187311987</v>
      </c>
      <c r="H63" s="5">
        <v>4.6399999999999997</v>
      </c>
      <c r="I63" s="5">
        <f t="shared" si="12"/>
        <v>4.6399999999999997</v>
      </c>
      <c r="J63" s="5">
        <f t="shared" si="3"/>
        <v>4.6399999999999997</v>
      </c>
      <c r="K63">
        <f t="shared" si="4"/>
        <v>0.6888999999999994</v>
      </c>
      <c r="L63" s="5">
        <v>61</v>
      </c>
      <c r="M63" s="5" t="s">
        <v>19</v>
      </c>
      <c r="N63" s="5">
        <v>1702.68</v>
      </c>
      <c r="O63" s="5">
        <v>1706.88</v>
      </c>
      <c r="P63" s="5">
        <f t="shared" si="5"/>
        <v>38.571428571428157</v>
      </c>
      <c r="Q63" s="5">
        <f t="shared" si="14"/>
        <v>7.7099999999999991</v>
      </c>
      <c r="R63" s="5">
        <v>6.27</v>
      </c>
      <c r="S63" s="5">
        <f t="shared" si="9"/>
        <v>1.2900000000000009</v>
      </c>
      <c r="T63" s="5">
        <f t="shared" si="9"/>
        <v>2.7300000000000004</v>
      </c>
      <c r="U63" s="5">
        <f t="shared" si="7"/>
        <v>2.0100000000000007</v>
      </c>
      <c r="V63">
        <f t="shared" si="8"/>
        <v>0.37210000000000093</v>
      </c>
    </row>
    <row r="64" spans="3:22" x14ac:dyDescent="0.25">
      <c r="C64" s="5">
        <v>62</v>
      </c>
      <c r="D64" s="5" t="s">
        <v>20</v>
      </c>
      <c r="E64" s="2">
        <v>1590.6000000000001</v>
      </c>
      <c r="F64" s="2">
        <v>1593.82</v>
      </c>
      <c r="G64" s="5">
        <f t="shared" si="2"/>
        <v>50.310559006214312</v>
      </c>
      <c r="H64" s="5">
        <v>3.15</v>
      </c>
      <c r="I64" s="5">
        <f t="shared" si="12"/>
        <v>3.15</v>
      </c>
      <c r="J64" s="5">
        <f t="shared" si="3"/>
        <v>3.15</v>
      </c>
      <c r="K64">
        <f t="shared" si="4"/>
        <v>0.43560000000000021</v>
      </c>
      <c r="L64" s="5">
        <v>62</v>
      </c>
      <c r="M64" s="5" t="s">
        <v>20</v>
      </c>
      <c r="N64" s="5">
        <v>1706.56</v>
      </c>
      <c r="O64" s="5">
        <v>1715.04</v>
      </c>
      <c r="P64" s="5">
        <f t="shared" si="5"/>
        <v>19.103773584905618</v>
      </c>
      <c r="Q64" s="5">
        <f t="shared" si="14"/>
        <v>8.42</v>
      </c>
      <c r="R64" s="5">
        <v>8.42</v>
      </c>
      <c r="S64" s="5">
        <f t="shared" si="9"/>
        <v>0.58000000000000007</v>
      </c>
      <c r="T64" s="5">
        <f t="shared" si="9"/>
        <v>0.58000000000000007</v>
      </c>
      <c r="U64" s="5">
        <f t="shared" si="7"/>
        <v>0.58000000000000007</v>
      </c>
      <c r="V64">
        <f t="shared" si="8"/>
        <v>0.67239999999999978</v>
      </c>
    </row>
    <row r="65" spans="3:22" x14ac:dyDescent="0.25">
      <c r="C65" s="5">
        <v>63</v>
      </c>
      <c r="D65" s="5" t="s">
        <v>20</v>
      </c>
      <c r="E65" s="2">
        <v>1594.92</v>
      </c>
      <c r="F65" s="2">
        <v>1598.28</v>
      </c>
      <c r="G65" s="5">
        <f t="shared" si="2"/>
        <v>48.214285714287151</v>
      </c>
      <c r="H65" s="5">
        <v>3.46</v>
      </c>
      <c r="I65" s="5">
        <f t="shared" si="12"/>
        <v>3.46</v>
      </c>
      <c r="J65" s="5">
        <f t="shared" si="3"/>
        <v>3.46</v>
      </c>
      <c r="K65">
        <f t="shared" si="4"/>
        <v>0.12250000000000007</v>
      </c>
      <c r="L65" s="5">
        <v>63</v>
      </c>
      <c r="M65" s="5" t="s">
        <v>18</v>
      </c>
      <c r="N65" s="5">
        <v>1717.56</v>
      </c>
      <c r="O65" s="5">
        <v>1721.84</v>
      </c>
      <c r="P65" s="5">
        <f t="shared" si="5"/>
        <v>37.850467289719866</v>
      </c>
      <c r="Q65" s="5">
        <f t="shared" si="14"/>
        <v>8.91</v>
      </c>
      <c r="R65" s="5">
        <v>7.51</v>
      </c>
      <c r="S65" s="5">
        <f t="shared" si="9"/>
        <v>8.9999999999999858E-2</v>
      </c>
      <c r="T65" s="5">
        <f t="shared" si="9"/>
        <v>1.4900000000000002</v>
      </c>
      <c r="U65" s="5">
        <f t="shared" si="7"/>
        <v>0.79</v>
      </c>
      <c r="V65">
        <f t="shared" si="8"/>
        <v>0.37209999999999988</v>
      </c>
    </row>
    <row r="66" spans="3:22" x14ac:dyDescent="0.25">
      <c r="C66" s="5">
        <v>64</v>
      </c>
      <c r="D66" s="5" t="s">
        <v>20</v>
      </c>
      <c r="E66" s="2">
        <v>1595.64</v>
      </c>
      <c r="F66" s="2">
        <v>1598.74</v>
      </c>
      <c r="G66" s="5">
        <f t="shared" si="2"/>
        <v>52.258064516130567</v>
      </c>
      <c r="H66" s="5">
        <v>3.71</v>
      </c>
      <c r="I66" s="5">
        <f t="shared" si="12"/>
        <v>3.71</v>
      </c>
      <c r="J66" s="5">
        <f t="shared" si="3"/>
        <v>3.71</v>
      </c>
      <c r="K66">
        <f t="shared" si="4"/>
        <v>1.0000000000000018E-2</v>
      </c>
      <c r="L66" s="5">
        <v>64</v>
      </c>
      <c r="M66" s="5" t="s">
        <v>18</v>
      </c>
      <c r="N66" s="5">
        <v>1719.08</v>
      </c>
      <c r="O66" s="5">
        <v>1723.52</v>
      </c>
      <c r="P66" s="5">
        <f t="shared" si="5"/>
        <v>36.486486486486037</v>
      </c>
      <c r="Q66" s="5">
        <f t="shared" si="14"/>
        <v>8.7200000000000006</v>
      </c>
      <c r="R66" s="5">
        <v>7.32</v>
      </c>
      <c r="S66" s="5">
        <f t="shared" si="9"/>
        <v>0.27999999999999936</v>
      </c>
      <c r="T66" s="5">
        <f t="shared" si="9"/>
        <v>1.6799999999999997</v>
      </c>
      <c r="U66" s="5">
        <f t="shared" si="7"/>
        <v>0.97999999999999954</v>
      </c>
      <c r="V66">
        <f t="shared" si="8"/>
        <v>0.17640000000000031</v>
      </c>
    </row>
    <row r="67" spans="3:22" x14ac:dyDescent="0.25">
      <c r="C67" s="5">
        <v>65</v>
      </c>
      <c r="D67" s="5" t="s">
        <v>20</v>
      </c>
      <c r="E67" s="2">
        <v>1600.3600000000001</v>
      </c>
      <c r="F67" s="2">
        <v>1603.51</v>
      </c>
      <c r="G67" s="5">
        <f t="shared" si="2"/>
        <v>51.428571428573655</v>
      </c>
      <c r="H67" s="5">
        <v>2.67</v>
      </c>
      <c r="I67" s="5">
        <f t="shared" ref="I67:I98" si="15">IF(D67="Car",H67+1.44,IF(D67="Bus",H67+2.43,IF(D67="Auto",H67+1.4,IF(D67="TAT", H67+2.1, IF(D67="TAT", H67+2.35,H67)))))</f>
        <v>2.67</v>
      </c>
      <c r="J67" s="5">
        <f t="shared" si="3"/>
        <v>2.67</v>
      </c>
      <c r="K67">
        <f t="shared" si="4"/>
        <v>1.2996000000000003</v>
      </c>
      <c r="L67" s="5">
        <v>65</v>
      </c>
      <c r="M67" s="5" t="s">
        <v>19</v>
      </c>
      <c r="N67" s="5">
        <v>1719.64</v>
      </c>
      <c r="O67" s="5">
        <v>1724.4</v>
      </c>
      <c r="P67" s="5">
        <f t="shared" si="5"/>
        <v>34.033613445378215</v>
      </c>
      <c r="Q67" s="5">
        <f t="shared" si="14"/>
        <v>8.02</v>
      </c>
      <c r="R67" s="5">
        <v>6.58</v>
      </c>
      <c r="S67" s="5">
        <f t="shared" si="9"/>
        <v>0.98000000000000043</v>
      </c>
      <c r="T67" s="5">
        <f t="shared" si="9"/>
        <v>2.42</v>
      </c>
      <c r="U67" s="5">
        <f t="shared" si="7"/>
        <v>1.7000000000000002</v>
      </c>
      <c r="V67">
        <f t="shared" si="8"/>
        <v>9.0000000000000163E-2</v>
      </c>
    </row>
    <row r="68" spans="3:22" x14ac:dyDescent="0.25">
      <c r="C68" s="5">
        <v>66</v>
      </c>
      <c r="D68" s="5" t="s">
        <v>18</v>
      </c>
      <c r="E68" s="2">
        <v>1600.96</v>
      </c>
      <c r="F68" s="2">
        <v>1604.8799999999999</v>
      </c>
      <c r="G68" s="5">
        <f t="shared" ref="G68:G131" si="16">$A$3/(F68-E68)*3.6</f>
        <v>41.326530612246529</v>
      </c>
      <c r="H68" s="5">
        <v>2.61</v>
      </c>
      <c r="I68" s="5">
        <f t="shared" si="15"/>
        <v>4.01</v>
      </c>
      <c r="J68" s="5">
        <f t="shared" ref="J68:J178" si="17">(H68+I68)/2</f>
        <v>3.3099999999999996</v>
      </c>
      <c r="K68">
        <f t="shared" ref="K68:K131" si="18">(J68-3.81)^2</f>
        <v>0.25000000000000044</v>
      </c>
      <c r="L68" s="5">
        <v>66</v>
      </c>
      <c r="M68" s="5" t="s">
        <v>20</v>
      </c>
      <c r="N68" s="5">
        <v>1738.92</v>
      </c>
      <c r="O68" s="5">
        <v>1742.96</v>
      </c>
      <c r="P68" s="5">
        <f t="shared" ref="P68:P89" si="19">$A$3/(O68-N68)*3.6</f>
        <v>40.09900990099046</v>
      </c>
      <c r="Q68" s="5">
        <f t="shared" si="14"/>
        <v>7.91</v>
      </c>
      <c r="R68" s="5">
        <v>7.91</v>
      </c>
      <c r="S68" s="5">
        <f t="shared" si="9"/>
        <v>1.0899999999999999</v>
      </c>
      <c r="T68" s="5">
        <f t="shared" si="9"/>
        <v>1.0899999999999999</v>
      </c>
      <c r="U68" s="5">
        <f t="shared" ref="U68:U89" si="20">(S68+T68)/2</f>
        <v>1.0899999999999999</v>
      </c>
      <c r="V68">
        <f t="shared" ref="V68:V89" si="21">(U68-1.4)^2</f>
        <v>9.6100000000000033E-2</v>
      </c>
    </row>
    <row r="69" spans="3:22" x14ac:dyDescent="0.25">
      <c r="C69" s="5">
        <v>67</v>
      </c>
      <c r="D69" s="5" t="s">
        <v>20</v>
      </c>
      <c r="E69" s="2">
        <v>1601.96</v>
      </c>
      <c r="F69" s="2">
        <v>1605.78</v>
      </c>
      <c r="G69" s="5">
        <f t="shared" si="16"/>
        <v>42.408376963351493</v>
      </c>
      <c r="H69" s="5">
        <v>1.83</v>
      </c>
      <c r="I69" s="5">
        <f t="shared" si="15"/>
        <v>1.83</v>
      </c>
      <c r="J69" s="5">
        <f t="shared" si="17"/>
        <v>1.83</v>
      </c>
      <c r="K69">
        <f t="shared" si="18"/>
        <v>3.9203999999999999</v>
      </c>
      <c r="L69" s="5">
        <v>67</v>
      </c>
      <c r="M69" s="5" t="s">
        <v>21</v>
      </c>
      <c r="N69" s="5">
        <v>1746.68</v>
      </c>
      <c r="O69" s="5">
        <v>1750.96</v>
      </c>
      <c r="P69" s="5">
        <f t="shared" si="19"/>
        <v>37.850467289719866</v>
      </c>
      <c r="Q69" s="5">
        <f t="shared" si="14"/>
        <v>8.65</v>
      </c>
      <c r="R69" s="5">
        <v>6.55</v>
      </c>
      <c r="S69" s="5">
        <f t="shared" si="9"/>
        <v>0.34999999999999964</v>
      </c>
      <c r="T69" s="5">
        <f t="shared" si="9"/>
        <v>2.4500000000000002</v>
      </c>
      <c r="U69" s="5">
        <f t="shared" si="20"/>
        <v>1.4</v>
      </c>
      <c r="V69">
        <f t="shared" si="21"/>
        <v>0</v>
      </c>
    </row>
    <row r="70" spans="3:22" x14ac:dyDescent="0.25">
      <c r="C70" s="5">
        <v>68</v>
      </c>
      <c r="D70" s="5" t="s">
        <v>19</v>
      </c>
      <c r="E70" s="2">
        <v>1602.44</v>
      </c>
      <c r="F70" s="2">
        <v>1606.3700000000001</v>
      </c>
      <c r="G70" s="5">
        <f t="shared" si="16"/>
        <v>41.221374045800864</v>
      </c>
      <c r="H70" s="5">
        <v>2.4</v>
      </c>
      <c r="I70" s="5">
        <f t="shared" si="15"/>
        <v>3.84</v>
      </c>
      <c r="J70" s="5">
        <f t="shared" si="17"/>
        <v>3.12</v>
      </c>
      <c r="K70">
        <f t="shared" si="18"/>
        <v>0.47609999999999991</v>
      </c>
      <c r="L70" s="5">
        <v>68</v>
      </c>
      <c r="M70" s="5" t="s">
        <v>20</v>
      </c>
      <c r="N70" s="5">
        <v>1747.6</v>
      </c>
      <c r="O70" s="5">
        <v>1751.88</v>
      </c>
      <c r="P70" s="5">
        <f t="shared" si="19"/>
        <v>37.850467289717862</v>
      </c>
      <c r="Q70" s="5">
        <f t="shared" si="14"/>
        <v>5.73</v>
      </c>
      <c r="R70" s="5">
        <v>5.73</v>
      </c>
      <c r="S70" s="5">
        <f t="shared" si="9"/>
        <v>3.2699999999999996</v>
      </c>
      <c r="T70" s="5">
        <f t="shared" si="9"/>
        <v>3.2699999999999996</v>
      </c>
      <c r="U70" s="5">
        <f t="shared" si="20"/>
        <v>3.2699999999999996</v>
      </c>
      <c r="V70">
        <f t="shared" si="21"/>
        <v>3.4968999999999988</v>
      </c>
    </row>
    <row r="71" spans="3:22" x14ac:dyDescent="0.25">
      <c r="C71" s="5">
        <v>69</v>
      </c>
      <c r="D71" s="5" t="s">
        <v>20</v>
      </c>
      <c r="E71" s="2">
        <v>1602.56</v>
      </c>
      <c r="F71" s="2">
        <v>1606.75</v>
      </c>
      <c r="G71" s="5">
        <f t="shared" si="16"/>
        <v>38.663484486873003</v>
      </c>
      <c r="H71" s="5">
        <v>1.1599999999999999</v>
      </c>
      <c r="I71" s="5">
        <f t="shared" si="15"/>
        <v>1.1599999999999999</v>
      </c>
      <c r="J71" s="5">
        <f t="shared" si="17"/>
        <v>1.1599999999999999</v>
      </c>
      <c r="K71">
        <f t="shared" si="18"/>
        <v>7.0225000000000017</v>
      </c>
      <c r="L71" s="5">
        <v>69</v>
      </c>
      <c r="M71" s="5" t="s">
        <v>20</v>
      </c>
      <c r="N71" s="5">
        <v>1748.28</v>
      </c>
      <c r="O71" s="5">
        <v>1752.76</v>
      </c>
      <c r="P71" s="5">
        <f t="shared" si="19"/>
        <v>36.160714285714143</v>
      </c>
      <c r="Q71" s="5">
        <f t="shared" si="14"/>
        <v>6.89</v>
      </c>
      <c r="R71" s="5">
        <v>6.89</v>
      </c>
      <c r="S71" s="5">
        <f t="shared" si="9"/>
        <v>2.1100000000000003</v>
      </c>
      <c r="T71" s="5">
        <f t="shared" si="9"/>
        <v>2.1100000000000003</v>
      </c>
      <c r="U71" s="5">
        <f t="shared" si="20"/>
        <v>2.1100000000000003</v>
      </c>
      <c r="V71">
        <f t="shared" si="21"/>
        <v>0.50410000000000055</v>
      </c>
    </row>
    <row r="72" spans="3:22" x14ac:dyDescent="0.25">
      <c r="C72" s="5">
        <v>70</v>
      </c>
      <c r="D72" s="5" t="s">
        <v>20</v>
      </c>
      <c r="E72" s="2">
        <v>1603.04</v>
      </c>
      <c r="F72" s="2">
        <v>1607.33</v>
      </c>
      <c r="G72" s="5">
        <f t="shared" si="16"/>
        <v>37.762237762238087</v>
      </c>
      <c r="H72" s="5">
        <v>3.02</v>
      </c>
      <c r="I72" s="5">
        <f t="shared" si="15"/>
        <v>3.02</v>
      </c>
      <c r="J72" s="5">
        <f t="shared" si="17"/>
        <v>3.02</v>
      </c>
      <c r="K72">
        <f t="shared" si="18"/>
        <v>0.6241000000000001</v>
      </c>
      <c r="L72" s="5">
        <v>70</v>
      </c>
      <c r="M72" s="5" t="s">
        <v>20</v>
      </c>
      <c r="N72" s="5">
        <v>1749</v>
      </c>
      <c r="O72" s="5">
        <v>1753.4</v>
      </c>
      <c r="P72" s="5">
        <f t="shared" si="19"/>
        <v>36.818181818181053</v>
      </c>
      <c r="Q72" s="5">
        <f t="shared" si="14"/>
        <v>6.22</v>
      </c>
      <c r="R72" s="5">
        <v>6.22</v>
      </c>
      <c r="S72" s="5">
        <f t="shared" si="9"/>
        <v>2.7800000000000002</v>
      </c>
      <c r="T72" s="5">
        <f t="shared" si="9"/>
        <v>2.7800000000000002</v>
      </c>
      <c r="U72" s="5">
        <f t="shared" si="20"/>
        <v>2.7800000000000002</v>
      </c>
      <c r="V72">
        <f t="shared" si="21"/>
        <v>1.904400000000001</v>
      </c>
    </row>
    <row r="73" spans="3:22" x14ac:dyDescent="0.25">
      <c r="C73" s="5">
        <v>71</v>
      </c>
      <c r="D73" s="5" t="s">
        <v>24</v>
      </c>
      <c r="E73" s="2">
        <v>1605.96</v>
      </c>
      <c r="F73" s="2">
        <v>1615.44</v>
      </c>
      <c r="G73" s="5">
        <f t="shared" si="16"/>
        <v>17.088607594936676</v>
      </c>
      <c r="H73" s="5">
        <v>0.96</v>
      </c>
      <c r="I73" s="5">
        <f t="shared" si="15"/>
        <v>0.96</v>
      </c>
      <c r="J73" s="5">
        <f t="shared" si="17"/>
        <v>0.96</v>
      </c>
      <c r="K73">
        <f t="shared" si="18"/>
        <v>8.1225000000000005</v>
      </c>
      <c r="L73" s="5">
        <v>71</v>
      </c>
      <c r="M73" s="5" t="s">
        <v>20</v>
      </c>
      <c r="N73" s="5">
        <v>1749.24</v>
      </c>
      <c r="O73" s="5">
        <v>1754.28</v>
      </c>
      <c r="P73" s="5">
        <f t="shared" si="19"/>
        <v>32.142857142857373</v>
      </c>
      <c r="Q73" s="5">
        <f t="shared" si="14"/>
        <v>7.41</v>
      </c>
      <c r="R73" s="5">
        <v>7.41</v>
      </c>
      <c r="S73" s="5">
        <f t="shared" si="9"/>
        <v>1.5899999999999999</v>
      </c>
      <c r="T73" s="5">
        <f t="shared" si="9"/>
        <v>1.5899999999999999</v>
      </c>
      <c r="U73" s="5">
        <f t="shared" si="20"/>
        <v>1.5899999999999999</v>
      </c>
      <c r="V73">
        <f t="shared" si="21"/>
        <v>3.6099999999999979E-2</v>
      </c>
    </row>
    <row r="74" spans="3:22" x14ac:dyDescent="0.25">
      <c r="C74" s="5">
        <v>72</v>
      </c>
      <c r="D74" s="5" t="s">
        <v>20</v>
      </c>
      <c r="E74" s="2">
        <v>1609.28</v>
      </c>
      <c r="F74" s="2">
        <v>1613.0600000000002</v>
      </c>
      <c r="G74" s="5">
        <f t="shared" si="16"/>
        <v>42.857142857140587</v>
      </c>
      <c r="H74" s="5">
        <v>2.83</v>
      </c>
      <c r="I74" s="5">
        <f t="shared" si="15"/>
        <v>2.83</v>
      </c>
      <c r="J74" s="5">
        <f t="shared" si="17"/>
        <v>2.83</v>
      </c>
      <c r="K74">
        <f t="shared" si="18"/>
        <v>0.96039999999999992</v>
      </c>
      <c r="L74" s="5">
        <v>72</v>
      </c>
      <c r="M74" s="5" t="s">
        <v>19</v>
      </c>
      <c r="N74" s="5">
        <v>1750.84</v>
      </c>
      <c r="O74" s="5">
        <v>1755.92</v>
      </c>
      <c r="P74" s="5">
        <f t="shared" si="19"/>
        <v>31.889763779526589</v>
      </c>
      <c r="Q74" s="5">
        <f t="shared" si="14"/>
        <v>7.6899999999999995</v>
      </c>
      <c r="R74" s="5">
        <v>6.25</v>
      </c>
      <c r="S74" s="5">
        <f>$A$5-Q74</f>
        <v>1.3100000000000005</v>
      </c>
      <c r="T74" s="5">
        <f t="shared" si="9"/>
        <v>2.75</v>
      </c>
      <c r="U74" s="5">
        <f>(S74+T74)/2</f>
        <v>2.0300000000000002</v>
      </c>
      <c r="V74">
        <f t="shared" si="21"/>
        <v>0.39690000000000042</v>
      </c>
    </row>
    <row r="75" spans="3:22" x14ac:dyDescent="0.25">
      <c r="C75" s="5">
        <v>73</v>
      </c>
      <c r="D75" s="5" t="s">
        <v>27</v>
      </c>
      <c r="E75" s="2">
        <v>1611.28</v>
      </c>
      <c r="F75" s="2">
        <v>1614.85</v>
      </c>
      <c r="G75" s="5">
        <f t="shared" si="16"/>
        <v>45.378151260505014</v>
      </c>
      <c r="H75" s="5">
        <v>3.59</v>
      </c>
      <c r="I75" s="5">
        <f t="shared" si="15"/>
        <v>3.59</v>
      </c>
      <c r="J75" s="5">
        <f t="shared" si="17"/>
        <v>3.59</v>
      </c>
      <c r="K75">
        <f t="shared" si="18"/>
        <v>4.8400000000000089E-2</v>
      </c>
      <c r="L75" s="5">
        <v>73</v>
      </c>
      <c r="M75" s="5" t="s">
        <v>20</v>
      </c>
      <c r="N75" s="5">
        <v>1753.32</v>
      </c>
      <c r="O75" s="5">
        <v>1757.36</v>
      </c>
      <c r="P75" s="5">
        <f t="shared" si="19"/>
        <v>40.09900990099046</v>
      </c>
      <c r="Q75" s="5">
        <f t="shared" si="14"/>
        <v>6.46</v>
      </c>
      <c r="R75" s="5">
        <v>6.46</v>
      </c>
      <c r="S75" s="5">
        <f>$A$5-Q75</f>
        <v>2.54</v>
      </c>
      <c r="T75" s="5">
        <f t="shared" si="9"/>
        <v>2.54</v>
      </c>
      <c r="U75" s="5">
        <f>(S75+T75)/2</f>
        <v>2.54</v>
      </c>
      <c r="V75">
        <f t="shared" si="21"/>
        <v>1.2996000000000003</v>
      </c>
    </row>
    <row r="76" spans="3:22" x14ac:dyDescent="0.25">
      <c r="C76" s="5">
        <v>74</v>
      </c>
      <c r="D76" s="5" t="s">
        <v>19</v>
      </c>
      <c r="E76" s="2">
        <v>1611.8</v>
      </c>
      <c r="F76" s="2">
        <v>1615.29</v>
      </c>
      <c r="G76" s="5">
        <f t="shared" si="16"/>
        <v>46.418338108882402</v>
      </c>
      <c r="H76" s="5">
        <v>3.19</v>
      </c>
      <c r="I76" s="5">
        <f t="shared" si="15"/>
        <v>4.63</v>
      </c>
      <c r="J76" s="5">
        <f t="shared" si="17"/>
        <v>3.91</v>
      </c>
      <c r="K76">
        <f t="shared" si="18"/>
        <v>1.0000000000000018E-2</v>
      </c>
      <c r="L76" s="5">
        <v>74</v>
      </c>
      <c r="M76" s="5" t="s">
        <v>18</v>
      </c>
      <c r="N76" s="5">
        <v>1754.64</v>
      </c>
      <c r="O76" s="5">
        <v>1758.92</v>
      </c>
      <c r="P76" s="5">
        <f t="shared" si="19"/>
        <v>37.850467289719866</v>
      </c>
      <c r="Q76" s="5">
        <f t="shared" si="14"/>
        <v>8.07</v>
      </c>
      <c r="R76" s="5">
        <v>6.67</v>
      </c>
      <c r="S76" s="5">
        <f t="shared" si="9"/>
        <v>0.92999999999999972</v>
      </c>
      <c r="T76" s="5">
        <f t="shared" si="9"/>
        <v>2.33</v>
      </c>
      <c r="U76" s="5">
        <f t="shared" si="20"/>
        <v>1.63</v>
      </c>
      <c r="V76">
        <f t="shared" si="21"/>
        <v>5.2899999999999989E-2</v>
      </c>
    </row>
    <row r="77" spans="3:22" x14ac:dyDescent="0.25">
      <c r="C77" s="5">
        <v>75</v>
      </c>
      <c r="D77" s="5" t="s">
        <v>19</v>
      </c>
      <c r="E77" s="2">
        <v>1613.72</v>
      </c>
      <c r="F77" s="2">
        <v>1617.19</v>
      </c>
      <c r="G77" s="5">
        <f t="shared" si="16"/>
        <v>46.685878962535654</v>
      </c>
      <c r="H77" s="5">
        <v>3.46</v>
      </c>
      <c r="I77" s="5">
        <f t="shared" si="15"/>
        <v>4.9000000000000004</v>
      </c>
      <c r="J77" s="5">
        <f t="shared" si="17"/>
        <v>4.18</v>
      </c>
      <c r="K77">
        <f t="shared" si="18"/>
        <v>0.13689999999999974</v>
      </c>
      <c r="L77" s="5">
        <v>75</v>
      </c>
      <c r="M77" s="5" t="s">
        <v>19</v>
      </c>
      <c r="N77" s="5">
        <v>1755.56</v>
      </c>
      <c r="O77" s="5">
        <v>1760.36</v>
      </c>
      <c r="P77" s="5">
        <f t="shared" si="19"/>
        <v>33.75000000000032</v>
      </c>
      <c r="Q77" s="5">
        <f t="shared" si="14"/>
        <v>6.84</v>
      </c>
      <c r="R77" s="5">
        <v>5.4</v>
      </c>
      <c r="S77" s="5">
        <f t="shared" si="9"/>
        <v>2.16</v>
      </c>
      <c r="T77" s="5">
        <f t="shared" si="9"/>
        <v>3.5999999999999996</v>
      </c>
      <c r="U77" s="5">
        <f t="shared" si="20"/>
        <v>2.88</v>
      </c>
      <c r="V77">
        <f t="shared" si="21"/>
        <v>2.1903999999999999</v>
      </c>
    </row>
    <row r="78" spans="3:22" x14ac:dyDescent="0.25">
      <c r="C78" s="5">
        <v>76</v>
      </c>
      <c r="D78" s="5" t="s">
        <v>19</v>
      </c>
      <c r="E78" s="2">
        <v>1614.1200000000001</v>
      </c>
      <c r="F78" s="2">
        <v>1617.79</v>
      </c>
      <c r="G78" s="5">
        <f t="shared" si="16"/>
        <v>44.141689373298867</v>
      </c>
      <c r="H78" s="5">
        <v>3.35</v>
      </c>
      <c r="I78" s="5">
        <f t="shared" si="15"/>
        <v>4.79</v>
      </c>
      <c r="J78" s="5">
        <f t="shared" si="17"/>
        <v>4.07</v>
      </c>
      <c r="K78">
        <f t="shared" si="18"/>
        <v>6.7600000000000118E-2</v>
      </c>
      <c r="L78" s="5">
        <v>76</v>
      </c>
      <c r="M78" s="5" t="s">
        <v>19</v>
      </c>
      <c r="N78" s="5">
        <v>1756.68</v>
      </c>
      <c r="O78" s="5">
        <v>1761.6</v>
      </c>
      <c r="P78" s="5">
        <f t="shared" si="19"/>
        <v>32.926829268293723</v>
      </c>
      <c r="Q78" s="5">
        <f t="shared" si="14"/>
        <v>8.07</v>
      </c>
      <c r="R78" s="5">
        <v>6.63</v>
      </c>
      <c r="S78" s="5">
        <f t="shared" si="9"/>
        <v>0.92999999999999972</v>
      </c>
      <c r="T78" s="5">
        <f t="shared" si="9"/>
        <v>2.37</v>
      </c>
      <c r="U78" s="5">
        <f t="shared" si="20"/>
        <v>1.65</v>
      </c>
      <c r="V78">
        <f t="shared" si="21"/>
        <v>6.25E-2</v>
      </c>
    </row>
    <row r="79" spans="3:22" x14ac:dyDescent="0.25">
      <c r="C79" s="5">
        <v>77</v>
      </c>
      <c r="D79" s="5" t="s">
        <v>20</v>
      </c>
      <c r="E79" s="2">
        <v>1615.64</v>
      </c>
      <c r="F79" s="2">
        <v>1619.34</v>
      </c>
      <c r="G79" s="5">
        <f t="shared" si="16"/>
        <v>43.783783783785935</v>
      </c>
      <c r="H79" s="5">
        <v>3.17</v>
      </c>
      <c r="I79" s="5">
        <f t="shared" si="15"/>
        <v>3.17</v>
      </c>
      <c r="J79" s="5">
        <f t="shared" si="17"/>
        <v>3.17</v>
      </c>
      <c r="K79">
        <f t="shared" si="18"/>
        <v>0.40960000000000019</v>
      </c>
      <c r="L79" s="5">
        <v>77</v>
      </c>
      <c r="M79" s="5" t="s">
        <v>19</v>
      </c>
      <c r="N79" s="5">
        <v>1758.08</v>
      </c>
      <c r="O79" s="5">
        <v>1762.68</v>
      </c>
      <c r="P79" s="5">
        <f t="shared" si="19"/>
        <v>35.217391304346783</v>
      </c>
      <c r="Q79" s="5">
        <f t="shared" si="14"/>
        <v>7.09</v>
      </c>
      <c r="R79" s="5">
        <v>5.65</v>
      </c>
      <c r="S79" s="5">
        <f t="shared" si="9"/>
        <v>1.9100000000000001</v>
      </c>
      <c r="T79" s="5">
        <f t="shared" si="9"/>
        <v>3.3499999999999996</v>
      </c>
      <c r="U79" s="5">
        <f t="shared" si="20"/>
        <v>2.63</v>
      </c>
      <c r="V79">
        <f t="shared" si="21"/>
        <v>1.5128999999999999</v>
      </c>
    </row>
    <row r="80" spans="3:22" x14ac:dyDescent="0.25">
      <c r="C80" s="5">
        <v>78</v>
      </c>
      <c r="D80" s="5" t="s">
        <v>19</v>
      </c>
      <c r="E80" s="2">
        <v>1615.92</v>
      </c>
      <c r="F80" s="2">
        <v>1619.6499999999999</v>
      </c>
      <c r="G80" s="5">
        <f t="shared" si="16"/>
        <v>43.431635388742386</v>
      </c>
      <c r="H80" s="5">
        <v>4.26</v>
      </c>
      <c r="I80" s="5">
        <f t="shared" si="15"/>
        <v>5.6999999999999993</v>
      </c>
      <c r="J80" s="5">
        <f t="shared" si="17"/>
        <v>4.9799999999999995</v>
      </c>
      <c r="K80">
        <f t="shared" si="18"/>
        <v>1.3688999999999989</v>
      </c>
      <c r="L80" s="5">
        <v>78</v>
      </c>
      <c r="M80" s="5" t="s">
        <v>19</v>
      </c>
      <c r="N80" s="5">
        <v>1759.4</v>
      </c>
      <c r="O80" s="5">
        <v>1764.8</v>
      </c>
      <c r="P80" s="5">
        <f t="shared" si="19"/>
        <v>30.000000000000757</v>
      </c>
      <c r="Q80" s="5">
        <f t="shared" si="14"/>
        <v>7.58</v>
      </c>
      <c r="R80" s="5">
        <v>6.14</v>
      </c>
      <c r="S80" s="5">
        <f t="shared" si="9"/>
        <v>1.42</v>
      </c>
      <c r="T80" s="5">
        <f t="shared" si="9"/>
        <v>2.8600000000000003</v>
      </c>
      <c r="U80" s="5">
        <f t="shared" si="20"/>
        <v>2.14</v>
      </c>
      <c r="V80">
        <f t="shared" si="21"/>
        <v>0.54760000000000031</v>
      </c>
    </row>
    <row r="81" spans="3:22" x14ac:dyDescent="0.25">
      <c r="C81" s="5">
        <v>79</v>
      </c>
      <c r="D81" s="5" t="s">
        <v>19</v>
      </c>
      <c r="E81" s="2">
        <v>1617.04</v>
      </c>
      <c r="F81" s="2">
        <v>1620.54</v>
      </c>
      <c r="G81" s="5">
        <f t="shared" si="16"/>
        <v>46.285714285714292</v>
      </c>
      <c r="H81" s="5">
        <v>4.13</v>
      </c>
      <c r="I81" s="5">
        <f t="shared" si="15"/>
        <v>5.57</v>
      </c>
      <c r="J81" s="5">
        <f t="shared" si="17"/>
        <v>4.8499999999999996</v>
      </c>
      <c r="K81">
        <f t="shared" si="18"/>
        <v>1.0815999999999992</v>
      </c>
      <c r="L81" s="5">
        <v>79</v>
      </c>
      <c r="M81" s="5" t="s">
        <v>19</v>
      </c>
      <c r="N81" s="5">
        <v>1761.52</v>
      </c>
      <c r="O81" s="5">
        <v>1766.04</v>
      </c>
      <c r="P81" s="5">
        <f t="shared" si="19"/>
        <v>35.840707964601911</v>
      </c>
      <c r="Q81" s="5">
        <f t="shared" si="14"/>
        <v>7.9599999999999991</v>
      </c>
      <c r="R81" s="5">
        <v>6.52</v>
      </c>
      <c r="S81" s="5">
        <f t="shared" si="9"/>
        <v>1.0400000000000009</v>
      </c>
      <c r="T81" s="5">
        <f t="shared" si="9"/>
        <v>2.4800000000000004</v>
      </c>
      <c r="U81" s="5">
        <f t="shared" si="20"/>
        <v>1.7600000000000007</v>
      </c>
      <c r="V81">
        <f t="shared" si="21"/>
        <v>0.12960000000000055</v>
      </c>
    </row>
    <row r="82" spans="3:22" x14ac:dyDescent="0.25">
      <c r="C82" s="5">
        <v>80</v>
      </c>
      <c r="D82" s="5" t="s">
        <v>19</v>
      </c>
      <c r="E82" s="2">
        <v>1619.8400000000001</v>
      </c>
      <c r="F82" s="2">
        <v>1623.02</v>
      </c>
      <c r="G82" s="5">
        <f t="shared" si="16"/>
        <v>50.943396226417718</v>
      </c>
      <c r="H82" s="5">
        <v>3.09</v>
      </c>
      <c r="I82" s="5">
        <f t="shared" si="15"/>
        <v>4.5299999999999994</v>
      </c>
      <c r="J82" s="5">
        <f t="shared" si="17"/>
        <v>3.8099999999999996</v>
      </c>
      <c r="K82">
        <f t="shared" si="18"/>
        <v>1.9721522630525295E-31</v>
      </c>
      <c r="L82" s="5">
        <v>80</v>
      </c>
      <c r="M82" s="5" t="s">
        <v>20</v>
      </c>
      <c r="N82" s="5">
        <v>1769.04</v>
      </c>
      <c r="O82" s="5">
        <v>1773.96</v>
      </c>
      <c r="P82" s="5">
        <f t="shared" si="19"/>
        <v>32.926829268292195</v>
      </c>
      <c r="Q82" s="5">
        <f t="shared" si="14"/>
        <v>7.87</v>
      </c>
      <c r="R82" s="5">
        <v>7.87</v>
      </c>
      <c r="S82" s="5">
        <f t="shared" si="9"/>
        <v>1.1299999999999999</v>
      </c>
      <c r="T82" s="5">
        <f t="shared" si="9"/>
        <v>1.1299999999999999</v>
      </c>
      <c r="U82" s="5">
        <f t="shared" si="20"/>
        <v>1.1299999999999999</v>
      </c>
      <c r="V82">
        <f t="shared" si="21"/>
        <v>7.2900000000000006E-2</v>
      </c>
    </row>
    <row r="83" spans="3:22" x14ac:dyDescent="0.25">
      <c r="C83" s="5">
        <v>81</v>
      </c>
      <c r="D83" s="5" t="s">
        <v>20</v>
      </c>
      <c r="E83" s="2">
        <v>1621.64</v>
      </c>
      <c r="F83" s="2">
        <v>1625.8</v>
      </c>
      <c r="G83" s="5">
        <f t="shared" si="16"/>
        <v>38.942307692309051</v>
      </c>
      <c r="H83" s="5">
        <v>3.59</v>
      </c>
      <c r="I83" s="5">
        <f t="shared" si="15"/>
        <v>3.59</v>
      </c>
      <c r="J83" s="5">
        <f t="shared" si="17"/>
        <v>3.59</v>
      </c>
      <c r="K83">
        <f t="shared" si="18"/>
        <v>4.8400000000000089E-2</v>
      </c>
      <c r="L83" s="5">
        <v>81</v>
      </c>
      <c r="M83" s="5" t="s">
        <v>20</v>
      </c>
      <c r="N83" s="5">
        <v>1770.32</v>
      </c>
      <c r="O83" s="5">
        <v>1775.04</v>
      </c>
      <c r="P83" s="5">
        <f t="shared" si="19"/>
        <v>34.322033898304888</v>
      </c>
      <c r="Q83" s="5">
        <f t="shared" si="14"/>
        <v>6.05</v>
      </c>
      <c r="R83" s="5">
        <v>6.05</v>
      </c>
      <c r="S83" s="5">
        <f t="shared" si="9"/>
        <v>2.95</v>
      </c>
      <c r="T83" s="5">
        <f t="shared" si="9"/>
        <v>2.95</v>
      </c>
      <c r="U83" s="5">
        <f t="shared" si="20"/>
        <v>2.95</v>
      </c>
      <c r="V83">
        <f t="shared" si="21"/>
        <v>2.4025000000000007</v>
      </c>
    </row>
    <row r="84" spans="3:22" x14ac:dyDescent="0.25">
      <c r="C84" s="5">
        <v>82</v>
      </c>
      <c r="D84" s="5" t="s">
        <v>20</v>
      </c>
      <c r="E84" s="2">
        <v>1621.72</v>
      </c>
      <c r="F84" s="2">
        <v>1626.5600000000002</v>
      </c>
      <c r="G84" s="5">
        <f t="shared" si="16"/>
        <v>33.471074380164289</v>
      </c>
      <c r="H84" s="5">
        <v>2.75</v>
      </c>
      <c r="I84" s="5">
        <f t="shared" si="15"/>
        <v>2.75</v>
      </c>
      <c r="J84" s="5">
        <f t="shared" si="17"/>
        <v>2.75</v>
      </c>
      <c r="K84">
        <f t="shared" si="18"/>
        <v>1.1236000000000002</v>
      </c>
      <c r="L84" s="5">
        <v>82</v>
      </c>
      <c r="M84" s="5" t="s">
        <v>20</v>
      </c>
      <c r="N84" s="5">
        <v>1773.68</v>
      </c>
      <c r="O84" s="5">
        <v>1777.72</v>
      </c>
      <c r="P84" s="5">
        <f t="shared" si="19"/>
        <v>40.09900990099046</v>
      </c>
      <c r="Q84" s="5">
        <f t="shared" si="14"/>
        <v>7.88</v>
      </c>
      <c r="R84" s="5">
        <v>7.88</v>
      </c>
      <c r="S84" s="5">
        <f t="shared" si="9"/>
        <v>1.1200000000000001</v>
      </c>
      <c r="T84" s="5">
        <f t="shared" si="9"/>
        <v>1.1200000000000001</v>
      </c>
      <c r="U84" s="5">
        <f t="shared" si="20"/>
        <v>1.1200000000000001</v>
      </c>
      <c r="V84">
        <f t="shared" si="21"/>
        <v>7.8399999999999886E-2</v>
      </c>
    </row>
    <row r="85" spans="3:22" x14ac:dyDescent="0.25">
      <c r="C85" s="5">
        <v>83</v>
      </c>
      <c r="D85" s="5" t="s">
        <v>20</v>
      </c>
      <c r="E85" s="2">
        <v>1623.88</v>
      </c>
      <c r="F85" s="2">
        <v>1627.6100000000001</v>
      </c>
      <c r="G85" s="5">
        <f t="shared" si="16"/>
        <v>43.431635388739736</v>
      </c>
      <c r="H85" s="5">
        <v>3.44</v>
      </c>
      <c r="I85" s="5">
        <f t="shared" si="15"/>
        <v>3.44</v>
      </c>
      <c r="J85" s="5">
        <f t="shared" si="17"/>
        <v>3.44</v>
      </c>
      <c r="K85">
        <f t="shared" si="18"/>
        <v>0.13690000000000008</v>
      </c>
      <c r="L85" s="5">
        <v>83</v>
      </c>
      <c r="M85" s="5" t="s">
        <v>20</v>
      </c>
      <c r="N85" s="5">
        <v>1776.12</v>
      </c>
      <c r="O85" s="5">
        <v>1780.04</v>
      </c>
      <c r="P85" s="5">
        <f t="shared" si="19"/>
        <v>41.326530612244127</v>
      </c>
      <c r="Q85" s="5">
        <f t="shared" si="14"/>
        <v>7.24</v>
      </c>
      <c r="R85" s="5">
        <v>7.24</v>
      </c>
      <c r="S85" s="5">
        <f t="shared" ref="S85:T89" si="22">$A$5-Q85</f>
        <v>1.7599999999999998</v>
      </c>
      <c r="T85" s="5">
        <f t="shared" si="22"/>
        <v>1.7599999999999998</v>
      </c>
      <c r="U85" s="5">
        <f t="shared" si="20"/>
        <v>1.7599999999999998</v>
      </c>
      <c r="V85">
        <f t="shared" si="21"/>
        <v>0.12959999999999991</v>
      </c>
    </row>
    <row r="86" spans="3:22" x14ac:dyDescent="0.25">
      <c r="C86" s="5">
        <v>84</v>
      </c>
      <c r="D86" s="5" t="s">
        <v>20</v>
      </c>
      <c r="E86" s="2">
        <v>1626</v>
      </c>
      <c r="F86" s="2">
        <v>1629.63</v>
      </c>
      <c r="G86" s="5">
        <f t="shared" si="16"/>
        <v>44.628099173552378</v>
      </c>
      <c r="H86" s="5">
        <v>2.33</v>
      </c>
      <c r="I86" s="5">
        <f t="shared" si="15"/>
        <v>2.33</v>
      </c>
      <c r="J86" s="5">
        <f t="shared" si="17"/>
        <v>2.33</v>
      </c>
      <c r="K86">
        <f t="shared" si="18"/>
        <v>2.1903999999999999</v>
      </c>
      <c r="L86" s="5">
        <v>84</v>
      </c>
      <c r="M86" s="5" t="s">
        <v>19</v>
      </c>
      <c r="N86" s="5">
        <v>1781.68</v>
      </c>
      <c r="O86" s="5">
        <v>1785.44</v>
      </c>
      <c r="P86" s="5">
        <f t="shared" si="19"/>
        <v>43.085106382978829</v>
      </c>
      <c r="Q86" s="5">
        <f t="shared" si="14"/>
        <v>8.25</v>
      </c>
      <c r="R86" s="5">
        <v>6.81</v>
      </c>
      <c r="S86" s="5">
        <f t="shared" si="22"/>
        <v>0.75</v>
      </c>
      <c r="T86" s="5">
        <f t="shared" si="22"/>
        <v>2.1900000000000004</v>
      </c>
      <c r="U86" s="5">
        <f t="shared" si="20"/>
        <v>1.4700000000000002</v>
      </c>
      <c r="V86">
        <f t="shared" si="21"/>
        <v>4.9000000000000397E-3</v>
      </c>
    </row>
    <row r="87" spans="3:22" x14ac:dyDescent="0.25">
      <c r="C87" s="5">
        <v>85</v>
      </c>
      <c r="D87" s="5" t="s">
        <v>20</v>
      </c>
      <c r="E87" s="2">
        <v>1626.08</v>
      </c>
      <c r="F87" s="2">
        <v>1629.53</v>
      </c>
      <c r="G87" s="5">
        <f t="shared" si="16"/>
        <v>46.956521739129819</v>
      </c>
      <c r="H87" s="5">
        <v>4.55</v>
      </c>
      <c r="I87" s="5">
        <f t="shared" si="15"/>
        <v>4.55</v>
      </c>
      <c r="J87" s="5">
        <f t="shared" si="17"/>
        <v>4.55</v>
      </c>
      <c r="K87">
        <f t="shared" si="18"/>
        <v>0.54759999999999964</v>
      </c>
      <c r="L87" s="5">
        <v>85</v>
      </c>
      <c r="M87" s="5" t="s">
        <v>19</v>
      </c>
      <c r="N87" s="5">
        <v>1783.52</v>
      </c>
      <c r="O87" s="5">
        <v>1787</v>
      </c>
      <c r="P87" s="5">
        <f t="shared" si="19"/>
        <v>46.55172413793079</v>
      </c>
      <c r="Q87" s="5">
        <f t="shared" si="14"/>
        <v>8.36</v>
      </c>
      <c r="R87" s="5">
        <v>6.92</v>
      </c>
      <c r="S87" s="5">
        <f t="shared" si="22"/>
        <v>0.64000000000000057</v>
      </c>
      <c r="T87" s="5">
        <f t="shared" si="22"/>
        <v>2.08</v>
      </c>
      <c r="U87" s="5">
        <f t="shared" si="20"/>
        <v>1.3600000000000003</v>
      </c>
      <c r="V87">
        <f t="shared" si="21"/>
        <v>1.5999999999999673E-3</v>
      </c>
    </row>
    <row r="88" spans="3:22" x14ac:dyDescent="0.25">
      <c r="C88" s="5">
        <v>86</v>
      </c>
      <c r="D88" s="5" t="s">
        <v>20</v>
      </c>
      <c r="E88" s="2">
        <v>1631.24</v>
      </c>
      <c r="F88" s="2">
        <v>1635.79</v>
      </c>
      <c r="G88" s="5">
        <f t="shared" si="16"/>
        <v>35.604395604395961</v>
      </c>
      <c r="H88" s="5">
        <v>2.08</v>
      </c>
      <c r="I88" s="5">
        <f t="shared" si="15"/>
        <v>2.08</v>
      </c>
      <c r="J88" s="5">
        <f t="shared" si="17"/>
        <v>2.08</v>
      </c>
      <c r="K88">
        <f t="shared" si="18"/>
        <v>2.9929000000000001</v>
      </c>
      <c r="L88" s="5">
        <v>86</v>
      </c>
      <c r="M88" s="5" t="s">
        <v>41</v>
      </c>
      <c r="N88" s="5">
        <v>1798</v>
      </c>
      <c r="O88" s="5">
        <v>1813.16</v>
      </c>
      <c r="P88" s="5">
        <f t="shared" si="19"/>
        <v>10.686015831134508</v>
      </c>
      <c r="Q88" s="5">
        <f t="shared" si="14"/>
        <v>7.84</v>
      </c>
      <c r="R88" s="5">
        <v>7.84</v>
      </c>
      <c r="S88" s="5">
        <f t="shared" si="22"/>
        <v>1.1600000000000001</v>
      </c>
      <c r="T88" s="5">
        <f t="shared" si="22"/>
        <v>1.1600000000000001</v>
      </c>
      <c r="U88" s="5">
        <f t="shared" si="20"/>
        <v>1.1600000000000001</v>
      </c>
      <c r="V88">
        <f t="shared" si="21"/>
        <v>5.7599999999999887E-2</v>
      </c>
    </row>
    <row r="89" spans="3:22" x14ac:dyDescent="0.25">
      <c r="C89" s="5">
        <v>87</v>
      </c>
      <c r="D89" s="5" t="s">
        <v>20</v>
      </c>
      <c r="E89" s="2">
        <v>1635.92</v>
      </c>
      <c r="F89" s="2">
        <v>1638.87</v>
      </c>
      <c r="G89" s="5">
        <f t="shared" si="16"/>
        <v>54.915254237291521</v>
      </c>
      <c r="H89" s="5">
        <v>3.61</v>
      </c>
      <c r="I89" s="5">
        <f t="shared" si="15"/>
        <v>3.61</v>
      </c>
      <c r="J89" s="5">
        <f t="shared" si="17"/>
        <v>3.61</v>
      </c>
      <c r="K89">
        <f t="shared" si="18"/>
        <v>4.000000000000007E-2</v>
      </c>
      <c r="L89" s="5">
        <v>87</v>
      </c>
      <c r="M89" s="5" t="s">
        <v>20</v>
      </c>
      <c r="N89" s="5">
        <v>1799.52</v>
      </c>
      <c r="O89" s="5">
        <v>1802.88</v>
      </c>
      <c r="P89" s="5">
        <f t="shared" si="19"/>
        <v>48.214285714283889</v>
      </c>
      <c r="Q89" s="5">
        <f t="shared" si="14"/>
        <v>6.84</v>
      </c>
      <c r="R89" s="5">
        <v>6.84</v>
      </c>
      <c r="S89" s="5">
        <f t="shared" si="22"/>
        <v>2.16</v>
      </c>
      <c r="T89" s="5">
        <f t="shared" si="22"/>
        <v>2.16</v>
      </c>
      <c r="U89" s="5">
        <f t="shared" si="20"/>
        <v>2.16</v>
      </c>
      <c r="V89">
        <f t="shared" si="21"/>
        <v>0.57760000000000034</v>
      </c>
    </row>
    <row r="90" spans="3:22" x14ac:dyDescent="0.25">
      <c r="C90" s="5">
        <v>88</v>
      </c>
      <c r="D90" s="5" t="s">
        <v>20</v>
      </c>
      <c r="E90" s="2">
        <v>1637.8400000000001</v>
      </c>
      <c r="F90" s="2">
        <v>1641.74</v>
      </c>
      <c r="G90" s="5">
        <f t="shared" si="16"/>
        <v>41.53846153846299</v>
      </c>
      <c r="H90" s="5">
        <v>3.59</v>
      </c>
      <c r="I90" s="5">
        <f t="shared" si="15"/>
        <v>3.59</v>
      </c>
      <c r="J90" s="5">
        <f t="shared" si="17"/>
        <v>3.59</v>
      </c>
      <c r="K90">
        <f t="shared" si="18"/>
        <v>4.8400000000000089E-2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3:22" x14ac:dyDescent="0.25">
      <c r="C91" s="5">
        <v>89</v>
      </c>
      <c r="D91" s="5" t="s">
        <v>19</v>
      </c>
      <c r="E91" s="2">
        <v>1638.64</v>
      </c>
      <c r="F91" s="2">
        <v>1642.36</v>
      </c>
      <c r="G91" s="5">
        <f t="shared" si="16"/>
        <v>43.548387096776537</v>
      </c>
      <c r="H91" s="5">
        <v>4.25</v>
      </c>
      <c r="I91" s="5">
        <f t="shared" si="15"/>
        <v>5.6899999999999995</v>
      </c>
      <c r="J91" s="5">
        <f t="shared" si="17"/>
        <v>4.97</v>
      </c>
      <c r="K91">
        <f t="shared" si="18"/>
        <v>1.3455999999999992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spans="3:22" x14ac:dyDescent="0.25">
      <c r="C92" s="5">
        <v>90</v>
      </c>
      <c r="D92" s="5" t="s">
        <v>19</v>
      </c>
      <c r="E92" s="2">
        <v>1639.32</v>
      </c>
      <c r="F92" s="2">
        <v>1643.12</v>
      </c>
      <c r="G92" s="5">
        <f t="shared" si="16"/>
        <v>42.631578947368929</v>
      </c>
      <c r="H92" s="5">
        <v>4.3600000000000003</v>
      </c>
      <c r="I92" s="5">
        <f t="shared" si="15"/>
        <v>5.8000000000000007</v>
      </c>
      <c r="J92" s="5">
        <f t="shared" si="17"/>
        <v>5.08</v>
      </c>
      <c r="K92">
        <f t="shared" si="18"/>
        <v>1.6129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3:22" x14ac:dyDescent="0.25">
      <c r="C93" s="5">
        <v>91</v>
      </c>
      <c r="D93" s="5" t="s">
        <v>20</v>
      </c>
      <c r="E93" s="2">
        <v>1640.4</v>
      </c>
      <c r="F93" s="2">
        <v>1643.8400000000001</v>
      </c>
      <c r="G93" s="5">
        <f t="shared" si="16"/>
        <v>47.093023255813208</v>
      </c>
      <c r="H93" s="5">
        <v>2.41</v>
      </c>
      <c r="I93" s="5">
        <f t="shared" si="15"/>
        <v>2.41</v>
      </c>
      <c r="J93" s="5">
        <f t="shared" si="17"/>
        <v>2.41</v>
      </c>
      <c r="K93">
        <f t="shared" si="18"/>
        <v>1.9599999999999997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3:22" x14ac:dyDescent="0.25">
      <c r="C94" s="5">
        <v>92</v>
      </c>
      <c r="D94" s="5" t="s">
        <v>19</v>
      </c>
      <c r="E94" s="2">
        <v>1640.48</v>
      </c>
      <c r="F94" s="2">
        <v>1644.24</v>
      </c>
      <c r="G94" s="5">
        <f t="shared" si="16"/>
        <v>43.085106382978829</v>
      </c>
      <c r="H94" s="5">
        <v>4.3600000000000003</v>
      </c>
      <c r="I94" s="5">
        <f t="shared" si="15"/>
        <v>5.8000000000000007</v>
      </c>
      <c r="J94" s="5">
        <f t="shared" si="17"/>
        <v>5.08</v>
      </c>
      <c r="K94">
        <f t="shared" si="18"/>
        <v>1.6129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3:22" x14ac:dyDescent="0.25">
      <c r="C95" s="5">
        <v>93</v>
      </c>
      <c r="D95" s="5" t="s">
        <v>19</v>
      </c>
      <c r="E95" s="2">
        <v>1642.28</v>
      </c>
      <c r="F95" s="2">
        <v>1645.72</v>
      </c>
      <c r="G95" s="5">
        <f t="shared" si="16"/>
        <v>47.093023255813208</v>
      </c>
      <c r="H95" s="5">
        <v>3.59</v>
      </c>
      <c r="I95" s="5">
        <f t="shared" si="15"/>
        <v>5.0299999999999994</v>
      </c>
      <c r="J95" s="5">
        <f t="shared" si="17"/>
        <v>4.3099999999999996</v>
      </c>
      <c r="K95">
        <f t="shared" si="18"/>
        <v>0.24999999999999956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3:22" x14ac:dyDescent="0.25">
      <c r="C96" s="5">
        <v>94</v>
      </c>
      <c r="D96" s="5" t="s">
        <v>20</v>
      </c>
      <c r="E96" s="2">
        <v>1642.8</v>
      </c>
      <c r="F96" s="2">
        <v>1645.88</v>
      </c>
      <c r="G96" s="5">
        <f t="shared" si="16"/>
        <v>52.597402597399956</v>
      </c>
      <c r="H96" s="5">
        <v>2.12</v>
      </c>
      <c r="I96" s="5">
        <f t="shared" si="15"/>
        <v>2.12</v>
      </c>
      <c r="J96" s="5">
        <f t="shared" si="17"/>
        <v>2.12</v>
      </c>
      <c r="K96">
        <f t="shared" si="18"/>
        <v>2.8560999999999996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3:21" x14ac:dyDescent="0.25">
      <c r="C97" s="5">
        <v>95</v>
      </c>
      <c r="D97" s="5" t="s">
        <v>19</v>
      </c>
      <c r="E97" s="2">
        <v>1643.56</v>
      </c>
      <c r="F97" s="2">
        <v>1647.48</v>
      </c>
      <c r="G97" s="5">
        <f t="shared" si="16"/>
        <v>41.326530612244127</v>
      </c>
      <c r="H97" s="5">
        <v>3.73</v>
      </c>
      <c r="I97" s="5">
        <f t="shared" si="15"/>
        <v>5.17</v>
      </c>
      <c r="J97" s="5">
        <f t="shared" si="17"/>
        <v>4.45</v>
      </c>
      <c r="K97">
        <f t="shared" si="18"/>
        <v>0.40960000000000019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3:21" x14ac:dyDescent="0.25">
      <c r="C98" s="5">
        <v>96</v>
      </c>
      <c r="D98" s="5" t="s">
        <v>19</v>
      </c>
      <c r="E98" s="2">
        <v>1644.88</v>
      </c>
      <c r="F98" s="2">
        <v>1648.3</v>
      </c>
      <c r="G98" s="5">
        <f t="shared" si="16"/>
        <v>47.368421052633721</v>
      </c>
      <c r="H98" s="5">
        <v>3.97</v>
      </c>
      <c r="I98" s="5">
        <f t="shared" si="15"/>
        <v>5.41</v>
      </c>
      <c r="J98" s="5">
        <f t="shared" si="17"/>
        <v>4.6900000000000004</v>
      </c>
      <c r="K98">
        <f t="shared" si="18"/>
        <v>0.77440000000000064</v>
      </c>
      <c r="L98" s="22"/>
      <c r="M98" s="22"/>
      <c r="N98" s="22"/>
      <c r="O98" s="22"/>
      <c r="P98" s="22"/>
      <c r="Q98" s="22"/>
      <c r="R98" s="22">
        <f>SUM(U3:U89)/87</f>
        <v>1.3995977011494256</v>
      </c>
      <c r="S98" s="22"/>
      <c r="T98" s="22"/>
      <c r="U98" s="22"/>
    </row>
    <row r="99" spans="3:21" x14ac:dyDescent="0.25">
      <c r="C99" s="5">
        <v>97</v>
      </c>
      <c r="D99" s="5" t="s">
        <v>19</v>
      </c>
      <c r="E99" s="2">
        <v>1647.96</v>
      </c>
      <c r="F99" s="2">
        <v>1651.3300000000002</v>
      </c>
      <c r="G99" s="5">
        <f t="shared" si="16"/>
        <v>48.071216617208997</v>
      </c>
      <c r="H99" s="5">
        <v>2.1</v>
      </c>
      <c r="I99" s="5">
        <f t="shared" ref="I99:I130" si="23">IF(D99="Car",H99+1.44,IF(D99="Bus",H99+2.43,IF(D99="Auto",H99+1.4,IF(D99="TAT", H99+2.1, IF(D99="TAT", H99+2.35,H99)))))</f>
        <v>3.54</v>
      </c>
      <c r="J99" s="5">
        <f t="shared" si="17"/>
        <v>2.8200000000000003</v>
      </c>
      <c r="K99">
        <f t="shared" si="18"/>
        <v>0.98009999999999953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3:21" x14ac:dyDescent="0.25">
      <c r="C100" s="5">
        <v>98</v>
      </c>
      <c r="D100" s="5" t="s">
        <v>19</v>
      </c>
      <c r="E100" s="2">
        <v>1648.1200000000001</v>
      </c>
      <c r="F100" s="2">
        <v>1651.19</v>
      </c>
      <c r="G100" s="5">
        <f t="shared" si="16"/>
        <v>52.768729641694904</v>
      </c>
      <c r="H100" s="5">
        <v>4.87</v>
      </c>
      <c r="I100" s="5">
        <f t="shared" si="23"/>
        <v>6.3100000000000005</v>
      </c>
      <c r="J100" s="5">
        <f t="shared" si="17"/>
        <v>5.59</v>
      </c>
      <c r="K100">
        <f t="shared" si="18"/>
        <v>3.1683999999999992</v>
      </c>
      <c r="L100" s="22"/>
      <c r="M100" s="22">
        <f>SUM(J3:J178)/176</f>
        <v>3.8107102272727249</v>
      </c>
      <c r="N100" s="22"/>
      <c r="O100" s="22"/>
      <c r="P100" s="22"/>
      <c r="Q100" s="22"/>
      <c r="R100" s="22"/>
      <c r="S100" s="22"/>
      <c r="T100" s="22"/>
      <c r="U100" s="22"/>
    </row>
    <row r="101" spans="3:21" x14ac:dyDescent="0.25">
      <c r="C101" s="5">
        <v>99</v>
      </c>
      <c r="D101" s="5" t="s">
        <v>19</v>
      </c>
      <c r="E101" s="2">
        <v>1651.08</v>
      </c>
      <c r="F101" s="2">
        <v>1654.57</v>
      </c>
      <c r="G101" s="5">
        <f t="shared" si="16"/>
        <v>46.418338108882402</v>
      </c>
      <c r="H101" s="5">
        <v>3.3</v>
      </c>
      <c r="I101" s="5">
        <f t="shared" si="23"/>
        <v>4.74</v>
      </c>
      <c r="J101" s="5">
        <f t="shared" si="17"/>
        <v>4.0199999999999996</v>
      </c>
      <c r="K101">
        <f t="shared" si="18"/>
        <v>4.4099999999999799E-2</v>
      </c>
      <c r="L101" s="22"/>
      <c r="M101" s="22"/>
      <c r="N101" s="22"/>
      <c r="O101" s="22"/>
      <c r="P101" s="22"/>
      <c r="Q101" s="22"/>
      <c r="R101" s="22">
        <f>((SUM(V3:V89))/87)^0.5</f>
        <v>0.81527144481800207</v>
      </c>
      <c r="S101" s="22"/>
      <c r="T101" s="22"/>
      <c r="U101" s="22"/>
    </row>
    <row r="102" spans="3:21" x14ac:dyDescent="0.25">
      <c r="C102" s="5">
        <v>100</v>
      </c>
      <c r="D102" s="5" t="s">
        <v>19</v>
      </c>
      <c r="E102" s="2">
        <v>1652.72</v>
      </c>
      <c r="F102" s="2">
        <v>1656.0700000000002</v>
      </c>
      <c r="G102" s="5">
        <f t="shared" si="16"/>
        <v>48.358208955221912</v>
      </c>
      <c r="H102" s="5">
        <v>3.99</v>
      </c>
      <c r="I102" s="5">
        <f t="shared" si="23"/>
        <v>5.43</v>
      </c>
      <c r="J102" s="5">
        <f t="shared" si="17"/>
        <v>4.71</v>
      </c>
      <c r="K102">
        <f t="shared" si="18"/>
        <v>0.80999999999999983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3:21" x14ac:dyDescent="0.25">
      <c r="C103" s="5">
        <v>101</v>
      </c>
      <c r="D103" s="5" t="s">
        <v>19</v>
      </c>
      <c r="E103" s="2">
        <v>1654.8</v>
      </c>
      <c r="F103" s="2">
        <v>1658.3000000000002</v>
      </c>
      <c r="G103" s="5">
        <f t="shared" si="16"/>
        <v>46.285714285711286</v>
      </c>
      <c r="H103" s="5">
        <v>3.57</v>
      </c>
      <c r="I103" s="5">
        <f t="shared" si="23"/>
        <v>5.01</v>
      </c>
      <c r="J103" s="5">
        <f t="shared" si="17"/>
        <v>4.29</v>
      </c>
      <c r="K103">
        <f t="shared" si="18"/>
        <v>0.23039999999999999</v>
      </c>
      <c r="L103" s="22"/>
      <c r="M103" s="22">
        <f>((SUM(K3:K178))/176)^0.5</f>
        <v>1.3794463748679622</v>
      </c>
      <c r="N103" s="22"/>
      <c r="O103" s="22"/>
      <c r="P103" s="22"/>
      <c r="Q103" s="22"/>
      <c r="R103" s="22"/>
      <c r="S103" s="22"/>
      <c r="T103" s="22"/>
      <c r="U103" s="22"/>
    </row>
    <row r="104" spans="3:21" x14ac:dyDescent="0.25">
      <c r="C104" s="5">
        <v>102</v>
      </c>
      <c r="D104" s="5" t="s">
        <v>19</v>
      </c>
      <c r="E104" s="2">
        <v>1661.24</v>
      </c>
      <c r="F104" s="2">
        <v>1664.47</v>
      </c>
      <c r="G104" s="5">
        <f t="shared" si="16"/>
        <v>50.154798761609626</v>
      </c>
      <c r="H104" s="5">
        <v>3.77</v>
      </c>
      <c r="I104" s="5">
        <f t="shared" si="23"/>
        <v>5.21</v>
      </c>
      <c r="J104" s="5">
        <f t="shared" si="17"/>
        <v>4.49</v>
      </c>
      <c r="K104">
        <f t="shared" si="18"/>
        <v>0.4624000000000002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3:21" x14ac:dyDescent="0.25">
      <c r="C105" s="5">
        <v>103</v>
      </c>
      <c r="D105" s="5" t="s">
        <v>19</v>
      </c>
      <c r="E105" s="2">
        <v>1661.92</v>
      </c>
      <c r="F105" s="2">
        <v>1664.8799999999999</v>
      </c>
      <c r="G105" s="5">
        <f t="shared" si="16"/>
        <v>54.729729729733265</v>
      </c>
      <c r="H105" s="5">
        <v>4.58</v>
      </c>
      <c r="I105" s="5">
        <f t="shared" si="23"/>
        <v>6.02</v>
      </c>
      <c r="J105" s="5">
        <f t="shared" si="17"/>
        <v>5.3</v>
      </c>
      <c r="K105">
        <f t="shared" si="18"/>
        <v>2.2200999999999995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3:21" x14ac:dyDescent="0.25">
      <c r="C106" s="5">
        <v>104</v>
      </c>
      <c r="D106" s="5" t="s">
        <v>19</v>
      </c>
      <c r="E106" s="2">
        <v>1662.64</v>
      </c>
      <c r="F106" s="2">
        <v>1665.72</v>
      </c>
      <c r="G106" s="5">
        <f t="shared" si="16"/>
        <v>52.597402597403843</v>
      </c>
      <c r="H106" s="5">
        <v>4.91</v>
      </c>
      <c r="I106" s="5">
        <f t="shared" si="23"/>
        <v>6.35</v>
      </c>
      <c r="J106" s="5">
        <f t="shared" si="17"/>
        <v>5.63</v>
      </c>
      <c r="K106">
        <f t="shared" si="18"/>
        <v>3.3123999999999993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3:21" x14ac:dyDescent="0.25">
      <c r="C107" s="5">
        <v>105</v>
      </c>
      <c r="D107" s="5" t="s">
        <v>19</v>
      </c>
      <c r="E107" s="2">
        <v>1666.08</v>
      </c>
      <c r="F107" s="2">
        <v>1669.84</v>
      </c>
      <c r="G107" s="5">
        <f t="shared" si="16"/>
        <v>43.085106382978829</v>
      </c>
      <c r="H107" s="5">
        <v>3.49</v>
      </c>
      <c r="I107" s="5">
        <f t="shared" si="23"/>
        <v>4.93</v>
      </c>
      <c r="J107" s="5">
        <f t="shared" si="17"/>
        <v>4.21</v>
      </c>
      <c r="K107">
        <f t="shared" si="18"/>
        <v>0.15999999999999992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3:21" x14ac:dyDescent="0.25">
      <c r="C108" s="5">
        <v>106</v>
      </c>
      <c r="D108" s="5" t="s">
        <v>19</v>
      </c>
      <c r="E108" s="2">
        <v>1666.52</v>
      </c>
      <c r="F108" s="2">
        <v>1670.46</v>
      </c>
      <c r="G108" s="5">
        <f t="shared" si="16"/>
        <v>41.116751269034964</v>
      </c>
      <c r="H108" s="5">
        <v>5.45</v>
      </c>
      <c r="I108" s="5">
        <f t="shared" si="23"/>
        <v>6.8900000000000006</v>
      </c>
      <c r="J108" s="5">
        <f t="shared" si="17"/>
        <v>6.17</v>
      </c>
      <c r="K108">
        <f t="shared" si="18"/>
        <v>5.5695999999999994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3:21" x14ac:dyDescent="0.25">
      <c r="C109" s="5">
        <v>107</v>
      </c>
      <c r="D109" s="5" t="s">
        <v>19</v>
      </c>
      <c r="E109" s="2">
        <v>1668.72</v>
      </c>
      <c r="F109" s="2">
        <v>1672.1299999999999</v>
      </c>
      <c r="G109" s="5">
        <f t="shared" si="16"/>
        <v>47.507331378301153</v>
      </c>
      <c r="H109" s="5">
        <v>4.18</v>
      </c>
      <c r="I109" s="5">
        <f t="shared" si="23"/>
        <v>5.6199999999999992</v>
      </c>
      <c r="J109" s="5">
        <f t="shared" si="17"/>
        <v>4.8999999999999995</v>
      </c>
      <c r="K109">
        <f t="shared" si="18"/>
        <v>1.1880999999999988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3:21" x14ac:dyDescent="0.25">
      <c r="C110" s="5">
        <v>108</v>
      </c>
      <c r="D110" s="5" t="s">
        <v>19</v>
      </c>
      <c r="E110" s="2">
        <v>1670.04</v>
      </c>
      <c r="F110" s="2">
        <v>1673.36</v>
      </c>
      <c r="G110" s="5">
        <f t="shared" si="16"/>
        <v>48.795180722892503</v>
      </c>
      <c r="H110" s="5">
        <v>3.51</v>
      </c>
      <c r="I110" s="5">
        <f t="shared" si="23"/>
        <v>4.9499999999999993</v>
      </c>
      <c r="J110" s="5">
        <f t="shared" si="17"/>
        <v>4.2299999999999995</v>
      </c>
      <c r="K110">
        <f t="shared" si="18"/>
        <v>0.17639999999999956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3:21" x14ac:dyDescent="0.25">
      <c r="C111" s="5">
        <v>109</v>
      </c>
      <c r="D111" s="5" t="s">
        <v>20</v>
      </c>
      <c r="E111" s="2">
        <v>1674.92</v>
      </c>
      <c r="F111" s="2">
        <v>1679.1399999999999</v>
      </c>
      <c r="G111" s="5">
        <f t="shared" si="16"/>
        <v>38.388625592418883</v>
      </c>
      <c r="H111" s="5">
        <v>2</v>
      </c>
      <c r="I111" s="5">
        <f t="shared" si="23"/>
        <v>2</v>
      </c>
      <c r="J111" s="5">
        <f t="shared" si="17"/>
        <v>2</v>
      </c>
      <c r="K111">
        <f t="shared" si="18"/>
        <v>3.2761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3:21" x14ac:dyDescent="0.25">
      <c r="C112" s="5">
        <v>110</v>
      </c>
      <c r="D112" s="5" t="s">
        <v>19</v>
      </c>
      <c r="E112" s="2">
        <v>1681.44</v>
      </c>
      <c r="F112" s="2">
        <v>1684.5</v>
      </c>
      <c r="G112" s="5">
        <f t="shared" si="16"/>
        <v>52.941176470589177</v>
      </c>
      <c r="H112" s="5">
        <v>3.1</v>
      </c>
      <c r="I112" s="5">
        <f t="shared" si="23"/>
        <v>4.54</v>
      </c>
      <c r="J112" s="5">
        <f t="shared" si="17"/>
        <v>3.8200000000000003</v>
      </c>
      <c r="K112">
        <f t="shared" si="18"/>
        <v>1.0000000000000461E-4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3:21" x14ac:dyDescent="0.25">
      <c r="C113" s="5">
        <v>111</v>
      </c>
      <c r="D113" s="5" t="s">
        <v>19</v>
      </c>
      <c r="E113" s="2">
        <v>1684.44</v>
      </c>
      <c r="F113" s="2">
        <v>1688.18</v>
      </c>
      <c r="G113" s="5">
        <f t="shared" si="16"/>
        <v>43.315508021390272</v>
      </c>
      <c r="H113" s="5">
        <v>2.97</v>
      </c>
      <c r="I113" s="5">
        <f t="shared" si="23"/>
        <v>4.41</v>
      </c>
      <c r="J113" s="5">
        <f t="shared" si="17"/>
        <v>3.6900000000000004</v>
      </c>
      <c r="K113">
        <f t="shared" si="18"/>
        <v>1.439999999999992E-2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3:21" x14ac:dyDescent="0.25">
      <c r="C114" s="5">
        <v>112</v>
      </c>
      <c r="D114" s="5" t="s">
        <v>20</v>
      </c>
      <c r="E114" s="2">
        <v>1688.24</v>
      </c>
      <c r="F114" s="2">
        <v>1694.41</v>
      </c>
      <c r="G114" s="5">
        <f t="shared" si="16"/>
        <v>26.256077795785753</v>
      </c>
      <c r="H114" s="5">
        <v>1.06</v>
      </c>
      <c r="I114" s="5">
        <f t="shared" si="23"/>
        <v>1.06</v>
      </c>
      <c r="J114" s="5">
        <f t="shared" si="17"/>
        <v>1.06</v>
      </c>
      <c r="K114">
        <f t="shared" si="18"/>
        <v>7.5625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3:21" x14ac:dyDescent="0.25">
      <c r="C115" s="5">
        <v>113</v>
      </c>
      <c r="D115" s="5" t="s">
        <v>19</v>
      </c>
      <c r="E115" s="2">
        <v>1689.32</v>
      </c>
      <c r="F115" s="2">
        <v>1692.3999999999999</v>
      </c>
      <c r="G115" s="5">
        <f t="shared" si="16"/>
        <v>52.597402597403843</v>
      </c>
      <c r="H115" s="5">
        <v>4.04</v>
      </c>
      <c r="I115" s="5">
        <f t="shared" si="23"/>
        <v>5.48</v>
      </c>
      <c r="J115" s="5">
        <f t="shared" si="17"/>
        <v>4.76</v>
      </c>
      <c r="K115">
        <f t="shared" si="18"/>
        <v>0.90249999999999952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3:21" x14ac:dyDescent="0.25">
      <c r="C116" s="5">
        <v>114</v>
      </c>
      <c r="D116" s="5" t="s">
        <v>40</v>
      </c>
      <c r="E116" s="2">
        <v>1691.08</v>
      </c>
      <c r="F116" s="2">
        <v>1695.25</v>
      </c>
      <c r="G116" s="5">
        <f t="shared" si="16"/>
        <v>38.848920863308678</v>
      </c>
      <c r="H116" s="5">
        <v>4.7300000000000004</v>
      </c>
      <c r="I116" s="5">
        <f t="shared" si="23"/>
        <v>6.1300000000000008</v>
      </c>
      <c r="J116" s="5">
        <f t="shared" si="17"/>
        <v>5.4300000000000006</v>
      </c>
      <c r="K116">
        <f t="shared" si="18"/>
        <v>2.6244000000000018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3:21" x14ac:dyDescent="0.25">
      <c r="C117" s="5">
        <v>115</v>
      </c>
      <c r="D117" s="5" t="s">
        <v>20</v>
      </c>
      <c r="E117" s="2">
        <v>1692.6000000000001</v>
      </c>
      <c r="F117" s="2">
        <v>1696.06</v>
      </c>
      <c r="G117" s="5">
        <f t="shared" si="16"/>
        <v>46.820809248557502</v>
      </c>
      <c r="H117" s="5">
        <v>4.67</v>
      </c>
      <c r="I117" s="5">
        <f t="shared" si="23"/>
        <v>4.67</v>
      </c>
      <c r="J117" s="5">
        <f t="shared" si="17"/>
        <v>4.67</v>
      </c>
      <c r="K117">
        <f t="shared" si="18"/>
        <v>0.73959999999999981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3:21" x14ac:dyDescent="0.25">
      <c r="C118" s="5">
        <v>116</v>
      </c>
      <c r="D118" s="5" t="s">
        <v>20</v>
      </c>
      <c r="E118" s="2">
        <v>1695.6000000000001</v>
      </c>
      <c r="F118" s="2">
        <v>1702.73</v>
      </c>
      <c r="G118" s="5">
        <f t="shared" si="16"/>
        <v>22.720897615708651</v>
      </c>
      <c r="H118" s="5">
        <v>3.88</v>
      </c>
      <c r="I118" s="5">
        <f t="shared" si="23"/>
        <v>3.88</v>
      </c>
      <c r="J118" s="5">
        <f t="shared" si="17"/>
        <v>3.88</v>
      </c>
      <c r="K118">
        <f t="shared" si="18"/>
        <v>4.8999999999999773E-3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3:21" x14ac:dyDescent="0.25">
      <c r="C119" s="5">
        <v>117</v>
      </c>
      <c r="D119" s="5" t="s">
        <v>21</v>
      </c>
      <c r="E119" s="2">
        <v>1709.2</v>
      </c>
      <c r="F119" s="2">
        <v>1713.49</v>
      </c>
      <c r="G119" s="5">
        <f t="shared" si="16"/>
        <v>37.762237762238087</v>
      </c>
      <c r="H119" s="5">
        <v>3.68</v>
      </c>
      <c r="I119" s="5">
        <f t="shared" si="23"/>
        <v>5.78</v>
      </c>
      <c r="J119" s="5">
        <f t="shared" si="17"/>
        <v>4.7300000000000004</v>
      </c>
      <c r="K119">
        <f t="shared" si="18"/>
        <v>0.84640000000000071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3:21" x14ac:dyDescent="0.25">
      <c r="C120" s="5">
        <v>118</v>
      </c>
      <c r="D120" s="5" t="s">
        <v>20</v>
      </c>
      <c r="E120" s="2">
        <v>1710.52</v>
      </c>
      <c r="F120" s="2">
        <v>1714.1999999999998</v>
      </c>
      <c r="G120" s="5">
        <f t="shared" si="16"/>
        <v>44.021739130436742</v>
      </c>
      <c r="H120" s="5">
        <v>2.36</v>
      </c>
      <c r="I120" s="5">
        <f t="shared" si="23"/>
        <v>2.36</v>
      </c>
      <c r="J120" s="5">
        <f t="shared" si="17"/>
        <v>2.36</v>
      </c>
      <c r="K120">
        <f t="shared" si="18"/>
        <v>2.1025000000000005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spans="3:21" x14ac:dyDescent="0.25">
      <c r="C121" s="5">
        <v>119</v>
      </c>
      <c r="D121" s="5" t="s">
        <v>20</v>
      </c>
      <c r="E121" s="2">
        <v>1711.16</v>
      </c>
      <c r="F121" s="2">
        <v>1715.4299999999998</v>
      </c>
      <c r="G121" s="5">
        <f t="shared" si="16"/>
        <v>37.939110070259794</v>
      </c>
      <c r="H121" s="5">
        <v>2.56</v>
      </c>
      <c r="I121" s="5">
        <f t="shared" si="23"/>
        <v>2.56</v>
      </c>
      <c r="J121" s="5">
        <f t="shared" si="17"/>
        <v>2.56</v>
      </c>
      <c r="K121">
        <f t="shared" si="18"/>
        <v>1.5625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spans="3:21" x14ac:dyDescent="0.25">
      <c r="C122" s="5">
        <v>120</v>
      </c>
      <c r="D122" s="5" t="s">
        <v>19</v>
      </c>
      <c r="E122" s="2">
        <v>1712.16</v>
      </c>
      <c r="F122" s="2">
        <v>1716.1200000000001</v>
      </c>
      <c r="G122" s="5">
        <f t="shared" si="16"/>
        <v>40.90909090909053</v>
      </c>
      <c r="H122" s="5">
        <v>3.97</v>
      </c>
      <c r="I122" s="5">
        <f t="shared" si="23"/>
        <v>5.41</v>
      </c>
      <c r="J122" s="5">
        <f t="shared" si="17"/>
        <v>4.6900000000000004</v>
      </c>
      <c r="K122">
        <f t="shared" si="18"/>
        <v>0.77440000000000064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spans="3:21" x14ac:dyDescent="0.25">
      <c r="C123" s="5">
        <v>121</v>
      </c>
      <c r="D123" s="5" t="s">
        <v>19</v>
      </c>
      <c r="E123" s="2">
        <v>1712.92</v>
      </c>
      <c r="F123" s="2">
        <v>1716.79</v>
      </c>
      <c r="G123" s="5">
        <f t="shared" si="16"/>
        <v>41.860465116280253</v>
      </c>
      <c r="H123" s="5">
        <v>4.38</v>
      </c>
      <c r="I123" s="5">
        <f t="shared" si="23"/>
        <v>5.82</v>
      </c>
      <c r="J123" s="5">
        <f t="shared" si="17"/>
        <v>5.0999999999999996</v>
      </c>
      <c r="K123">
        <f t="shared" si="18"/>
        <v>1.664099999999999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spans="3:21" x14ac:dyDescent="0.25">
      <c r="C124" s="5">
        <v>122</v>
      </c>
      <c r="D124" s="5" t="s">
        <v>19</v>
      </c>
      <c r="E124" s="2">
        <v>1713.88</v>
      </c>
      <c r="F124" s="2">
        <v>1717.73</v>
      </c>
      <c r="G124" s="5">
        <f t="shared" si="16"/>
        <v>42.07792207792307</v>
      </c>
      <c r="H124" s="5">
        <v>4.32</v>
      </c>
      <c r="I124" s="5">
        <f t="shared" si="23"/>
        <v>5.76</v>
      </c>
      <c r="J124" s="5">
        <f t="shared" si="17"/>
        <v>5.04</v>
      </c>
      <c r="K124">
        <f t="shared" si="18"/>
        <v>1.5128999999999999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spans="3:21" x14ac:dyDescent="0.25">
      <c r="C125" s="5">
        <v>123</v>
      </c>
      <c r="D125" s="5" t="s">
        <v>22</v>
      </c>
      <c r="E125" s="2">
        <v>1718.08</v>
      </c>
      <c r="F125" s="2">
        <v>1723.89</v>
      </c>
      <c r="G125" s="5">
        <f t="shared" si="16"/>
        <v>27.882960413080067</v>
      </c>
      <c r="H125" s="5">
        <v>2.25</v>
      </c>
      <c r="I125" s="5">
        <f t="shared" si="23"/>
        <v>4.68</v>
      </c>
      <c r="J125" s="5">
        <f t="shared" si="17"/>
        <v>3.4649999999999999</v>
      </c>
      <c r="K125">
        <f t="shared" si="18"/>
        <v>0.11902500000000013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spans="3:21" x14ac:dyDescent="0.25">
      <c r="C126" s="5">
        <v>124</v>
      </c>
      <c r="D126" s="5" t="s">
        <v>19</v>
      </c>
      <c r="E126" s="2">
        <v>1718.72</v>
      </c>
      <c r="F126" s="2">
        <v>1721.74</v>
      </c>
      <c r="G126" s="5">
        <f t="shared" si="16"/>
        <v>53.642384105960588</v>
      </c>
      <c r="H126" s="5">
        <v>4.54</v>
      </c>
      <c r="I126" s="5">
        <f t="shared" si="23"/>
        <v>5.98</v>
      </c>
      <c r="J126" s="5">
        <f t="shared" si="17"/>
        <v>5.26</v>
      </c>
      <c r="K126">
        <f t="shared" si="18"/>
        <v>2.1024999999999991</v>
      </c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spans="3:21" x14ac:dyDescent="0.25">
      <c r="C127" s="5">
        <v>125</v>
      </c>
      <c r="D127" s="5" t="s">
        <v>20</v>
      </c>
      <c r="E127" s="2">
        <v>1719.2</v>
      </c>
      <c r="F127" s="2">
        <v>1723.35</v>
      </c>
      <c r="G127" s="5">
        <f t="shared" si="16"/>
        <v>39.036144578314541</v>
      </c>
      <c r="H127" s="5">
        <v>3.1</v>
      </c>
      <c r="I127" s="5">
        <f t="shared" si="23"/>
        <v>3.1</v>
      </c>
      <c r="J127" s="5">
        <f t="shared" si="17"/>
        <v>3.1</v>
      </c>
      <c r="K127">
        <f t="shared" si="18"/>
        <v>0.50409999999999999</v>
      </c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spans="3:21" x14ac:dyDescent="0.25">
      <c r="C128" s="5">
        <v>126</v>
      </c>
      <c r="D128" s="5" t="s">
        <v>19</v>
      </c>
      <c r="E128" s="2">
        <v>1719.72</v>
      </c>
      <c r="F128" s="2">
        <v>1722.95</v>
      </c>
      <c r="G128" s="5">
        <f t="shared" si="16"/>
        <v>50.154798761609626</v>
      </c>
      <c r="H128" s="5">
        <v>4.92</v>
      </c>
      <c r="I128" s="5">
        <f t="shared" si="23"/>
        <v>6.3599999999999994</v>
      </c>
      <c r="J128" s="5">
        <f t="shared" si="17"/>
        <v>5.64</v>
      </c>
      <c r="K128">
        <f t="shared" si="18"/>
        <v>3.3488999999999987</v>
      </c>
    </row>
    <row r="129" spans="3:11" x14ac:dyDescent="0.25">
      <c r="C129" s="5">
        <v>127</v>
      </c>
      <c r="D129" s="5" t="s">
        <v>19</v>
      </c>
      <c r="E129" s="2">
        <v>1721.64</v>
      </c>
      <c r="F129" s="2">
        <v>1725.62</v>
      </c>
      <c r="G129" s="5">
        <f t="shared" si="16"/>
        <v>40.703517587941839</v>
      </c>
      <c r="H129" s="5">
        <v>4.8</v>
      </c>
      <c r="I129" s="5">
        <f t="shared" si="23"/>
        <v>6.24</v>
      </c>
      <c r="J129" s="5">
        <f t="shared" si="17"/>
        <v>5.52</v>
      </c>
      <c r="K129">
        <f t="shared" si="18"/>
        <v>2.9240999999999984</v>
      </c>
    </row>
    <row r="130" spans="3:11" x14ac:dyDescent="0.25">
      <c r="C130" s="5">
        <v>128</v>
      </c>
      <c r="D130" s="5" t="s">
        <v>19</v>
      </c>
      <c r="E130" s="2">
        <v>1722.52</v>
      </c>
      <c r="F130" s="2">
        <v>1726.4099999999999</v>
      </c>
      <c r="G130" s="5">
        <f t="shared" si="16"/>
        <v>41.64524421593967</v>
      </c>
      <c r="H130" s="5">
        <v>4.1399999999999997</v>
      </c>
      <c r="I130" s="5">
        <f t="shared" si="23"/>
        <v>5.58</v>
      </c>
      <c r="J130" s="5">
        <f t="shared" si="17"/>
        <v>4.8599999999999994</v>
      </c>
      <c r="K130">
        <f t="shared" si="18"/>
        <v>1.1024999999999987</v>
      </c>
    </row>
    <row r="131" spans="3:11" x14ac:dyDescent="0.25">
      <c r="C131" s="5">
        <v>129</v>
      </c>
      <c r="D131" s="5" t="s">
        <v>19</v>
      </c>
      <c r="E131" s="2">
        <v>1723.16</v>
      </c>
      <c r="F131" s="2">
        <v>1727.72</v>
      </c>
      <c r="G131" s="5">
        <f t="shared" si="16"/>
        <v>35.526315789474111</v>
      </c>
      <c r="H131" s="5">
        <v>2.4700000000000002</v>
      </c>
      <c r="I131" s="5">
        <f t="shared" ref="I131:I162" si="24">IF(D131="Car",H131+1.44,IF(D131="Bus",H131+2.43,IF(D131="Auto",H131+1.4,IF(D131="TAT", H131+2.1, IF(D131="TAT", H131+2.35,H131)))))</f>
        <v>3.91</v>
      </c>
      <c r="J131" s="5">
        <f t="shared" si="17"/>
        <v>3.1900000000000004</v>
      </c>
      <c r="K131">
        <f t="shared" si="18"/>
        <v>0.38439999999999958</v>
      </c>
    </row>
    <row r="132" spans="3:11" x14ac:dyDescent="0.25">
      <c r="C132" s="5">
        <v>130</v>
      </c>
      <c r="D132" s="5" t="s">
        <v>19</v>
      </c>
      <c r="E132" s="2">
        <v>1723.46</v>
      </c>
      <c r="F132" s="2">
        <v>1727.36</v>
      </c>
      <c r="G132" s="5">
        <f t="shared" ref="G132:G178" si="25">$A$3/(F132-E132)*3.6</f>
        <v>41.53846153846299</v>
      </c>
      <c r="H132" s="5">
        <v>6.37</v>
      </c>
      <c r="I132" s="5">
        <f t="shared" si="24"/>
        <v>7.8100000000000005</v>
      </c>
      <c r="J132" s="5">
        <f t="shared" si="17"/>
        <v>7.09</v>
      </c>
      <c r="K132">
        <f t="shared" ref="K132:K178" si="26">(J132-3.81)^2</f>
        <v>10.758399999999998</v>
      </c>
    </row>
    <row r="133" spans="3:11" x14ac:dyDescent="0.25">
      <c r="C133" s="5">
        <v>131</v>
      </c>
      <c r="D133" s="5" t="s">
        <v>19</v>
      </c>
      <c r="E133" s="2">
        <v>1725.32</v>
      </c>
      <c r="F133" s="2">
        <v>1729.71</v>
      </c>
      <c r="G133" s="5">
        <f t="shared" si="25"/>
        <v>36.902050113894383</v>
      </c>
      <c r="H133" s="5">
        <v>2.86</v>
      </c>
      <c r="I133" s="5">
        <f t="shared" si="24"/>
        <v>4.3</v>
      </c>
      <c r="J133" s="5">
        <f t="shared" si="17"/>
        <v>3.58</v>
      </c>
      <c r="K133">
        <f t="shared" si="26"/>
        <v>5.2899999999999989E-2</v>
      </c>
    </row>
    <row r="134" spans="3:11" x14ac:dyDescent="0.25">
      <c r="C134" s="5">
        <v>132</v>
      </c>
      <c r="D134" s="5" t="s">
        <v>20</v>
      </c>
      <c r="E134" s="2">
        <v>1727.64</v>
      </c>
      <c r="F134" s="2">
        <v>1731.79</v>
      </c>
      <c r="G134" s="5">
        <f t="shared" si="25"/>
        <v>39.036144578314541</v>
      </c>
      <c r="H134" s="5">
        <v>2.08</v>
      </c>
      <c r="I134" s="5">
        <f t="shared" si="24"/>
        <v>2.08</v>
      </c>
      <c r="J134" s="5">
        <f t="shared" si="17"/>
        <v>2.08</v>
      </c>
      <c r="K134">
        <f t="shared" si="26"/>
        <v>2.9929000000000001</v>
      </c>
    </row>
    <row r="135" spans="3:11" x14ac:dyDescent="0.25">
      <c r="C135" s="5">
        <v>133</v>
      </c>
      <c r="D135" s="5" t="s">
        <v>19</v>
      </c>
      <c r="E135" s="2">
        <v>1729.16</v>
      </c>
      <c r="F135" s="2">
        <v>1732.84</v>
      </c>
      <c r="G135" s="5">
        <f t="shared" si="25"/>
        <v>44.021739130436742</v>
      </c>
      <c r="H135" s="5">
        <v>2.92</v>
      </c>
      <c r="I135" s="5">
        <f t="shared" si="24"/>
        <v>4.3599999999999994</v>
      </c>
      <c r="J135" s="5">
        <f t="shared" si="17"/>
        <v>3.6399999999999997</v>
      </c>
      <c r="K135">
        <f t="shared" si="26"/>
        <v>2.8900000000000127E-2</v>
      </c>
    </row>
    <row r="136" spans="3:11" x14ac:dyDescent="0.25">
      <c r="C136" s="5">
        <v>134</v>
      </c>
      <c r="D136" s="5" t="s">
        <v>19</v>
      </c>
      <c r="E136" s="2">
        <v>1730.4</v>
      </c>
      <c r="F136" s="2">
        <v>1734.3600000000001</v>
      </c>
      <c r="G136" s="5">
        <f t="shared" si="25"/>
        <v>40.90909090909053</v>
      </c>
      <c r="H136" s="5">
        <v>3.01</v>
      </c>
      <c r="I136" s="5">
        <f t="shared" si="24"/>
        <v>4.4499999999999993</v>
      </c>
      <c r="J136" s="5">
        <f t="shared" si="17"/>
        <v>3.7299999999999995</v>
      </c>
      <c r="K136">
        <f t="shared" si="26"/>
        <v>6.4000000000000827E-3</v>
      </c>
    </row>
    <row r="137" spans="3:11" x14ac:dyDescent="0.25">
      <c r="C137" s="5">
        <v>135</v>
      </c>
      <c r="D137" s="5" t="s">
        <v>19</v>
      </c>
      <c r="E137" s="2">
        <v>1730.44</v>
      </c>
      <c r="F137" s="2">
        <v>1733.7199999999998</v>
      </c>
      <c r="G137" s="5">
        <f t="shared" si="25"/>
        <v>49.390243902442862</v>
      </c>
      <c r="H137" s="5">
        <v>6.85</v>
      </c>
      <c r="I137" s="5">
        <f t="shared" si="24"/>
        <v>8.2899999999999991</v>
      </c>
      <c r="J137" s="5">
        <f t="shared" si="17"/>
        <v>7.5699999999999994</v>
      </c>
      <c r="K137">
        <f t="shared" si="26"/>
        <v>14.137599999999996</v>
      </c>
    </row>
    <row r="138" spans="3:11" x14ac:dyDescent="0.25">
      <c r="C138" s="5">
        <v>136</v>
      </c>
      <c r="D138" s="5" t="s">
        <v>19</v>
      </c>
      <c r="E138" s="2">
        <v>1732.16</v>
      </c>
      <c r="F138" s="2">
        <v>1736.1100000000001</v>
      </c>
      <c r="G138" s="5">
        <f t="shared" si="25"/>
        <v>41.012658227847631</v>
      </c>
      <c r="H138" s="5">
        <v>3.51</v>
      </c>
      <c r="I138" s="5">
        <f t="shared" si="24"/>
        <v>4.9499999999999993</v>
      </c>
      <c r="J138" s="5">
        <f t="shared" si="17"/>
        <v>4.2299999999999995</v>
      </c>
      <c r="K138">
        <f t="shared" si="26"/>
        <v>0.17639999999999956</v>
      </c>
    </row>
    <row r="139" spans="3:11" x14ac:dyDescent="0.25">
      <c r="C139" s="5">
        <v>137</v>
      </c>
      <c r="D139" s="5" t="s">
        <v>19</v>
      </c>
      <c r="E139" s="2">
        <v>1735.1200000000001</v>
      </c>
      <c r="F139" s="2">
        <v>1738.88</v>
      </c>
      <c r="G139" s="5">
        <f t="shared" si="25"/>
        <v>43.085106382978829</v>
      </c>
      <c r="H139" s="5">
        <v>3.48</v>
      </c>
      <c r="I139" s="5">
        <f t="shared" si="24"/>
        <v>4.92</v>
      </c>
      <c r="J139" s="5">
        <f t="shared" si="17"/>
        <v>4.2</v>
      </c>
      <c r="K139">
        <f t="shared" si="26"/>
        <v>0.1521000000000001</v>
      </c>
    </row>
    <row r="140" spans="3:11" x14ac:dyDescent="0.25">
      <c r="C140" s="5">
        <v>138</v>
      </c>
      <c r="D140" s="5" t="s">
        <v>19</v>
      </c>
      <c r="E140" s="2">
        <v>1735.92</v>
      </c>
      <c r="F140" s="2">
        <v>1739.69</v>
      </c>
      <c r="G140" s="5">
        <f t="shared" si="25"/>
        <v>42.970822281167322</v>
      </c>
      <c r="H140" s="5">
        <v>4.04</v>
      </c>
      <c r="I140" s="5">
        <f t="shared" si="24"/>
        <v>5.48</v>
      </c>
      <c r="J140" s="5">
        <f t="shared" si="17"/>
        <v>4.76</v>
      </c>
      <c r="K140">
        <f t="shared" si="26"/>
        <v>0.90249999999999952</v>
      </c>
    </row>
    <row r="141" spans="3:11" x14ac:dyDescent="0.25">
      <c r="C141" s="5">
        <v>139</v>
      </c>
      <c r="D141" s="5" t="s">
        <v>19</v>
      </c>
      <c r="E141" s="2">
        <v>1738.44</v>
      </c>
      <c r="F141" s="2">
        <v>1741.9</v>
      </c>
      <c r="G141" s="5">
        <f t="shared" si="25"/>
        <v>46.820809248554426</v>
      </c>
      <c r="H141" s="5">
        <v>3.54</v>
      </c>
      <c r="I141" s="5">
        <f t="shared" si="24"/>
        <v>4.9800000000000004</v>
      </c>
      <c r="J141" s="5">
        <f t="shared" si="17"/>
        <v>4.26</v>
      </c>
      <c r="K141">
        <f t="shared" si="26"/>
        <v>0.20249999999999976</v>
      </c>
    </row>
    <row r="142" spans="3:11" x14ac:dyDescent="0.25">
      <c r="C142" s="5">
        <v>140</v>
      </c>
      <c r="D142" s="5" t="s">
        <v>19</v>
      </c>
      <c r="E142" s="2">
        <v>1740.08</v>
      </c>
      <c r="F142" s="2">
        <v>1743.4199999999998</v>
      </c>
      <c r="G142" s="5">
        <f t="shared" si="25"/>
        <v>48.502994011977236</v>
      </c>
      <c r="H142" s="5">
        <v>3.84</v>
      </c>
      <c r="I142" s="5">
        <f t="shared" si="24"/>
        <v>5.2799999999999994</v>
      </c>
      <c r="J142" s="5">
        <f t="shared" si="17"/>
        <v>4.5599999999999996</v>
      </c>
      <c r="K142">
        <f t="shared" si="26"/>
        <v>0.56249999999999933</v>
      </c>
    </row>
    <row r="143" spans="3:11" x14ac:dyDescent="0.25">
      <c r="C143" s="5">
        <v>141</v>
      </c>
      <c r="D143" s="5" t="s">
        <v>20</v>
      </c>
      <c r="E143" s="2">
        <v>1740.48</v>
      </c>
      <c r="F143" s="2">
        <v>1745.26</v>
      </c>
      <c r="G143" s="5">
        <f t="shared" si="25"/>
        <v>33.891213389121532</v>
      </c>
      <c r="H143" s="5">
        <v>2.14</v>
      </c>
      <c r="I143" s="5">
        <f t="shared" si="24"/>
        <v>2.14</v>
      </c>
      <c r="J143" s="5">
        <f t="shared" si="17"/>
        <v>2.14</v>
      </c>
      <c r="K143">
        <f t="shared" si="26"/>
        <v>2.7888999999999999</v>
      </c>
    </row>
    <row r="144" spans="3:11" x14ac:dyDescent="0.25">
      <c r="C144" s="5">
        <v>142</v>
      </c>
      <c r="D144" s="5" t="s">
        <v>20</v>
      </c>
      <c r="E144" s="2">
        <v>1742.68</v>
      </c>
      <c r="F144" s="2">
        <v>1751.1999999999998</v>
      </c>
      <c r="G144" s="5">
        <f t="shared" si="25"/>
        <v>19.014084507042803</v>
      </c>
      <c r="H144" s="5">
        <v>1.03</v>
      </c>
      <c r="I144" s="5">
        <f t="shared" si="24"/>
        <v>1.03</v>
      </c>
      <c r="J144" s="5">
        <f t="shared" si="17"/>
        <v>1.03</v>
      </c>
      <c r="K144">
        <f t="shared" si="26"/>
        <v>7.7284000000000015</v>
      </c>
    </row>
    <row r="145" spans="3:11" x14ac:dyDescent="0.25">
      <c r="C145" s="5">
        <v>143</v>
      </c>
      <c r="D145" s="5" t="s">
        <v>19</v>
      </c>
      <c r="E145" s="2">
        <v>1742.48</v>
      </c>
      <c r="F145" s="2">
        <v>1745.75</v>
      </c>
      <c r="G145" s="5">
        <f t="shared" si="25"/>
        <v>49.541284403669998</v>
      </c>
      <c r="H145" s="5">
        <v>4.09</v>
      </c>
      <c r="I145" s="5">
        <f t="shared" si="24"/>
        <v>5.5299999999999994</v>
      </c>
      <c r="J145" s="5">
        <f t="shared" si="17"/>
        <v>4.8099999999999996</v>
      </c>
      <c r="K145">
        <f t="shared" si="26"/>
        <v>0.99999999999999911</v>
      </c>
    </row>
    <row r="146" spans="3:11" x14ac:dyDescent="0.25">
      <c r="C146" s="5">
        <v>144</v>
      </c>
      <c r="D146" s="5" t="s">
        <v>19</v>
      </c>
      <c r="E146" s="2">
        <v>1744.04</v>
      </c>
      <c r="F146" s="2">
        <v>1747.55</v>
      </c>
      <c r="G146" s="5">
        <f t="shared" si="25"/>
        <v>46.153846153846274</v>
      </c>
      <c r="H146" s="5">
        <v>3.7</v>
      </c>
      <c r="I146" s="5">
        <f t="shared" si="24"/>
        <v>5.1400000000000006</v>
      </c>
      <c r="J146" s="5">
        <f t="shared" si="17"/>
        <v>4.42</v>
      </c>
      <c r="K146">
        <f t="shared" si="26"/>
        <v>0.37209999999999988</v>
      </c>
    </row>
    <row r="147" spans="3:11" x14ac:dyDescent="0.25">
      <c r="C147" s="5">
        <v>145</v>
      </c>
      <c r="D147" s="5" t="s">
        <v>20</v>
      </c>
      <c r="E147" s="2">
        <v>1744.16</v>
      </c>
      <c r="F147" s="2">
        <v>1748.38</v>
      </c>
      <c r="G147" s="5">
        <f t="shared" si="25"/>
        <v>38.388625592416815</v>
      </c>
      <c r="H147" s="5">
        <v>2.0299999999999998</v>
      </c>
      <c r="I147" s="5">
        <f t="shared" si="24"/>
        <v>2.0299999999999998</v>
      </c>
      <c r="J147" s="5">
        <f t="shared" si="17"/>
        <v>2.0299999999999998</v>
      </c>
      <c r="K147">
        <f t="shared" si="26"/>
        <v>3.168400000000001</v>
      </c>
    </row>
    <row r="148" spans="3:11" x14ac:dyDescent="0.25">
      <c r="C148" s="5">
        <v>146</v>
      </c>
      <c r="D148" s="5" t="s">
        <v>19</v>
      </c>
      <c r="E148" s="2">
        <v>1745.4</v>
      </c>
      <c r="F148" s="2">
        <v>1749.0600000000002</v>
      </c>
      <c r="G148" s="5">
        <f t="shared" si="25"/>
        <v>44.262295081966222</v>
      </c>
      <c r="H148" s="5">
        <v>4.51</v>
      </c>
      <c r="I148" s="5">
        <f t="shared" si="24"/>
        <v>5.9499999999999993</v>
      </c>
      <c r="J148" s="5">
        <f t="shared" si="17"/>
        <v>5.2299999999999995</v>
      </c>
      <c r="K148">
        <f t="shared" si="26"/>
        <v>2.0163999999999986</v>
      </c>
    </row>
    <row r="149" spans="3:11" x14ac:dyDescent="0.25">
      <c r="C149" s="5">
        <v>147</v>
      </c>
      <c r="D149" s="5" t="s">
        <v>20</v>
      </c>
      <c r="E149" s="2">
        <v>1749.64</v>
      </c>
      <c r="F149" s="2">
        <v>1752.98</v>
      </c>
      <c r="G149" s="5">
        <f t="shared" si="25"/>
        <v>48.502994011977236</v>
      </c>
      <c r="H149" s="5">
        <v>3.26</v>
      </c>
      <c r="I149" s="5">
        <f t="shared" si="24"/>
        <v>3.26</v>
      </c>
      <c r="J149" s="5">
        <f t="shared" si="17"/>
        <v>3.26</v>
      </c>
      <c r="K149">
        <f t="shared" si="26"/>
        <v>0.30250000000000027</v>
      </c>
    </row>
    <row r="150" spans="3:11" x14ac:dyDescent="0.25">
      <c r="C150" s="5">
        <v>148</v>
      </c>
      <c r="D150" s="5" t="s">
        <v>19</v>
      </c>
      <c r="E150" s="2">
        <v>1753.2</v>
      </c>
      <c r="F150" s="2">
        <v>1761.17</v>
      </c>
      <c r="G150" s="5">
        <f t="shared" si="25"/>
        <v>20.326223337515614</v>
      </c>
      <c r="H150" s="5">
        <v>4.45</v>
      </c>
      <c r="I150" s="5">
        <f t="shared" si="24"/>
        <v>5.8900000000000006</v>
      </c>
      <c r="J150" s="5">
        <f t="shared" si="17"/>
        <v>5.17</v>
      </c>
      <c r="K150">
        <f t="shared" si="26"/>
        <v>1.8495999999999997</v>
      </c>
    </row>
    <row r="151" spans="3:11" x14ac:dyDescent="0.25">
      <c r="C151" s="5">
        <v>149</v>
      </c>
      <c r="D151" s="5" t="s">
        <v>19</v>
      </c>
      <c r="E151" s="2">
        <v>1753.6000000000001</v>
      </c>
      <c r="F151" s="2">
        <v>1757.3</v>
      </c>
      <c r="G151" s="5">
        <f t="shared" si="25"/>
        <v>43.783783783785935</v>
      </c>
      <c r="H151" s="5">
        <v>1.96</v>
      </c>
      <c r="I151" s="5">
        <f t="shared" si="24"/>
        <v>3.4</v>
      </c>
      <c r="J151" s="5">
        <f t="shared" si="17"/>
        <v>2.6799999999999997</v>
      </c>
      <c r="K151">
        <f t="shared" si="26"/>
        <v>1.2769000000000008</v>
      </c>
    </row>
    <row r="152" spans="3:11" x14ac:dyDescent="0.25">
      <c r="C152" s="5">
        <v>150</v>
      </c>
      <c r="D152" s="5" t="s">
        <v>19</v>
      </c>
      <c r="E152" s="2">
        <v>1754.6000000000001</v>
      </c>
      <c r="F152" s="2">
        <v>1758.91</v>
      </c>
      <c r="G152" s="5">
        <f t="shared" si="25"/>
        <v>37.587006960557325</v>
      </c>
      <c r="H152" s="5">
        <v>1.35</v>
      </c>
      <c r="I152" s="5">
        <f t="shared" si="24"/>
        <v>2.79</v>
      </c>
      <c r="J152" s="5">
        <f t="shared" si="17"/>
        <v>2.0700000000000003</v>
      </c>
      <c r="K152">
        <f t="shared" si="26"/>
        <v>3.0275999999999992</v>
      </c>
    </row>
    <row r="153" spans="3:11" x14ac:dyDescent="0.25">
      <c r="C153" s="5">
        <v>151</v>
      </c>
      <c r="D153" s="5" t="s">
        <v>19</v>
      </c>
      <c r="E153" s="2">
        <v>1756.1200000000001</v>
      </c>
      <c r="F153" s="2">
        <v>1758.8799999999999</v>
      </c>
      <c r="G153" s="5">
        <f t="shared" si="25"/>
        <v>58.69565217391807</v>
      </c>
      <c r="H153" s="5">
        <v>1.35</v>
      </c>
      <c r="I153" s="5">
        <f t="shared" si="24"/>
        <v>2.79</v>
      </c>
      <c r="J153" s="5">
        <f t="shared" si="17"/>
        <v>2.0700000000000003</v>
      </c>
      <c r="K153">
        <f t="shared" si="26"/>
        <v>3.0275999999999992</v>
      </c>
    </row>
    <row r="154" spans="3:11" x14ac:dyDescent="0.25">
      <c r="C154" s="5">
        <v>152</v>
      </c>
      <c r="D154" s="5" t="s">
        <v>19</v>
      </c>
      <c r="E154" s="2">
        <v>1757.32</v>
      </c>
      <c r="F154" s="2">
        <v>1760.31</v>
      </c>
      <c r="G154" s="5">
        <f t="shared" si="25"/>
        <v>54.180602006688794</v>
      </c>
      <c r="H154" s="5">
        <v>1.29</v>
      </c>
      <c r="I154" s="5">
        <f t="shared" si="24"/>
        <v>2.73</v>
      </c>
      <c r="J154" s="5">
        <f t="shared" si="17"/>
        <v>2.0099999999999998</v>
      </c>
      <c r="K154">
        <f t="shared" si="26"/>
        <v>3.2400000000000011</v>
      </c>
    </row>
    <row r="155" spans="3:11" x14ac:dyDescent="0.25">
      <c r="C155" s="5">
        <v>153</v>
      </c>
      <c r="D155" s="5" t="s">
        <v>19</v>
      </c>
      <c r="E155" s="2">
        <v>1757.68</v>
      </c>
      <c r="F155" s="2">
        <v>1762.69</v>
      </c>
      <c r="G155" s="5">
        <f t="shared" si="25"/>
        <v>32.335329341317426</v>
      </c>
      <c r="H155" s="5">
        <v>2.2400000000000002</v>
      </c>
      <c r="I155" s="5">
        <f t="shared" si="24"/>
        <v>3.68</v>
      </c>
      <c r="J155" s="5">
        <f t="shared" si="17"/>
        <v>2.96</v>
      </c>
      <c r="K155">
        <f t="shared" si="26"/>
        <v>0.72250000000000014</v>
      </c>
    </row>
    <row r="156" spans="3:11" x14ac:dyDescent="0.25">
      <c r="C156" s="5">
        <v>154</v>
      </c>
      <c r="D156" s="5" t="s">
        <v>20</v>
      </c>
      <c r="E156" s="2">
        <v>1757.8</v>
      </c>
      <c r="F156" s="2">
        <v>1762.28</v>
      </c>
      <c r="G156" s="5">
        <f t="shared" si="25"/>
        <v>36.160714285714143</v>
      </c>
      <c r="H156" s="5">
        <v>0.93</v>
      </c>
      <c r="I156" s="5">
        <f t="shared" si="24"/>
        <v>0.93</v>
      </c>
      <c r="J156" s="5">
        <f t="shared" si="17"/>
        <v>0.93</v>
      </c>
      <c r="K156">
        <f t="shared" si="26"/>
        <v>8.2943999999999996</v>
      </c>
    </row>
    <row r="157" spans="3:11" x14ac:dyDescent="0.25">
      <c r="C157" s="5">
        <v>155</v>
      </c>
      <c r="D157" s="5" t="s">
        <v>19</v>
      </c>
      <c r="E157" s="2">
        <v>1757.96</v>
      </c>
      <c r="F157" s="2">
        <v>1763.81</v>
      </c>
      <c r="G157" s="5">
        <f t="shared" si="25"/>
        <v>27.692307692308123</v>
      </c>
      <c r="H157" s="5">
        <v>2.38</v>
      </c>
      <c r="I157" s="5">
        <f t="shared" si="24"/>
        <v>3.82</v>
      </c>
      <c r="J157" s="5">
        <f t="shared" si="17"/>
        <v>3.0999999999999996</v>
      </c>
      <c r="K157">
        <f t="shared" si="26"/>
        <v>0.50410000000000055</v>
      </c>
    </row>
    <row r="158" spans="3:11" x14ac:dyDescent="0.25">
      <c r="C158" s="5">
        <v>156</v>
      </c>
      <c r="D158" s="5" t="s">
        <v>19</v>
      </c>
      <c r="E158" s="2">
        <v>1759.8</v>
      </c>
      <c r="F158" s="2">
        <v>1764.8999999999999</v>
      </c>
      <c r="G158" s="5">
        <f t="shared" si="25"/>
        <v>31.764705882353507</v>
      </c>
      <c r="H158" s="5">
        <v>2.92</v>
      </c>
      <c r="I158" s="5">
        <f t="shared" si="24"/>
        <v>4.3599999999999994</v>
      </c>
      <c r="J158" s="5">
        <f t="shared" si="17"/>
        <v>3.6399999999999997</v>
      </c>
      <c r="K158">
        <f t="shared" si="26"/>
        <v>2.8900000000000127E-2</v>
      </c>
    </row>
    <row r="159" spans="3:11" x14ac:dyDescent="0.25">
      <c r="C159" s="5">
        <v>157</v>
      </c>
      <c r="D159" s="5" t="s">
        <v>19</v>
      </c>
      <c r="E159" s="2">
        <v>1761.28</v>
      </c>
      <c r="F159" s="2">
        <v>1766</v>
      </c>
      <c r="G159" s="5">
        <f t="shared" si="25"/>
        <v>34.322033898304888</v>
      </c>
      <c r="H159" s="5">
        <v>3.57</v>
      </c>
      <c r="I159" s="5">
        <f t="shared" si="24"/>
        <v>5.01</v>
      </c>
      <c r="J159" s="5">
        <f t="shared" si="17"/>
        <v>4.29</v>
      </c>
      <c r="K159">
        <f t="shared" si="26"/>
        <v>0.23039999999999999</v>
      </c>
    </row>
    <row r="160" spans="3:11" x14ac:dyDescent="0.25">
      <c r="C160" s="5">
        <v>158</v>
      </c>
      <c r="D160" s="5" t="s">
        <v>19</v>
      </c>
      <c r="E160" s="2">
        <v>1762.8</v>
      </c>
      <c r="F160" s="2">
        <v>1767.25</v>
      </c>
      <c r="G160" s="5">
        <f t="shared" si="25"/>
        <v>36.404494382022101</v>
      </c>
      <c r="H160" s="5">
        <v>2.2799999999999998</v>
      </c>
      <c r="I160" s="5">
        <f t="shared" si="24"/>
        <v>3.7199999999999998</v>
      </c>
      <c r="J160" s="5">
        <f t="shared" si="17"/>
        <v>3</v>
      </c>
      <c r="K160">
        <f t="shared" si="26"/>
        <v>0.65610000000000013</v>
      </c>
    </row>
    <row r="161" spans="3:11" x14ac:dyDescent="0.25">
      <c r="C161" s="5">
        <v>159</v>
      </c>
      <c r="D161" s="5" t="s">
        <v>19</v>
      </c>
      <c r="E161" s="2">
        <v>1764.48</v>
      </c>
      <c r="F161" s="2">
        <v>1768.4299999999998</v>
      </c>
      <c r="G161" s="5">
        <f t="shared" si="25"/>
        <v>41.01265822784999</v>
      </c>
      <c r="H161" s="5">
        <v>3.44</v>
      </c>
      <c r="I161" s="5">
        <f t="shared" si="24"/>
        <v>4.88</v>
      </c>
      <c r="J161" s="5">
        <f t="shared" si="17"/>
        <v>4.16</v>
      </c>
      <c r="K161">
        <f t="shared" si="26"/>
        <v>0.12250000000000007</v>
      </c>
    </row>
    <row r="162" spans="3:11" x14ac:dyDescent="0.25">
      <c r="C162" s="5">
        <v>160</v>
      </c>
      <c r="D162" s="5" t="s">
        <v>19</v>
      </c>
      <c r="E162" s="2">
        <v>1765.96</v>
      </c>
      <c r="F162" s="2">
        <v>1769.78</v>
      </c>
      <c r="G162" s="5">
        <f t="shared" si="25"/>
        <v>42.408376963351493</v>
      </c>
      <c r="H162" s="5">
        <v>2.74</v>
      </c>
      <c r="I162" s="5">
        <f t="shared" si="24"/>
        <v>4.18</v>
      </c>
      <c r="J162" s="5">
        <f t="shared" si="17"/>
        <v>3.46</v>
      </c>
      <c r="K162">
        <f t="shared" si="26"/>
        <v>0.12250000000000007</v>
      </c>
    </row>
    <row r="163" spans="3:11" x14ac:dyDescent="0.25">
      <c r="C163" s="5">
        <v>161</v>
      </c>
      <c r="D163" s="5" t="s">
        <v>19</v>
      </c>
      <c r="E163" s="2">
        <v>1767.76</v>
      </c>
      <c r="F163" s="2">
        <v>1771.38</v>
      </c>
      <c r="G163" s="5">
        <f t="shared" si="25"/>
        <v>44.75138121546815</v>
      </c>
      <c r="H163" s="5">
        <v>3.28</v>
      </c>
      <c r="I163" s="5">
        <f t="shared" ref="I163:I178" si="27">IF(D163="Car",H163+1.44,IF(D163="Bus",H163+2.43,IF(D163="Auto",H163+1.4,IF(D163="TAT", H163+2.1, IF(D163="TAT", H163+2.35,H163)))))</f>
        <v>4.72</v>
      </c>
      <c r="J163" s="5">
        <f t="shared" si="17"/>
        <v>4</v>
      </c>
      <c r="K163">
        <f t="shared" si="26"/>
        <v>3.6099999999999979E-2</v>
      </c>
    </row>
    <row r="164" spans="3:11" x14ac:dyDescent="0.25">
      <c r="C164" s="5">
        <v>162</v>
      </c>
      <c r="D164" s="5" t="s">
        <v>19</v>
      </c>
      <c r="E164" s="2">
        <v>1769.1200000000001</v>
      </c>
      <c r="F164" s="2">
        <v>1772.61</v>
      </c>
      <c r="G164" s="5">
        <f t="shared" si="25"/>
        <v>46.418338108885429</v>
      </c>
      <c r="H164" s="5">
        <v>3.27</v>
      </c>
      <c r="I164" s="5">
        <f t="shared" si="27"/>
        <v>4.71</v>
      </c>
      <c r="J164" s="5">
        <f t="shared" si="17"/>
        <v>3.99</v>
      </c>
      <c r="K164">
        <f t="shared" si="26"/>
        <v>3.2400000000000061E-2</v>
      </c>
    </row>
    <row r="165" spans="3:11" x14ac:dyDescent="0.25">
      <c r="C165" s="5">
        <v>163</v>
      </c>
      <c r="D165" s="5" t="s">
        <v>19</v>
      </c>
      <c r="E165" s="2">
        <v>1771.1200000000001</v>
      </c>
      <c r="F165" s="2">
        <v>1774.8300000000002</v>
      </c>
      <c r="G165" s="5">
        <f t="shared" si="25"/>
        <v>43.665768194069656</v>
      </c>
      <c r="H165" s="5">
        <v>3.59</v>
      </c>
      <c r="I165" s="5">
        <f t="shared" si="27"/>
        <v>5.0299999999999994</v>
      </c>
      <c r="J165" s="5">
        <f t="shared" si="17"/>
        <v>4.3099999999999996</v>
      </c>
      <c r="K165">
        <f t="shared" si="26"/>
        <v>0.24999999999999956</v>
      </c>
    </row>
    <row r="166" spans="3:11" x14ac:dyDescent="0.25">
      <c r="C166" s="5">
        <v>164</v>
      </c>
      <c r="D166" s="5" t="s">
        <v>20</v>
      </c>
      <c r="E166" s="2">
        <v>1772.2</v>
      </c>
      <c r="F166" s="2">
        <v>1776.72</v>
      </c>
      <c r="G166" s="5">
        <f t="shared" si="25"/>
        <v>35.840707964601911</v>
      </c>
      <c r="H166" s="5">
        <v>2.62</v>
      </c>
      <c r="I166" s="5">
        <f t="shared" si="27"/>
        <v>2.62</v>
      </c>
      <c r="J166" s="5">
        <f t="shared" si="17"/>
        <v>2.62</v>
      </c>
      <c r="K166">
        <f t="shared" si="26"/>
        <v>1.4160999999999999</v>
      </c>
    </row>
    <row r="167" spans="3:11" x14ac:dyDescent="0.25">
      <c r="C167" s="5">
        <v>165</v>
      </c>
      <c r="D167" s="5" t="s">
        <v>18</v>
      </c>
      <c r="E167" s="2">
        <v>1772.6000000000001</v>
      </c>
      <c r="F167" s="2">
        <v>1779.93</v>
      </c>
      <c r="G167" s="5">
        <f t="shared" si="25"/>
        <v>22.100954979536372</v>
      </c>
      <c r="H167" s="5">
        <v>3.09</v>
      </c>
      <c r="I167" s="5">
        <f t="shared" si="27"/>
        <v>4.49</v>
      </c>
      <c r="J167" s="5">
        <f t="shared" si="17"/>
        <v>3.79</v>
      </c>
      <c r="K167">
        <f t="shared" si="26"/>
        <v>4.0000000000000072E-4</v>
      </c>
    </row>
    <row r="168" spans="3:11" x14ac:dyDescent="0.25">
      <c r="C168" s="5">
        <v>166</v>
      </c>
      <c r="D168" s="5" t="s">
        <v>19</v>
      </c>
      <c r="E168" s="2">
        <v>1772.92</v>
      </c>
      <c r="F168" s="2">
        <v>1777.25</v>
      </c>
      <c r="G168" s="5">
        <f t="shared" si="25"/>
        <v>37.413394919169221</v>
      </c>
      <c r="H168" s="5">
        <v>4.79</v>
      </c>
      <c r="I168" s="5">
        <f t="shared" si="27"/>
        <v>6.23</v>
      </c>
      <c r="J168" s="5">
        <f t="shared" si="17"/>
        <v>5.51</v>
      </c>
      <c r="K168">
        <f t="shared" si="26"/>
        <v>2.8899999999999992</v>
      </c>
    </row>
    <row r="169" spans="3:11" x14ac:dyDescent="0.25">
      <c r="C169" s="5">
        <v>167</v>
      </c>
      <c r="D169" s="5" t="s">
        <v>18</v>
      </c>
      <c r="E169" s="2">
        <v>1778.64</v>
      </c>
      <c r="F169" s="2">
        <v>1782.73</v>
      </c>
      <c r="G169" s="5">
        <f t="shared" si="25"/>
        <v>39.608801955991012</v>
      </c>
      <c r="H169" s="5">
        <v>3.32</v>
      </c>
      <c r="I169" s="5">
        <f t="shared" si="27"/>
        <v>4.72</v>
      </c>
      <c r="J169" s="5">
        <f t="shared" si="17"/>
        <v>4.0199999999999996</v>
      </c>
      <c r="K169">
        <f t="shared" si="26"/>
        <v>4.4099999999999799E-2</v>
      </c>
    </row>
    <row r="170" spans="3:11" x14ac:dyDescent="0.25">
      <c r="C170" s="5">
        <v>168</v>
      </c>
      <c r="D170" s="5" t="s">
        <v>19</v>
      </c>
      <c r="E170" s="2">
        <v>1778.68</v>
      </c>
      <c r="F170" s="2">
        <v>1782.27</v>
      </c>
      <c r="G170" s="5">
        <f t="shared" si="25"/>
        <v>45.125348189416066</v>
      </c>
      <c r="H170" s="5">
        <v>4.29</v>
      </c>
      <c r="I170" s="5">
        <f t="shared" si="27"/>
        <v>5.73</v>
      </c>
      <c r="J170" s="5">
        <f t="shared" si="17"/>
        <v>5.01</v>
      </c>
      <c r="K170">
        <f t="shared" si="26"/>
        <v>1.4399999999999993</v>
      </c>
    </row>
    <row r="171" spans="3:11" x14ac:dyDescent="0.25">
      <c r="C171" s="5">
        <v>169</v>
      </c>
      <c r="D171" s="5" t="s">
        <v>20</v>
      </c>
      <c r="E171" s="2">
        <v>1779.56</v>
      </c>
      <c r="F171" s="2">
        <v>1783.0800000000002</v>
      </c>
      <c r="G171" s="5">
        <f t="shared" si="25"/>
        <v>46.022727272724538</v>
      </c>
      <c r="H171" s="5">
        <v>5.26</v>
      </c>
      <c r="I171" s="5">
        <f t="shared" si="27"/>
        <v>5.26</v>
      </c>
      <c r="J171" s="5">
        <f t="shared" si="17"/>
        <v>5.26</v>
      </c>
      <c r="K171">
        <f t="shared" si="26"/>
        <v>2.1024999999999991</v>
      </c>
    </row>
    <row r="172" spans="3:11" x14ac:dyDescent="0.25">
      <c r="C172" s="5">
        <v>170</v>
      </c>
      <c r="D172" s="5" t="s">
        <v>19</v>
      </c>
      <c r="E172" s="2">
        <v>1783.28</v>
      </c>
      <c r="F172" s="2">
        <v>1786.44</v>
      </c>
      <c r="G172" s="5">
        <f t="shared" si="25"/>
        <v>51.265822784808805</v>
      </c>
      <c r="H172" s="5">
        <v>1.1599999999999999</v>
      </c>
      <c r="I172" s="5">
        <f t="shared" si="27"/>
        <v>2.5999999999999996</v>
      </c>
      <c r="J172" s="5">
        <f t="shared" si="17"/>
        <v>1.88</v>
      </c>
      <c r="K172">
        <f t="shared" si="26"/>
        <v>3.7249000000000008</v>
      </c>
    </row>
    <row r="173" spans="3:11" x14ac:dyDescent="0.25">
      <c r="C173" s="5">
        <v>171</v>
      </c>
      <c r="D173" s="5" t="s">
        <v>19</v>
      </c>
      <c r="E173" s="2">
        <v>1783.92</v>
      </c>
      <c r="F173" s="2">
        <v>1787.22</v>
      </c>
      <c r="G173" s="5">
        <f t="shared" si="25"/>
        <v>49.090909090909769</v>
      </c>
      <c r="H173" s="5">
        <v>5.43</v>
      </c>
      <c r="I173" s="5">
        <f t="shared" si="27"/>
        <v>6.8699999999999992</v>
      </c>
      <c r="J173" s="5">
        <f t="shared" si="17"/>
        <v>6.1499999999999995</v>
      </c>
      <c r="K173">
        <f t="shared" si="26"/>
        <v>5.4755999999999974</v>
      </c>
    </row>
    <row r="174" spans="3:11" x14ac:dyDescent="0.25">
      <c r="C174" s="5">
        <v>172</v>
      </c>
      <c r="D174" s="5" t="s">
        <v>20</v>
      </c>
      <c r="E174" s="2">
        <v>1784.16</v>
      </c>
      <c r="F174" s="2">
        <v>1792.01</v>
      </c>
      <c r="G174" s="5">
        <f t="shared" si="25"/>
        <v>20.636942675159474</v>
      </c>
      <c r="H174" s="5">
        <v>1.27</v>
      </c>
      <c r="I174" s="5">
        <f t="shared" si="27"/>
        <v>1.27</v>
      </c>
      <c r="J174" s="5">
        <f t="shared" si="17"/>
        <v>1.27</v>
      </c>
      <c r="K174">
        <f t="shared" si="26"/>
        <v>6.4516</v>
      </c>
    </row>
    <row r="175" spans="3:11" x14ac:dyDescent="0.25">
      <c r="C175" s="5">
        <v>173</v>
      </c>
      <c r="D175" s="5" t="s">
        <v>20</v>
      </c>
      <c r="E175" s="2">
        <v>1790.16</v>
      </c>
      <c r="F175" s="2">
        <v>1793.42</v>
      </c>
      <c r="G175" s="5">
        <f t="shared" si="25"/>
        <v>49.693251533742469</v>
      </c>
      <c r="H175" s="5">
        <v>3.1</v>
      </c>
      <c r="I175" s="5">
        <f t="shared" si="27"/>
        <v>3.1</v>
      </c>
      <c r="J175" s="5">
        <f t="shared" si="17"/>
        <v>3.1</v>
      </c>
      <c r="K175">
        <f t="shared" si="26"/>
        <v>0.50409999999999999</v>
      </c>
    </row>
    <row r="176" spans="3:11" x14ac:dyDescent="0.25">
      <c r="C176" s="5">
        <v>174</v>
      </c>
      <c r="D176" s="5" t="s">
        <v>20</v>
      </c>
      <c r="E176" s="2">
        <v>1790.56</v>
      </c>
      <c r="F176" s="2">
        <v>1794.64</v>
      </c>
      <c r="G176" s="5">
        <f t="shared" si="25"/>
        <v>39.705882352939675</v>
      </c>
      <c r="H176" s="5">
        <v>3.14</v>
      </c>
      <c r="I176" s="5">
        <f t="shared" si="27"/>
        <v>3.14</v>
      </c>
      <c r="J176" s="5">
        <f t="shared" si="17"/>
        <v>3.14</v>
      </c>
      <c r="K176">
        <f t="shared" si="26"/>
        <v>0.44889999999999991</v>
      </c>
    </row>
    <row r="177" spans="3:11" x14ac:dyDescent="0.25">
      <c r="C177" s="5">
        <v>175</v>
      </c>
      <c r="D177" s="5" t="s">
        <v>19</v>
      </c>
      <c r="E177" s="2">
        <v>1795.16</v>
      </c>
      <c r="F177" s="2">
        <v>1800.51</v>
      </c>
      <c r="G177" s="5">
        <f t="shared" si="25"/>
        <v>30.280373831776217</v>
      </c>
      <c r="H177" s="5">
        <v>3.24</v>
      </c>
      <c r="I177" s="5">
        <f t="shared" si="27"/>
        <v>4.68</v>
      </c>
      <c r="J177" s="5">
        <f t="shared" si="17"/>
        <v>3.96</v>
      </c>
      <c r="K177">
        <f t="shared" si="26"/>
        <v>2.2499999999999975E-2</v>
      </c>
    </row>
    <row r="178" spans="3:11" x14ac:dyDescent="0.25">
      <c r="C178" s="5">
        <v>176</v>
      </c>
      <c r="D178" s="5" t="s">
        <v>20</v>
      </c>
      <c r="E178" s="2">
        <v>1795.56</v>
      </c>
      <c r="F178" s="2">
        <v>1798.86</v>
      </c>
      <c r="G178" s="5">
        <f t="shared" si="25"/>
        <v>49.090909090909769</v>
      </c>
      <c r="H178" s="5">
        <v>2.14</v>
      </c>
      <c r="I178" s="5">
        <f t="shared" si="27"/>
        <v>2.14</v>
      </c>
      <c r="J178" s="5">
        <f t="shared" si="17"/>
        <v>2.14</v>
      </c>
      <c r="K178">
        <f t="shared" si="26"/>
        <v>2.7888999999999999</v>
      </c>
    </row>
    <row r="180" spans="3:11" ht="15.75" thickBot="1" x14ac:dyDescent="0.3"/>
    <row r="181" spans="3:11" ht="15.75" x14ac:dyDescent="0.25">
      <c r="D181" s="12" t="s">
        <v>28</v>
      </c>
      <c r="E181" s="13" t="s">
        <v>29</v>
      </c>
      <c r="F181" s="13" t="s">
        <v>30</v>
      </c>
      <c r="G181" s="13" t="s">
        <v>31</v>
      </c>
      <c r="H181" s="13" t="s">
        <v>32</v>
      </c>
      <c r="I181" s="14" t="s">
        <v>33</v>
      </c>
    </row>
    <row r="182" spans="3:11" x14ac:dyDescent="0.25">
      <c r="D182" s="15" t="s">
        <v>20</v>
      </c>
      <c r="E182" s="2">
        <f>COUNTIF(D9:D177,"TW")/176</f>
        <v>0.32954545454545453</v>
      </c>
      <c r="F182" s="2">
        <v>0.25</v>
      </c>
      <c r="G182" s="2">
        <f>(F182*F182)</f>
        <v>6.25E-2</v>
      </c>
      <c r="H182" s="2">
        <f>E182*F182</f>
        <v>8.2386363636363633E-2</v>
      </c>
      <c r="I182" s="16">
        <f>E182*G182</f>
        <v>2.0596590909090908E-2</v>
      </c>
    </row>
    <row r="183" spans="3:11" x14ac:dyDescent="0.25">
      <c r="D183" s="15" t="s">
        <v>41</v>
      </c>
      <c r="E183" s="2">
        <f>COUNTIF(D9:D177,"Cycle Rikshaw")/176</f>
        <v>0</v>
      </c>
      <c r="F183" s="2">
        <v>2.1</v>
      </c>
      <c r="G183" s="2">
        <f t="shared" ref="G183:G188" si="28">(F183*F183)</f>
        <v>4.41</v>
      </c>
      <c r="H183" s="2">
        <f t="shared" ref="H183:H188" si="29">E183*F183</f>
        <v>0</v>
      </c>
      <c r="I183" s="16">
        <f t="shared" ref="I183:I188" si="30">E183*G183</f>
        <v>0</v>
      </c>
    </row>
    <row r="184" spans="3:11" x14ac:dyDescent="0.25">
      <c r="D184" s="15" t="s">
        <v>24</v>
      </c>
      <c r="E184" s="2">
        <f>COUNTIF(D9:D177,"Cycle")/176</f>
        <v>2.8409090909090908E-2</v>
      </c>
      <c r="F184" s="2">
        <v>0.4</v>
      </c>
      <c r="G184" s="2">
        <f t="shared" si="28"/>
        <v>0.16000000000000003</v>
      </c>
      <c r="H184" s="2">
        <f t="shared" si="29"/>
        <v>1.1363636363636364E-2</v>
      </c>
      <c r="I184" s="16">
        <f t="shared" si="30"/>
        <v>4.5454545454545461E-3</v>
      </c>
    </row>
    <row r="185" spans="3:11" x14ac:dyDescent="0.25">
      <c r="D185" s="15" t="s">
        <v>19</v>
      </c>
      <c r="E185" s="2">
        <f>COUNTIF(D9:D177,"Car")/176</f>
        <v>0.5625</v>
      </c>
      <c r="F185" s="2">
        <v>1</v>
      </c>
      <c r="G185" s="2">
        <f t="shared" si="28"/>
        <v>1</v>
      </c>
      <c r="H185" s="2">
        <f t="shared" si="29"/>
        <v>0.5625</v>
      </c>
      <c r="I185" s="16">
        <f t="shared" si="30"/>
        <v>0.5625</v>
      </c>
    </row>
    <row r="186" spans="3:11" x14ac:dyDescent="0.25">
      <c r="D186" s="15" t="s">
        <v>18</v>
      </c>
      <c r="E186" s="2">
        <f>COUNTIF(D9:D177,"Auto")/176</f>
        <v>2.2727272727272728E-2</v>
      </c>
      <c r="F186" s="2">
        <v>1.2</v>
      </c>
      <c r="G186" s="2">
        <f t="shared" si="28"/>
        <v>1.44</v>
      </c>
      <c r="H186" s="2">
        <f t="shared" si="29"/>
        <v>2.7272727272727271E-2</v>
      </c>
      <c r="I186" s="16">
        <f t="shared" si="30"/>
        <v>3.272727272727273E-2</v>
      </c>
    </row>
    <row r="187" spans="3:11" x14ac:dyDescent="0.25">
      <c r="D187" s="15" t="s">
        <v>22</v>
      </c>
      <c r="E187" s="2">
        <f>COUNTIF(D9:D177,"Bus")/176</f>
        <v>5.681818181818182E-3</v>
      </c>
      <c r="F187" s="2">
        <v>4.5</v>
      </c>
      <c r="G187" s="2">
        <f t="shared" si="28"/>
        <v>20.25</v>
      </c>
      <c r="H187" s="2">
        <f t="shared" si="29"/>
        <v>2.556818181818182E-2</v>
      </c>
      <c r="I187" s="16">
        <f t="shared" si="30"/>
        <v>0.11505681818181819</v>
      </c>
    </row>
    <row r="188" spans="3:11" x14ac:dyDescent="0.25">
      <c r="D188" s="15" t="s">
        <v>21</v>
      </c>
      <c r="E188" s="2">
        <f>COUNTIF(D9:D177,"TAT")/176</f>
        <v>5.681818181818182E-3</v>
      </c>
      <c r="F188" s="2">
        <v>4.8</v>
      </c>
      <c r="G188" s="2">
        <f t="shared" si="28"/>
        <v>23.04</v>
      </c>
      <c r="H188" s="2">
        <f t="shared" si="29"/>
        <v>2.7272727272727271E-2</v>
      </c>
      <c r="I188" s="16">
        <f t="shared" si="30"/>
        <v>0.13090909090909092</v>
      </c>
    </row>
    <row r="189" spans="3:11" x14ac:dyDescent="0.25">
      <c r="D189" s="15"/>
      <c r="E189" s="2"/>
      <c r="F189" s="2"/>
      <c r="G189" s="11" t="s">
        <v>34</v>
      </c>
      <c r="H189" s="2">
        <f>SUM(H182:H188)</f>
        <v>0.73636363636363622</v>
      </c>
      <c r="I189" s="16">
        <f>SUM(I182:I188)</f>
        <v>0.86633522727272738</v>
      </c>
    </row>
    <row r="190" spans="3:11" x14ac:dyDescent="0.25">
      <c r="D190" s="15"/>
      <c r="E190" s="2"/>
      <c r="F190" s="2"/>
      <c r="G190" s="11" t="s">
        <v>37</v>
      </c>
      <c r="H190" s="2">
        <f>H189*H189</f>
        <v>0.5422314049586775</v>
      </c>
      <c r="I190" s="16"/>
    </row>
    <row r="191" spans="3:11" ht="19.5" thickBot="1" x14ac:dyDescent="0.35">
      <c r="D191" s="56" t="s">
        <v>35</v>
      </c>
      <c r="E191" s="57"/>
      <c r="F191" s="57"/>
      <c r="G191" s="57"/>
      <c r="H191" s="18">
        <f>(((I189-H190)^(1/2))/H189)*100</f>
        <v>77.312504585873143</v>
      </c>
      <c r="I191" s="17"/>
    </row>
    <row r="193" spans="4:9" ht="15.75" thickBot="1" x14ac:dyDescent="0.3"/>
    <row r="194" spans="4:9" ht="15.75" x14ac:dyDescent="0.25">
      <c r="D194" s="19" t="s">
        <v>38</v>
      </c>
      <c r="E194" s="20" t="s">
        <v>29</v>
      </c>
      <c r="F194" s="20" t="s">
        <v>30</v>
      </c>
      <c r="G194" s="20" t="s">
        <v>31</v>
      </c>
      <c r="H194" s="20" t="s">
        <v>32</v>
      </c>
      <c r="I194" s="21" t="s">
        <v>33</v>
      </c>
    </row>
    <row r="195" spans="4:9" x14ac:dyDescent="0.25">
      <c r="D195" s="15" t="s">
        <v>20</v>
      </c>
      <c r="E195" s="2">
        <f>COUNTIF(M8:M138,"TW")/87</f>
        <v>0.4942528735632184</v>
      </c>
      <c r="F195" s="2">
        <v>0.25</v>
      </c>
      <c r="G195" s="2">
        <f>(F195*F195)</f>
        <v>6.25E-2</v>
      </c>
      <c r="H195" s="2">
        <f>E195*F195</f>
        <v>0.1235632183908046</v>
      </c>
      <c r="I195" s="16">
        <f>E195*G195</f>
        <v>3.089080459770115E-2</v>
      </c>
    </row>
    <row r="196" spans="4:9" x14ac:dyDescent="0.25">
      <c r="D196" s="15" t="s">
        <v>41</v>
      </c>
      <c r="E196" s="2">
        <f>COUNTIF(M8:M138,"Cycle Rikshaw")/87</f>
        <v>1.1494252873563218E-2</v>
      </c>
      <c r="F196" s="2">
        <v>2.1</v>
      </c>
      <c r="G196" s="2">
        <f>(F196*F196)</f>
        <v>4.41</v>
      </c>
      <c r="H196" s="2">
        <f t="shared" ref="H196:H201" si="31">E196*F196</f>
        <v>2.4137931034482758E-2</v>
      </c>
      <c r="I196" s="16">
        <f t="shared" ref="I196:I201" si="32">E196*G196</f>
        <v>5.0689655172413792E-2</v>
      </c>
    </row>
    <row r="197" spans="4:9" x14ac:dyDescent="0.25">
      <c r="D197" s="15" t="s">
        <v>24</v>
      </c>
      <c r="E197" s="2">
        <f>COUNTIF(M8:M138,"Cycle")/87</f>
        <v>0</v>
      </c>
      <c r="F197" s="2">
        <v>0.4</v>
      </c>
      <c r="G197" s="2">
        <f t="shared" ref="G197:G201" si="33">(F197*F197)</f>
        <v>0.16000000000000003</v>
      </c>
      <c r="H197" s="2">
        <f t="shared" si="31"/>
        <v>0</v>
      </c>
      <c r="I197" s="16">
        <f t="shared" si="32"/>
        <v>0</v>
      </c>
    </row>
    <row r="198" spans="4:9" x14ac:dyDescent="0.25">
      <c r="D198" s="15" t="s">
        <v>19</v>
      </c>
      <c r="E198" s="2">
        <f>COUNTIF(M8:M138,"Car")/87</f>
        <v>0.27586206896551724</v>
      </c>
      <c r="F198" s="2">
        <v>1</v>
      </c>
      <c r="G198" s="2">
        <f t="shared" si="33"/>
        <v>1</v>
      </c>
      <c r="H198" s="2">
        <f t="shared" si="31"/>
        <v>0.27586206896551724</v>
      </c>
      <c r="I198" s="16">
        <f t="shared" si="32"/>
        <v>0.27586206896551724</v>
      </c>
    </row>
    <row r="199" spans="4:9" x14ac:dyDescent="0.25">
      <c r="D199" s="15" t="s">
        <v>18</v>
      </c>
      <c r="E199" s="2">
        <f>COUNTIF(M8:M138,"Auto")/87</f>
        <v>0.10344827586206896</v>
      </c>
      <c r="F199" s="2">
        <v>1.2</v>
      </c>
      <c r="G199" s="2">
        <f t="shared" si="33"/>
        <v>1.44</v>
      </c>
      <c r="H199" s="2">
        <f t="shared" si="31"/>
        <v>0.12413793103448276</v>
      </c>
      <c r="I199" s="16">
        <f t="shared" si="32"/>
        <v>0.1489655172413793</v>
      </c>
    </row>
    <row r="200" spans="4:9" x14ac:dyDescent="0.25">
      <c r="D200" s="15" t="s">
        <v>22</v>
      </c>
      <c r="E200" s="2">
        <f>COUNTIF(M8:M138,"Bus")/87</f>
        <v>0</v>
      </c>
      <c r="F200" s="2">
        <v>4.5</v>
      </c>
      <c r="G200" s="2">
        <f t="shared" si="33"/>
        <v>20.25</v>
      </c>
      <c r="H200" s="2">
        <f t="shared" si="31"/>
        <v>0</v>
      </c>
      <c r="I200" s="16">
        <f t="shared" si="32"/>
        <v>0</v>
      </c>
    </row>
    <row r="201" spans="4:9" x14ac:dyDescent="0.25">
      <c r="D201" s="15" t="s">
        <v>21</v>
      </c>
      <c r="E201" s="2">
        <f>COUNTIF(M8:M138,"TAT")/87</f>
        <v>5.7471264367816091E-2</v>
      </c>
      <c r="F201" s="2">
        <v>4.8</v>
      </c>
      <c r="G201" s="2">
        <f t="shared" si="33"/>
        <v>23.04</v>
      </c>
      <c r="H201" s="2">
        <f t="shared" si="31"/>
        <v>0.27586206896551724</v>
      </c>
      <c r="I201" s="16">
        <f t="shared" si="32"/>
        <v>1.3241379310344827</v>
      </c>
    </row>
    <row r="202" spans="4:9" x14ac:dyDescent="0.25">
      <c r="D202" s="15"/>
      <c r="E202" s="2"/>
      <c r="F202" s="2"/>
      <c r="G202" s="11" t="s">
        <v>34</v>
      </c>
      <c r="H202" s="2">
        <f>SUM(H195:H201)</f>
        <v>0.8235632183908046</v>
      </c>
      <c r="I202" s="16">
        <f>SUM(I195:I201)</f>
        <v>1.8305459770114942</v>
      </c>
    </row>
    <row r="203" spans="4:9" x14ac:dyDescent="0.25">
      <c r="D203" s="15"/>
      <c r="E203" s="2"/>
      <c r="F203" s="2"/>
      <c r="G203" s="11" t="s">
        <v>37</v>
      </c>
      <c r="H203" s="2">
        <f>H202*H202</f>
        <v>0.67825637468622013</v>
      </c>
      <c r="I203" s="16"/>
    </row>
    <row r="204" spans="4:9" ht="19.5" thickBot="1" x14ac:dyDescent="0.35">
      <c r="D204" s="56" t="s">
        <v>43</v>
      </c>
      <c r="E204" s="57"/>
      <c r="F204" s="57"/>
      <c r="G204" s="57"/>
      <c r="H204" s="18">
        <f>(((I202-H203)^(1/2))/H202)*100</f>
        <v>130.3418495713621</v>
      </c>
      <c r="I204" s="17"/>
    </row>
  </sheetData>
  <mergeCells count="4">
    <mergeCell ref="D204:G204"/>
    <mergeCell ref="D1:I1"/>
    <mergeCell ref="M1:S1"/>
    <mergeCell ref="D191:G191"/>
  </mergeCells>
  <conditionalFormatting sqref="A1:XFD1048576">
    <cfRule type="containsText" dxfId="42" priority="1" operator="containsText" text="TAT">
      <formula>NOT(ISERROR(SEARCH("TAT",A1)))</formula>
    </cfRule>
  </conditionalFormatting>
  <conditionalFormatting sqref="D1:D180 D192:D193">
    <cfRule type="containsText" dxfId="41" priority="31" operator="containsText" text="LCV">
      <formula>NOT(ISERROR(SEARCH("LCV",D1)))</formula>
    </cfRule>
    <cfRule type="containsText" dxfId="40" priority="32" operator="containsText" text="Bus">
      <formula>NOT(ISERROR(SEARCH("Bus",D1)))</formula>
    </cfRule>
    <cfRule type="containsText" dxfId="39" priority="33" operator="containsText" text="Cycle">
      <formula>NOT(ISERROR(SEARCH("Cycle",D1)))</formula>
    </cfRule>
    <cfRule type="containsText" dxfId="38" priority="34" operator="containsText" text="Auto">
      <formula>NOT(ISERROR(SEARCH("Auto",D1)))</formula>
    </cfRule>
    <cfRule type="containsText" dxfId="37" priority="35" operator="containsText" text="Car">
      <formula>NOT(ISERROR(SEARCH("Car",D1)))</formula>
    </cfRule>
    <cfRule type="containsText" dxfId="36" priority="36" operator="containsText" text="TW">
      <formula>NOT(ISERROR(SEARCH("TW",D1)))</formula>
    </cfRule>
  </conditionalFormatting>
  <conditionalFormatting sqref="D1:D180">
    <cfRule type="containsText" dxfId="35" priority="30" operator="containsText" text="TAT">
      <formula>NOT(ISERROR(SEARCH("TAT",D1)))</formula>
    </cfRule>
  </conditionalFormatting>
  <conditionalFormatting sqref="D194:D1048576">
    <cfRule type="containsText" dxfId="34" priority="11" operator="containsText" text="TAT">
      <formula>NOT(ISERROR(SEARCH("TAT",D194)))</formula>
    </cfRule>
    <cfRule type="containsText" dxfId="33" priority="12" operator="containsText" text="LCV">
      <formula>NOT(ISERROR(SEARCH("LCV",D194)))</formula>
    </cfRule>
    <cfRule type="containsText" dxfId="32" priority="13" operator="containsText" text="Bus">
      <formula>NOT(ISERROR(SEARCH("Bus",D194)))</formula>
    </cfRule>
    <cfRule type="containsText" dxfId="31" priority="14" operator="containsText" text="Cycle">
      <formula>NOT(ISERROR(SEARCH("Cycle",D194)))</formula>
    </cfRule>
    <cfRule type="containsText" dxfId="30" priority="15" operator="containsText" text="Auto">
      <formula>NOT(ISERROR(SEARCH("Auto",D194)))</formula>
    </cfRule>
    <cfRule type="containsText" dxfId="29" priority="16" operator="containsText" text="Car">
      <formula>NOT(ISERROR(SEARCH("Car",D194)))</formula>
    </cfRule>
    <cfRule type="containsText" dxfId="28" priority="17" operator="containsText" text="TW">
      <formula>NOT(ISERROR(SEARCH("TW",D194)))</formula>
    </cfRule>
  </conditionalFormatting>
  <conditionalFormatting sqref="D204 H204:I204">
    <cfRule type="containsText" dxfId="27" priority="3" operator="containsText" text="TAT">
      <formula>NOT(ISERROR(SEARCH("TAT",D204)))</formula>
    </cfRule>
  </conditionalFormatting>
  <conditionalFormatting sqref="D181:I181 D182:H187">
    <cfRule type="containsText" dxfId="26" priority="23" operator="containsText" text="LCV">
      <formula>NOT(ISERROR(SEARCH("LCV",D181)))</formula>
    </cfRule>
    <cfRule type="containsText" dxfId="25" priority="24" operator="containsText" text="TAT">
      <formula>NOT(ISERROR(SEARCH("TAT",D181)))</formula>
    </cfRule>
    <cfRule type="containsText" dxfId="24" priority="25" operator="containsText" text="Bus">
      <formula>NOT(ISERROR(SEARCH("Bus",D181)))</formula>
    </cfRule>
    <cfRule type="containsText" dxfId="23" priority="26" operator="containsText" text="Cycle">
      <formula>NOT(ISERROR(SEARCH("Cycle",D181)))</formula>
    </cfRule>
    <cfRule type="containsText" dxfId="22" priority="27" operator="containsText" text="Auto">
      <formula>NOT(ISERROR(SEARCH("Auto",D181)))</formula>
    </cfRule>
    <cfRule type="containsText" dxfId="21" priority="28" operator="containsText" text="TW">
      <formula>NOT(ISERROR(SEARCH("TW",D181)))</formula>
    </cfRule>
    <cfRule type="containsText" dxfId="20" priority="29" operator="containsText" text="Car">
      <formula>NOT(ISERROR(SEARCH("Car",D181)))</formula>
    </cfRule>
  </conditionalFormatting>
  <conditionalFormatting sqref="D181:I190 H191:I191 D191:D193">
    <cfRule type="containsText" dxfId="19" priority="22" operator="containsText" text="TAT">
      <formula>NOT(ISERROR(SEARCH("TAT",D181)))</formula>
    </cfRule>
  </conditionalFormatting>
  <conditionalFormatting sqref="D181:I191">
    <cfRule type="containsText" dxfId="18" priority="20" operator="containsText" text="Cycle Rikshaw">
      <formula>NOT(ISERROR(SEARCH("Cycle Rikshaw",D181)))</formula>
    </cfRule>
  </conditionalFormatting>
  <conditionalFormatting sqref="D194:I194 D195:H200">
    <cfRule type="containsText" dxfId="17" priority="4" operator="containsText" text="LCV">
      <formula>NOT(ISERROR(SEARCH("LCV",D194)))</formula>
    </cfRule>
    <cfRule type="containsText" dxfId="16" priority="5" operator="containsText" text="TAT">
      <formula>NOT(ISERROR(SEARCH("TAT",D194)))</formula>
    </cfRule>
    <cfRule type="containsText" dxfId="15" priority="6" operator="containsText" text="Bus">
      <formula>NOT(ISERROR(SEARCH("Bus",D194)))</formula>
    </cfRule>
    <cfRule type="containsText" dxfId="14" priority="7" operator="containsText" text="Cycle">
      <formula>NOT(ISERROR(SEARCH("Cycle",D194)))</formula>
    </cfRule>
    <cfRule type="containsText" dxfId="13" priority="8" operator="containsText" text="Auto">
      <formula>NOT(ISERROR(SEARCH("Auto",D194)))</formula>
    </cfRule>
    <cfRule type="containsText" dxfId="12" priority="9" operator="containsText" text="TW">
      <formula>NOT(ISERROR(SEARCH("TW",D194)))</formula>
    </cfRule>
    <cfRule type="containsText" dxfId="11" priority="10" operator="containsText" text="Car">
      <formula>NOT(ISERROR(SEARCH("Car",D194)))</formula>
    </cfRule>
  </conditionalFormatting>
  <conditionalFormatting sqref="D194:I204">
    <cfRule type="containsText" dxfId="10" priority="2" operator="containsText" text="Cycle Rikshaw">
      <formula>NOT(ISERROR(SEARCH("Cycle Rikshaw",D194)))</formula>
    </cfRule>
    <cfRule type="containsText" dxfId="9" priority="18" operator="containsText" text="Cycle Rikshaw">
      <formula>NOT(ISERROR(SEARCH("Cycle Rikshaw",D194)))</formula>
    </cfRule>
  </conditionalFormatting>
  <conditionalFormatting sqref="L1:U127">
    <cfRule type="containsText" dxfId="8" priority="37" operator="containsText" text="TW">
      <formula>NOT(ISERROR(SEARCH("TW",L1)))</formula>
    </cfRule>
    <cfRule type="containsText" dxfId="7" priority="38" operator="containsText" text="Car">
      <formula>NOT(ISERROR(SEARCH("Car",L1)))</formula>
    </cfRule>
  </conditionalFormatting>
  <conditionalFormatting sqref="M1:M127">
    <cfRule type="containsText" dxfId="6" priority="40" operator="containsText" text="Bus">
      <formula>NOT(ISERROR(SEARCH("Bus",M1)))</formula>
    </cfRule>
    <cfRule type="containsText" dxfId="5" priority="41" operator="containsText" text="LCV">
      <formula>NOT(ISERROR(SEARCH("LCV",M1)))</formula>
    </cfRule>
    <cfRule type="containsText" dxfId="4" priority="42" operator="containsText" text="Cycle">
      <formula>NOT(ISERROR(SEARCH("Cycle",M1)))</formula>
    </cfRule>
    <cfRule type="containsText" dxfId="3" priority="43" operator="containsText" text="Auto">
      <formula>NOT(ISERROR(SEARCH("Auto",M1)))</formula>
    </cfRule>
    <cfRule type="containsText" dxfId="2" priority="44" operator="containsText" text="TW">
      <formula>NOT(ISERROR(SEARCH("TW",M1)))</formula>
    </cfRule>
    <cfRule type="containsText" dxfId="1" priority="45" operator="containsText" text="Car">
      <formula>NOT(ISERROR(SEARCH("Car",M1)))</formula>
    </cfRule>
  </conditionalFormatting>
  <conditionalFormatting sqref="Q29">
    <cfRule type="containsText" dxfId="0" priority="39" operator="containsText" text="Car">
      <formula>NOT(ISERROR(SEARCH("Car",Q29)))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Sheet</vt:lpstr>
      <vt:lpstr>0-5</vt:lpstr>
      <vt:lpstr>5-10</vt:lpstr>
      <vt:lpstr>10-15</vt:lpstr>
      <vt:lpstr>15-20</vt:lpstr>
      <vt:lpstr>20-25</vt:lpstr>
      <vt:lpstr>25-30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Sarma</dc:creator>
  <cp:lastModifiedBy>Sheshraman</cp:lastModifiedBy>
  <dcterms:created xsi:type="dcterms:W3CDTF">2023-08-11T19:40:32Z</dcterms:created>
  <dcterms:modified xsi:type="dcterms:W3CDTF">2024-08-19T13:01:17Z</dcterms:modified>
</cp:coreProperties>
</file>