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8.xml" ContentType="application/vnd.openxmlformats-officedocument.spreadsheetml.chartsheet+xml"/>
  <Override PartName="/xl/chartsheets/sheet9.xml" ContentType="application/vnd.openxmlformats-officedocument.spreadsheetml.chartsheet+xml"/>
  <Override PartName="/xl/worksheets/sheet7.xml" ContentType="application/vnd.openxmlformats-officedocument.spreadsheetml.work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chartsheets/sheet21.xml" ContentType="application/vnd.openxmlformats-officedocument.spreadsheetml.chartsheet+xml"/>
  <Override PartName="/xl/chartsheets/sheet22.xml" ContentType="application/vnd.openxmlformats-officedocument.spreadsheetml.chartsheet+xml"/>
  <Override PartName="/xl/chartsheets/sheet23.xml" ContentType="application/vnd.openxmlformats-officedocument.spreadsheetml.chartsheet+xml"/>
  <Override PartName="/xl/chartsheets/sheet24.xml" ContentType="application/vnd.openxmlformats-officedocument.spreadsheetml.chartsheet+xml"/>
  <Override PartName="/xl/chartsheets/sheet25.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heets/sheet26.xml" ContentType="application/vnd.openxmlformats-officedocument.spreadsheetml.chartsheet+xml"/>
  <Override PartName="/xl/chartsheets/sheet27.xml" ContentType="application/vnd.openxmlformats-officedocument.spreadsheetml.chart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heets/sheet28.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xml"/>
  <Override PartName="/xl/charts/chartEx1.xml" ContentType="application/vnd.ms-office.chartex+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6.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7.xml" ContentType="application/vnd.openxmlformats-officedocument.drawingml.chartshapes+xml"/>
  <Override PartName="/xl/drawings/drawing18.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1.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2.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3.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4.xml" ContentType="application/vnd.openxmlformats-officedocument.drawing+xml"/>
  <Override PartName="/xl/charts/chartEx3.xml" ContentType="application/vnd.ms-office.chartex+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7.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28.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29.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30.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31.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32.xml" ContentType="application/vnd.openxmlformats-officedocument.drawingml.chartshapes+xml"/>
  <Override PartName="/xl/drawings/drawing33.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34.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35.xml" ContentType="application/vnd.openxmlformats-officedocument.drawingml.chartshapes+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39.xml" ContentType="application/vnd.openxmlformats-officedocument.drawing+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40.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Ex4.xml" ContentType="application/vnd.ms-office.chartex+xml"/>
  <Override PartName="/xl/charts/style39.xml" ContentType="application/vnd.ms-office.chartstyle+xml"/>
  <Override PartName="/xl/charts/colors39.xml" ContentType="application/vnd.ms-office.chartcolorstyle+xml"/>
  <Override PartName="/xl/drawings/drawing41.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39.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42.xml" ContentType="application/vnd.openxmlformats-officedocument.drawing+xml"/>
  <Override PartName="/xl/charts/chart40.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43.xml" ContentType="application/vnd.openxmlformats-officedocument.drawing+xml"/>
  <Override PartName="/xl/charts/chart41.xml" ContentType="application/vnd.openxmlformats-officedocument.drawingml.chart+xml"/>
  <Override PartName="/xl/charts/style42.xml" ContentType="application/vnd.ms-office.chartstyle+xml"/>
  <Override PartName="/xl/charts/colors4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50pea\Documents\2026\ConeOfShame\"/>
    </mc:Choice>
  </mc:AlternateContent>
  <xr:revisionPtr revIDLastSave="0" documentId="13_ncr:1_{4A05C5BE-33F6-4147-AEE7-24911E7B7146}" xr6:coauthVersionLast="47" xr6:coauthVersionMax="47" xr10:uidLastSave="{00000000-0000-0000-0000-000000000000}"/>
  <bookViews>
    <workbookView xWindow="-108" yWindow="-108" windowWidth="23256" windowHeight="13896" xr2:uid="{AC060BBB-81A8-454F-846E-BBD514C12179}"/>
  </bookViews>
  <sheets>
    <sheet name="PlantData" sheetId="1" r:id="rId1"/>
    <sheet name="Newer25" sheetId="30" r:id="rId2"/>
    <sheet name="PRanalysis" sheetId="48" r:id="rId3"/>
    <sheet name="Comparison" sheetId="31" r:id="rId4"/>
    <sheet name="Degradation" sheetId="41" r:id="rId5"/>
    <sheet name="Variability2" sheetId="40" r:id="rId6"/>
    <sheet name="Variability" sheetId="39" r:id="rId7"/>
    <sheet name="Variab100_25" sheetId="42" r:id="rId8"/>
    <sheet name="Variab100_25_POA" sheetId="43" r:id="rId9"/>
    <sheet name="FiveMedianTrends" sheetId="44" r:id="rId10"/>
    <sheet name="Rank50Variability" sheetId="45" r:id="rId11"/>
    <sheet name="DetailOfP50" sheetId="36" r:id="rId12"/>
    <sheet name="DetailOfUASTP94thRank" sheetId="37" r:id="rId13"/>
    <sheet name="BoxPlot100" sheetId="21" r:id="rId14"/>
    <sheet name="BoxPlot25" sheetId="32" r:id="rId15"/>
    <sheet name="ConsolidatedResults" sheetId="28" r:id="rId16"/>
    <sheet name="Cone30" sheetId="25" r:id="rId17"/>
    <sheet name="Cone16dog" sheetId="27" r:id="rId18"/>
    <sheet name="p90p50twoperiods" sheetId="24" r:id="rId19"/>
    <sheet name="p50p90" sheetId="23" r:id="rId20"/>
    <sheet name="p50p90trimmed" sheetId="38" r:id="rId21"/>
    <sheet name="p50p90setAsetB" sheetId="49" r:id="rId22"/>
    <sheet name="p90p50" sheetId="22" r:id="rId23"/>
    <sheet name="PI" sheetId="3" r:id="rId24"/>
    <sheet name="BoxPlot50" sheetId="16" r:id="rId25"/>
    <sheet name="PI_NoLines" sheetId="7" r:id="rId26"/>
    <sheet name="PI_NoLegend" sheetId="8" r:id="rId27"/>
    <sheet name="PI_twoP90" sheetId="9" r:id="rId28"/>
    <sheet name="PI_P90" sheetId="15" r:id="rId29"/>
    <sheet name="PI_noDots" sheetId="12" r:id="rId30"/>
    <sheet name="PI_noDots (2)" sheetId="14" r:id="rId31"/>
    <sheet name="PI_publish" sheetId="10" r:id="rId32"/>
    <sheet name="Screenshots" sheetId="11" r:id="rId33"/>
    <sheet name="References" sheetId="4" r:id="rId34"/>
    <sheet name="Recipe" sheetId="5" r:id="rId35"/>
    <sheet name="AguaFria" sheetId="6" r:id="rId36"/>
    <sheet name="AgeHistogram" sheetId="13" r:id="rId37"/>
    <sheet name="TmodHistogram" sheetId="47" r:id="rId38"/>
    <sheet name="States100" sheetId="33" r:id="rId39"/>
    <sheet name="States25" sheetId="20" r:id="rId40"/>
    <sheet name="EIAthru2010" sheetId="18" r:id="rId41"/>
    <sheet name="EIAthru2011" sheetId="19" r:id="rId42"/>
    <sheet name="Exclusions" sheetId="2" r:id="rId43"/>
    <sheet name="NullOverlap" sheetId="35" r:id="rId44"/>
    <sheet name="Null" sheetId="46" r:id="rId45"/>
  </sheets>
  <definedNames>
    <definedName name="_xlnm._FilterDatabase" localSheetId="15" hidden="1">ConsolidatedResults!$B$3:$L$103</definedName>
    <definedName name="_xlnm._FilterDatabase" localSheetId="40" hidden="1">EIAthru2010!$A$5:$G$111</definedName>
    <definedName name="_xlnm._FilterDatabase" localSheetId="41" hidden="1">EIAthru2011!$A$5:$O$234</definedName>
    <definedName name="_xlchart.v1.0" hidden="1">PlantData!$BB$6</definedName>
    <definedName name="_xlchart.v1.1" hidden="1">PlantData!$BB$7:$BB$106</definedName>
    <definedName name="_xlchart.v1.10" hidden="1">PlantData!$BG$6</definedName>
    <definedName name="_xlchart.v1.11" hidden="1">PlantData!$BG$7:$BG$106</definedName>
    <definedName name="_xlchart.v1.12" hidden="1">PlantData!$BH$6</definedName>
    <definedName name="_xlchart.v1.13" hidden="1">PlantData!$BH$7:$BH$106</definedName>
    <definedName name="_xlchart.v1.14" hidden="1">PlantData!$BI$6</definedName>
    <definedName name="_xlchart.v1.15" hidden="1">PlantData!$BI$7:$BI$106</definedName>
    <definedName name="_xlchart.v1.16" hidden="1">PlantData!$BJ$6</definedName>
    <definedName name="_xlchart.v1.17" hidden="1">PlantData!$BJ$7:$BJ$106</definedName>
    <definedName name="_xlchart.v1.18" hidden="1">PlantData!$BK$6</definedName>
    <definedName name="_xlchart.v1.19" hidden="1">PlantData!$BK$7:$BK$106</definedName>
    <definedName name="_xlchart.v1.2" hidden="1">PlantData!$BC$6</definedName>
    <definedName name="_xlchart.v1.20" hidden="1">PlantData!$BL$6</definedName>
    <definedName name="_xlchart.v1.21" hidden="1">PlantData!$BL$7:$BL$106</definedName>
    <definedName name="_xlchart.v1.22" hidden="1">PlantData!$BM$6</definedName>
    <definedName name="_xlchart.v1.23" hidden="1">PlantData!$BM$7:$BM$106</definedName>
    <definedName name="_xlchart.v1.24" hidden="1">PlantData!$BN$6</definedName>
    <definedName name="_xlchart.v1.25" hidden="1">PlantData!$BN$7:$BN$106</definedName>
    <definedName name="_xlchart.v1.26" hidden="1">PlantData!$BO$6</definedName>
    <definedName name="_xlchart.v1.27" hidden="1">PlantData!$BO$7:$BO$106</definedName>
    <definedName name="_xlchart.v1.28" hidden="1">PlantData!$BP$6</definedName>
    <definedName name="_xlchart.v1.29" hidden="1">PlantData!$BP$7:$BP$106</definedName>
    <definedName name="_xlchart.v1.3" hidden="1">PlantData!$BC$7:$BC$106</definedName>
    <definedName name="_xlchart.v1.30" hidden="1">PlantData!$BQ$6</definedName>
    <definedName name="_xlchart.v1.31" hidden="1">PlantData!$BQ$7:$BQ$106</definedName>
    <definedName name="_xlchart.v1.32" hidden="1">PlantData!$BR$6</definedName>
    <definedName name="_xlchart.v1.33" hidden="1">PlantData!$BR$7:$BR$106</definedName>
    <definedName name="_xlchart.v1.34" hidden="1">(Newer25!$BG$7:$BG$14,Newer25!$BG$17:$BG$29)</definedName>
    <definedName name="_xlchart.v1.35" hidden="1">(Newer25!$BH$8,Newer25!$BH$11,Newer25!$BH$12,Newer25!$BH$17,Newer25!$BH$22,Newer25!$BH$23)</definedName>
    <definedName name="_xlchart.v1.36" hidden="1">Newer25!$BB$6</definedName>
    <definedName name="_xlchart.v1.37" hidden="1">Newer25!$BB$7:$BB$31</definedName>
    <definedName name="_xlchart.v1.38" hidden="1">Newer25!$BC$6</definedName>
    <definedName name="_xlchart.v1.39" hidden="1">Newer25!$BC$7:$BC$31</definedName>
    <definedName name="_xlchart.v1.4" hidden="1">PlantData!$BD$6</definedName>
    <definedName name="_xlchart.v1.40" hidden="1">Newer25!$BD$6</definedName>
    <definedName name="_xlchart.v1.41" hidden="1">Newer25!$BD$7:$BD$31</definedName>
    <definedName name="_xlchart.v1.42" hidden="1">Newer25!$BE$6</definedName>
    <definedName name="_xlchart.v1.43" hidden="1">Newer25!$BE$7:$BE$31</definedName>
    <definedName name="_xlchart.v1.44" hidden="1">Newer25!$BF$6</definedName>
    <definedName name="_xlchart.v1.45" hidden="1">Newer25!$BF$7:$BF$31</definedName>
    <definedName name="_xlchart.v1.46" hidden="1">Newer25!$BG$6</definedName>
    <definedName name="_xlchart.v1.47" hidden="1">Newer25!$BH$6</definedName>
    <definedName name="_xlchart.v1.48" hidden="1">PlantData!$BB$6</definedName>
    <definedName name="_xlchart.v1.49" hidden="1">PlantData!$BB$7:$BB$56</definedName>
    <definedName name="_xlchart.v1.5" hidden="1">PlantData!$BD$7:$BD$106</definedName>
    <definedName name="_xlchart.v1.50" hidden="1">PlantData!$BC$6</definedName>
    <definedName name="_xlchart.v1.51" hidden="1">PlantData!$BC$7:$BC$56</definedName>
    <definedName name="_xlchart.v1.52" hidden="1">PlantData!$BD$6</definedName>
    <definedName name="_xlchart.v1.53" hidden="1">PlantData!$BD$7:$BD$56</definedName>
    <definedName name="_xlchart.v1.54" hidden="1">PlantData!$BE$6</definedName>
    <definedName name="_xlchart.v1.55" hidden="1">PlantData!$BE$7:$BE$56</definedName>
    <definedName name="_xlchart.v1.56" hidden="1">PlantData!$BF$6</definedName>
    <definedName name="_xlchart.v1.57" hidden="1">PlantData!$BF$7:$BF$56</definedName>
    <definedName name="_xlchart.v1.58" hidden="1">PlantData!$BG$6</definedName>
    <definedName name="_xlchart.v1.59" hidden="1">PlantData!$BG$7:$BG$56</definedName>
    <definedName name="_xlchart.v1.6" hidden="1">PlantData!$BE$6</definedName>
    <definedName name="_xlchart.v1.60" hidden="1">PlantData!$BH$6</definedName>
    <definedName name="_xlchart.v1.61" hidden="1">PlantData!$BH$7:$BH$56</definedName>
    <definedName name="_xlchart.v1.62" hidden="1">PlantData!$BI$6</definedName>
    <definedName name="_xlchart.v1.63" hidden="1">PlantData!$BI$7:$BI$56</definedName>
    <definedName name="_xlchart.v1.64" hidden="1">PlantData!$BJ$6</definedName>
    <definedName name="_xlchart.v1.65" hidden="1">PlantData!$BJ$7:$BJ$56</definedName>
    <definedName name="_xlchart.v1.66" hidden="1">PlantData!$BK$6</definedName>
    <definedName name="_xlchart.v1.67" hidden="1">PlantData!$BK$7:$BK$56</definedName>
    <definedName name="_xlchart.v1.68" hidden="1">PlantData!$BL$6</definedName>
    <definedName name="_xlchart.v1.69" hidden="1">PlantData!$BL$7:$BL$56</definedName>
    <definedName name="_xlchart.v1.7" hidden="1">PlantData!$BE$7:$BE$106</definedName>
    <definedName name="_xlchart.v1.70" hidden="1">PlantData!$BM$6</definedName>
    <definedName name="_xlchart.v1.71" hidden="1">PlantData!$BM$7:$BM$56</definedName>
    <definedName name="_xlchart.v1.72" hidden="1">PlantData!$BN$6</definedName>
    <definedName name="_xlchart.v1.73" hidden="1">PlantData!$BN$7:$BN$56</definedName>
    <definedName name="_xlchart.v1.74" hidden="1">PlantData!$BO$6</definedName>
    <definedName name="_xlchart.v1.75" hidden="1">PlantData!$BO$7:$BO$56</definedName>
    <definedName name="_xlchart.v1.76" hidden="1">PlantData!$BP$6</definedName>
    <definedName name="_xlchart.v1.77" hidden="1">PlantData!$BP$7:$BP$56</definedName>
    <definedName name="_xlchart.v1.78" hidden="1">PlantData!$BQ$6</definedName>
    <definedName name="_xlchart.v1.79" hidden="1">PlantData!$BQ$7:$BQ$56</definedName>
    <definedName name="_xlchart.v1.8" hidden="1">PlantData!$BF$6</definedName>
    <definedName name="_xlchart.v1.80" hidden="1">PlantData!$BR$6</definedName>
    <definedName name="_xlchart.v1.81" hidden="1">PlantData!$BR$7:$BR$56</definedName>
    <definedName name="_xlchart.v1.82" hidden="1">States100!$Q$2:$Q$101</definedName>
    <definedName name="_xlchart.v1.9" hidden="1">PlantData!$BF$7:$BF$106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S5" i="1" l="1"/>
  <c r="CO5" i="36"/>
  <c r="CN5" i="36"/>
  <c r="CM5" i="36"/>
  <c r="CL5" i="36"/>
  <c r="CK5" i="36"/>
  <c r="CJ5" i="36"/>
  <c r="CI5" i="36"/>
  <c r="CH5" i="36"/>
  <c r="CG5" i="36"/>
  <c r="CF5" i="36"/>
  <c r="CE5" i="36"/>
  <c r="CD5" i="36"/>
  <c r="CC5" i="36"/>
  <c r="CB5" i="36"/>
  <c r="CA5" i="36"/>
  <c r="BZ5" i="36"/>
  <c r="BY5" i="36"/>
  <c r="BW5" i="36"/>
  <c r="BV5" i="36"/>
  <c r="BU5" i="36"/>
  <c r="BT5" i="36"/>
  <c r="BS5" i="36"/>
  <c r="BR5" i="36"/>
  <c r="BQ5" i="36"/>
  <c r="BP5" i="36"/>
  <c r="BO5" i="36"/>
  <c r="BN5" i="36"/>
  <c r="BM5" i="36"/>
  <c r="BL5" i="36"/>
  <c r="BK5" i="36"/>
  <c r="BJ5" i="36"/>
  <c r="BI5" i="36"/>
  <c r="BH5" i="36"/>
  <c r="BG5" i="36"/>
  <c r="DC4" i="1"/>
  <c r="FR5" i="1"/>
  <c r="S34" i="30"/>
  <c r="S33" i="30"/>
  <c r="S31" i="30" l="1"/>
  <c r="S30" i="30"/>
  <c r="S29" i="30"/>
  <c r="S28" i="30"/>
  <c r="S27" i="30"/>
  <c r="S26" i="30"/>
  <c r="S25" i="30"/>
  <c r="S24" i="30"/>
  <c r="S23" i="30"/>
  <c r="S22" i="30"/>
  <c r="S21" i="30"/>
  <c r="S20" i="30"/>
  <c r="S19" i="30"/>
  <c r="S18" i="30"/>
  <c r="S17" i="30"/>
  <c r="S16" i="30"/>
  <c r="S15" i="30"/>
  <c r="S14" i="30"/>
  <c r="S13" i="30"/>
  <c r="S12" i="30"/>
  <c r="S11" i="30"/>
  <c r="S10" i="30"/>
  <c r="S9" i="30"/>
  <c r="S8" i="30"/>
  <c r="S7" i="30"/>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Y1" i="30"/>
  <c r="Y1" i="1"/>
  <c r="Y31" i="30"/>
  <c r="Y30" i="30"/>
  <c r="Y29" i="30"/>
  <c r="Y28" i="30"/>
  <c r="Y27" i="30"/>
  <c r="Y26" i="30"/>
  <c r="Y25" i="30"/>
  <c r="Y24" i="30"/>
  <c r="Y23" i="30"/>
  <c r="Y22" i="30"/>
  <c r="Y21" i="30"/>
  <c r="Y20" i="30"/>
  <c r="Y19" i="30"/>
  <c r="Y18" i="30"/>
  <c r="Y17" i="30"/>
  <c r="Y16" i="30"/>
  <c r="Y15" i="30"/>
  <c r="Y14" i="30"/>
  <c r="Y13" i="30"/>
  <c r="Y12" i="30"/>
  <c r="Y11" i="30"/>
  <c r="Y10" i="30"/>
  <c r="Y9" i="30"/>
  <c r="Y8" i="30"/>
  <c r="Y7" i="30"/>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H120" i="1" l="1"/>
  <c r="H119" i="1"/>
  <c r="I119" i="1" s="1"/>
  <c r="I120" i="1" s="1"/>
  <c r="E119" i="1"/>
  <c r="E120" i="1" s="1"/>
  <c r="H118" i="1"/>
  <c r="H117" i="1"/>
  <c r="H116" i="1"/>
  <c r="H115" i="1"/>
  <c r="H114" i="1"/>
  <c r="H113" i="1"/>
  <c r="H112" i="1"/>
  <c r="I112" i="1" s="1"/>
  <c r="I113" i="1" s="1"/>
  <c r="I114" i="1" s="1"/>
  <c r="I115" i="1" s="1"/>
  <c r="I116" i="1" s="1"/>
  <c r="I117" i="1" s="1"/>
  <c r="I118" i="1" s="1"/>
  <c r="H111" i="1"/>
  <c r="I111" i="1" s="1"/>
  <c r="H110" i="1"/>
  <c r="I110" i="1"/>
  <c r="AZ31" i="30" l="1"/>
  <c r="AZ30" i="30"/>
  <c r="AZ29" i="30"/>
  <c r="AZ28" i="30"/>
  <c r="AZ27" i="30"/>
  <c r="AZ26" i="30"/>
  <c r="AZ25" i="30"/>
  <c r="AZ24" i="30"/>
  <c r="AZ23" i="30"/>
  <c r="AZ22" i="30"/>
  <c r="AZ21" i="30"/>
  <c r="AZ20" i="30"/>
  <c r="AZ19" i="30"/>
  <c r="AZ18" i="30"/>
  <c r="AZ17" i="30"/>
  <c r="AZ16" i="30"/>
  <c r="AZ15" i="30"/>
  <c r="AZ14" i="30"/>
  <c r="AZ13" i="30"/>
  <c r="AZ12" i="30"/>
  <c r="AZ11" i="30"/>
  <c r="AZ10" i="30"/>
  <c r="AZ9" i="30"/>
  <c r="AZ8" i="30"/>
  <c r="K106" i="48" l="1"/>
  <c r="J106" i="48"/>
  <c r="I106" i="48"/>
  <c r="H106" i="48"/>
  <c r="G106" i="48"/>
  <c r="F106" i="48"/>
  <c r="E106" i="48"/>
  <c r="D106" i="48"/>
  <c r="C106" i="48"/>
  <c r="B106" i="48"/>
  <c r="A106" i="48"/>
  <c r="K105" i="48"/>
  <c r="J105" i="48"/>
  <c r="I105" i="48"/>
  <c r="H105" i="48"/>
  <c r="G105" i="48"/>
  <c r="F105" i="48"/>
  <c r="E105" i="48"/>
  <c r="D105" i="48"/>
  <c r="C105" i="48"/>
  <c r="B105" i="48"/>
  <c r="A105" i="48"/>
  <c r="K104" i="48"/>
  <c r="J104" i="48"/>
  <c r="I104" i="48"/>
  <c r="H104" i="48"/>
  <c r="G104" i="48"/>
  <c r="F104" i="48"/>
  <c r="E104" i="48"/>
  <c r="D104" i="48"/>
  <c r="C104" i="48"/>
  <c r="B104" i="48"/>
  <c r="A104" i="48"/>
  <c r="K103" i="48"/>
  <c r="J103" i="48"/>
  <c r="I103" i="48"/>
  <c r="H103" i="48"/>
  <c r="G103" i="48"/>
  <c r="F103" i="48"/>
  <c r="E103" i="48"/>
  <c r="D103" i="48"/>
  <c r="C103" i="48"/>
  <c r="B103" i="48"/>
  <c r="A103" i="48"/>
  <c r="K102" i="48"/>
  <c r="J102" i="48"/>
  <c r="I102" i="48"/>
  <c r="H102" i="48"/>
  <c r="G102" i="48"/>
  <c r="F102" i="48"/>
  <c r="E102" i="48"/>
  <c r="D102" i="48"/>
  <c r="C102" i="48"/>
  <c r="B102" i="48"/>
  <c r="A102" i="48"/>
  <c r="K101" i="48"/>
  <c r="J101" i="48"/>
  <c r="I101" i="48"/>
  <c r="H101" i="48"/>
  <c r="G101" i="48"/>
  <c r="F101" i="48"/>
  <c r="E101" i="48"/>
  <c r="D101" i="48"/>
  <c r="C101" i="48"/>
  <c r="B101" i="48"/>
  <c r="A101" i="48"/>
  <c r="K100" i="48"/>
  <c r="J100" i="48"/>
  <c r="I100" i="48"/>
  <c r="H100" i="48"/>
  <c r="G100" i="48"/>
  <c r="F100" i="48"/>
  <c r="E100" i="48"/>
  <c r="D100" i="48"/>
  <c r="C100" i="48"/>
  <c r="B100" i="48"/>
  <c r="A100" i="48"/>
  <c r="K99" i="48"/>
  <c r="J99" i="48"/>
  <c r="I99" i="48"/>
  <c r="H99" i="48"/>
  <c r="G99" i="48"/>
  <c r="F99" i="48"/>
  <c r="E99" i="48"/>
  <c r="D99" i="48"/>
  <c r="C99" i="48"/>
  <c r="B99" i="48"/>
  <c r="A99" i="48"/>
  <c r="K98" i="48"/>
  <c r="J98" i="48"/>
  <c r="I98" i="48"/>
  <c r="H98" i="48"/>
  <c r="G98" i="48"/>
  <c r="F98" i="48"/>
  <c r="E98" i="48"/>
  <c r="D98" i="48"/>
  <c r="C98" i="48"/>
  <c r="B98" i="48"/>
  <c r="A98" i="48"/>
  <c r="K97" i="48"/>
  <c r="J97" i="48"/>
  <c r="I97" i="48"/>
  <c r="H97" i="48"/>
  <c r="G97" i="48"/>
  <c r="F97" i="48"/>
  <c r="E97" i="48"/>
  <c r="P97" i="48" s="1"/>
  <c r="D97" i="48"/>
  <c r="C97" i="48"/>
  <c r="B97" i="48"/>
  <c r="A97" i="48"/>
  <c r="K96" i="48"/>
  <c r="J96" i="48"/>
  <c r="I96" i="48"/>
  <c r="H96" i="48"/>
  <c r="G96" i="48"/>
  <c r="F96" i="48"/>
  <c r="E96" i="48"/>
  <c r="D96" i="48"/>
  <c r="C96" i="48"/>
  <c r="B96" i="48"/>
  <c r="A96" i="48"/>
  <c r="K95" i="48"/>
  <c r="J95" i="48"/>
  <c r="I95" i="48"/>
  <c r="H95" i="48"/>
  <c r="G95" i="48"/>
  <c r="F95" i="48"/>
  <c r="E95" i="48"/>
  <c r="D95" i="48"/>
  <c r="C95" i="48"/>
  <c r="B95" i="48"/>
  <c r="A95" i="48"/>
  <c r="K94" i="48"/>
  <c r="J94" i="48"/>
  <c r="I94" i="48"/>
  <c r="H94" i="48"/>
  <c r="G94" i="48"/>
  <c r="F94" i="48"/>
  <c r="E94" i="48"/>
  <c r="R94" i="48" s="1"/>
  <c r="D94" i="48"/>
  <c r="C94" i="48"/>
  <c r="B94" i="48"/>
  <c r="A94" i="48"/>
  <c r="K93" i="48"/>
  <c r="J93" i="48"/>
  <c r="I93" i="48"/>
  <c r="H93" i="48"/>
  <c r="G93" i="48"/>
  <c r="F93" i="48"/>
  <c r="E93" i="48"/>
  <c r="D93" i="48"/>
  <c r="C93" i="48"/>
  <c r="B93" i="48"/>
  <c r="A93" i="48"/>
  <c r="K92" i="48"/>
  <c r="J92" i="48"/>
  <c r="I92" i="48"/>
  <c r="H92" i="48"/>
  <c r="G92" i="48"/>
  <c r="F92" i="48"/>
  <c r="E92" i="48"/>
  <c r="D92" i="48"/>
  <c r="C92" i="48"/>
  <c r="B92" i="48"/>
  <c r="A92" i="48"/>
  <c r="K91" i="48"/>
  <c r="J91" i="48"/>
  <c r="I91" i="48"/>
  <c r="H91" i="48"/>
  <c r="G91" i="48"/>
  <c r="F91" i="48"/>
  <c r="E91" i="48"/>
  <c r="D91" i="48"/>
  <c r="C91" i="48"/>
  <c r="B91" i="48"/>
  <c r="A91" i="48"/>
  <c r="K90" i="48"/>
  <c r="J90" i="48"/>
  <c r="I90" i="48"/>
  <c r="H90" i="48"/>
  <c r="G90" i="48"/>
  <c r="F90" i="48"/>
  <c r="E90" i="48"/>
  <c r="D90" i="48"/>
  <c r="C90" i="48"/>
  <c r="B90" i="48"/>
  <c r="A90" i="48"/>
  <c r="K89" i="48"/>
  <c r="J89" i="48"/>
  <c r="I89" i="48"/>
  <c r="H89" i="48"/>
  <c r="G89" i="48"/>
  <c r="F89" i="48"/>
  <c r="E89" i="48"/>
  <c r="D89" i="48"/>
  <c r="C89" i="48"/>
  <c r="B89" i="48"/>
  <c r="A89" i="48"/>
  <c r="K88" i="48"/>
  <c r="J88" i="48"/>
  <c r="I88" i="48"/>
  <c r="H88" i="48"/>
  <c r="G88" i="48"/>
  <c r="F88" i="48"/>
  <c r="E88" i="48"/>
  <c r="R88" i="48" s="1"/>
  <c r="D88" i="48"/>
  <c r="C88" i="48"/>
  <c r="B88" i="48"/>
  <c r="A88" i="48"/>
  <c r="K87" i="48"/>
  <c r="J87" i="48"/>
  <c r="I87" i="48"/>
  <c r="H87" i="48"/>
  <c r="G87" i="48"/>
  <c r="F87" i="48"/>
  <c r="E87" i="48"/>
  <c r="D87" i="48"/>
  <c r="C87" i="48"/>
  <c r="B87" i="48"/>
  <c r="A87" i="48"/>
  <c r="K86" i="48"/>
  <c r="J86" i="48"/>
  <c r="I86" i="48"/>
  <c r="H86" i="48"/>
  <c r="G86" i="48"/>
  <c r="F86" i="48"/>
  <c r="E86" i="48"/>
  <c r="D86" i="48"/>
  <c r="C86" i="48"/>
  <c r="B86" i="48"/>
  <c r="A86" i="48"/>
  <c r="K85" i="48"/>
  <c r="J85" i="48"/>
  <c r="I85" i="48"/>
  <c r="H85" i="48"/>
  <c r="G85" i="48"/>
  <c r="F85" i="48"/>
  <c r="E85" i="48"/>
  <c r="D85" i="48"/>
  <c r="C85" i="48"/>
  <c r="B85" i="48"/>
  <c r="A85" i="48"/>
  <c r="K84" i="48"/>
  <c r="J84" i="48"/>
  <c r="I84" i="48"/>
  <c r="H84" i="48"/>
  <c r="G84" i="48"/>
  <c r="F84" i="48"/>
  <c r="E84" i="48"/>
  <c r="D84" i="48"/>
  <c r="C84" i="48"/>
  <c r="B84" i="48"/>
  <c r="A84" i="48"/>
  <c r="K83" i="48"/>
  <c r="J83" i="48"/>
  <c r="I83" i="48"/>
  <c r="H83" i="48"/>
  <c r="G83" i="48"/>
  <c r="F83" i="48"/>
  <c r="E83" i="48"/>
  <c r="D83" i="48"/>
  <c r="C83" i="48"/>
  <c r="B83" i="48"/>
  <c r="A83" i="48"/>
  <c r="K82" i="48"/>
  <c r="J82" i="48"/>
  <c r="I82" i="48"/>
  <c r="H82" i="48"/>
  <c r="G82" i="48"/>
  <c r="F82" i="48"/>
  <c r="E82" i="48"/>
  <c r="D82" i="48"/>
  <c r="C82" i="48"/>
  <c r="B82" i="48"/>
  <c r="A82" i="48"/>
  <c r="K81" i="48"/>
  <c r="J81" i="48"/>
  <c r="I81" i="48"/>
  <c r="H81" i="48"/>
  <c r="G81" i="48"/>
  <c r="F81" i="48"/>
  <c r="E81" i="48"/>
  <c r="P81" i="48" s="1"/>
  <c r="D81" i="48"/>
  <c r="C81" i="48"/>
  <c r="B81" i="48"/>
  <c r="A81" i="48"/>
  <c r="K80" i="48"/>
  <c r="J80" i="48"/>
  <c r="I80" i="48"/>
  <c r="H80" i="48"/>
  <c r="G80" i="48"/>
  <c r="F80" i="48"/>
  <c r="E80" i="48"/>
  <c r="D80" i="48"/>
  <c r="C80" i="48"/>
  <c r="B80" i="48"/>
  <c r="A80" i="48"/>
  <c r="K79" i="48"/>
  <c r="J79" i="48"/>
  <c r="I79" i="48"/>
  <c r="H79" i="48"/>
  <c r="G79" i="48"/>
  <c r="F79" i="48"/>
  <c r="E79" i="48"/>
  <c r="D79" i="48"/>
  <c r="C79" i="48"/>
  <c r="B79" i="48"/>
  <c r="A79" i="48"/>
  <c r="K78" i="48"/>
  <c r="J78" i="48"/>
  <c r="I78" i="48"/>
  <c r="H78" i="48"/>
  <c r="G78" i="48"/>
  <c r="F78" i="48"/>
  <c r="E78" i="48"/>
  <c r="D78" i="48"/>
  <c r="C78" i="48"/>
  <c r="B78" i="48"/>
  <c r="A78" i="48"/>
  <c r="K77" i="48"/>
  <c r="J77" i="48"/>
  <c r="I77" i="48"/>
  <c r="H77" i="48"/>
  <c r="G77" i="48"/>
  <c r="F77" i="48"/>
  <c r="E77" i="48"/>
  <c r="D77" i="48"/>
  <c r="C77" i="48"/>
  <c r="B77" i="48"/>
  <c r="A77" i="48"/>
  <c r="K76" i="48"/>
  <c r="J76" i="48"/>
  <c r="I76" i="48"/>
  <c r="H76" i="48"/>
  <c r="G76" i="48"/>
  <c r="F76" i="48"/>
  <c r="E76" i="48"/>
  <c r="D76" i="48"/>
  <c r="C76" i="48"/>
  <c r="B76" i="48"/>
  <c r="A76" i="48"/>
  <c r="K75" i="48"/>
  <c r="J75" i="48"/>
  <c r="I75" i="48"/>
  <c r="H75" i="48"/>
  <c r="G75" i="48"/>
  <c r="F75" i="48"/>
  <c r="E75" i="48"/>
  <c r="D75" i="48"/>
  <c r="C75" i="48"/>
  <c r="B75" i="48"/>
  <c r="A75" i="48"/>
  <c r="K74" i="48"/>
  <c r="J74" i="48"/>
  <c r="I74" i="48"/>
  <c r="H74" i="48"/>
  <c r="G74" i="48"/>
  <c r="F74" i="48"/>
  <c r="E74" i="48"/>
  <c r="D74" i="48"/>
  <c r="C74" i="48"/>
  <c r="B74" i="48"/>
  <c r="A74" i="48"/>
  <c r="K73" i="48"/>
  <c r="J73" i="48"/>
  <c r="I73" i="48"/>
  <c r="H73" i="48"/>
  <c r="G73" i="48"/>
  <c r="F73" i="48"/>
  <c r="E73" i="48"/>
  <c r="D73" i="48"/>
  <c r="C73" i="48"/>
  <c r="B73" i="48"/>
  <c r="A73" i="48"/>
  <c r="K72" i="48"/>
  <c r="J72" i="48"/>
  <c r="I72" i="48"/>
  <c r="H72" i="48"/>
  <c r="G72" i="48"/>
  <c r="F72" i="48"/>
  <c r="E72" i="48"/>
  <c r="D72" i="48"/>
  <c r="C72" i="48"/>
  <c r="B72" i="48"/>
  <c r="A72" i="48"/>
  <c r="K71" i="48"/>
  <c r="J71" i="48"/>
  <c r="I71" i="48"/>
  <c r="H71" i="48"/>
  <c r="G71" i="48"/>
  <c r="F71" i="48"/>
  <c r="E71" i="48"/>
  <c r="D71" i="48"/>
  <c r="C71" i="48"/>
  <c r="B71" i="48"/>
  <c r="A71" i="48"/>
  <c r="K70" i="48"/>
  <c r="J70" i="48"/>
  <c r="I70" i="48"/>
  <c r="H70" i="48"/>
  <c r="G70" i="48"/>
  <c r="F70" i="48"/>
  <c r="E70" i="48"/>
  <c r="D70" i="48"/>
  <c r="C70" i="48"/>
  <c r="B70" i="48"/>
  <c r="A70" i="48"/>
  <c r="K69" i="48"/>
  <c r="J69" i="48"/>
  <c r="I69" i="48"/>
  <c r="H69" i="48"/>
  <c r="G69" i="48"/>
  <c r="F69" i="48"/>
  <c r="E69" i="48"/>
  <c r="D69" i="48"/>
  <c r="C69" i="48"/>
  <c r="B69" i="48"/>
  <c r="A69" i="48"/>
  <c r="K68" i="48"/>
  <c r="J68" i="48"/>
  <c r="I68" i="48"/>
  <c r="H68" i="48"/>
  <c r="G68" i="48"/>
  <c r="F68" i="48"/>
  <c r="E68" i="48"/>
  <c r="D68" i="48"/>
  <c r="C68" i="48"/>
  <c r="B68" i="48"/>
  <c r="A68" i="48"/>
  <c r="K67" i="48"/>
  <c r="J67" i="48"/>
  <c r="I67" i="48"/>
  <c r="H67" i="48"/>
  <c r="G67" i="48"/>
  <c r="F67" i="48"/>
  <c r="E67" i="48"/>
  <c r="D67" i="48"/>
  <c r="C67" i="48"/>
  <c r="B67" i="48"/>
  <c r="A67" i="48"/>
  <c r="K66" i="48"/>
  <c r="J66" i="48"/>
  <c r="I66" i="48"/>
  <c r="H66" i="48"/>
  <c r="G66" i="48"/>
  <c r="F66" i="48"/>
  <c r="E66" i="48"/>
  <c r="D66" i="48"/>
  <c r="C66" i="48"/>
  <c r="B66" i="48"/>
  <c r="A66" i="48"/>
  <c r="K65" i="48"/>
  <c r="J65" i="48"/>
  <c r="I65" i="48"/>
  <c r="H65" i="48"/>
  <c r="G65" i="48"/>
  <c r="F65" i="48"/>
  <c r="E65" i="48"/>
  <c r="D65" i="48"/>
  <c r="C65" i="48"/>
  <c r="B65" i="48"/>
  <c r="A65" i="48"/>
  <c r="K64" i="48"/>
  <c r="J64" i="48"/>
  <c r="I64" i="48"/>
  <c r="H64" i="48"/>
  <c r="G64" i="48"/>
  <c r="F64" i="48"/>
  <c r="E64" i="48"/>
  <c r="D64" i="48"/>
  <c r="C64" i="48"/>
  <c r="B64" i="48"/>
  <c r="A64" i="48"/>
  <c r="K63" i="48"/>
  <c r="J63" i="48"/>
  <c r="I63" i="48"/>
  <c r="H63" i="48"/>
  <c r="G63" i="48"/>
  <c r="F63" i="48"/>
  <c r="E63" i="48"/>
  <c r="D63" i="48"/>
  <c r="C63" i="48"/>
  <c r="B63" i="48"/>
  <c r="A63" i="48"/>
  <c r="K62" i="48"/>
  <c r="J62" i="48"/>
  <c r="I62" i="48"/>
  <c r="H62" i="48"/>
  <c r="G62" i="48"/>
  <c r="F62" i="48"/>
  <c r="E62" i="48"/>
  <c r="P62" i="48" s="1"/>
  <c r="D62" i="48"/>
  <c r="C62" i="48"/>
  <c r="B62" i="48"/>
  <c r="A62" i="48"/>
  <c r="K61" i="48"/>
  <c r="J61" i="48"/>
  <c r="I61" i="48"/>
  <c r="H61" i="48"/>
  <c r="G61" i="48"/>
  <c r="F61" i="48"/>
  <c r="E61" i="48"/>
  <c r="D61" i="48"/>
  <c r="C61" i="48"/>
  <c r="B61" i="48"/>
  <c r="A61" i="48"/>
  <c r="K60" i="48"/>
  <c r="J60" i="48"/>
  <c r="I60" i="48"/>
  <c r="H60" i="48"/>
  <c r="G60" i="48"/>
  <c r="F60" i="48"/>
  <c r="E60" i="48"/>
  <c r="P60" i="48" s="1"/>
  <c r="D60" i="48"/>
  <c r="C60" i="48"/>
  <c r="B60" i="48"/>
  <c r="A60" i="48"/>
  <c r="K59" i="48"/>
  <c r="J59" i="48"/>
  <c r="I59" i="48"/>
  <c r="H59" i="48"/>
  <c r="G59" i="48"/>
  <c r="F59" i="48"/>
  <c r="E59" i="48"/>
  <c r="D59" i="48"/>
  <c r="C59" i="48"/>
  <c r="B59" i="48"/>
  <c r="A59" i="48"/>
  <c r="K58" i="48"/>
  <c r="J58" i="48"/>
  <c r="I58" i="48"/>
  <c r="H58" i="48"/>
  <c r="G58" i="48"/>
  <c r="F58" i="48"/>
  <c r="E58" i="48"/>
  <c r="D58" i="48"/>
  <c r="C58" i="48"/>
  <c r="B58" i="48"/>
  <c r="A58" i="48"/>
  <c r="K57" i="48"/>
  <c r="J57" i="48"/>
  <c r="I57" i="48"/>
  <c r="H57" i="48"/>
  <c r="G57" i="48"/>
  <c r="F57" i="48"/>
  <c r="E57" i="48"/>
  <c r="D57" i="48"/>
  <c r="C57" i="48"/>
  <c r="B57" i="48"/>
  <c r="A57" i="48"/>
  <c r="K56" i="48"/>
  <c r="J56" i="48"/>
  <c r="I56" i="48"/>
  <c r="H56" i="48"/>
  <c r="G56" i="48"/>
  <c r="F56" i="48"/>
  <c r="E56" i="48"/>
  <c r="D56" i="48"/>
  <c r="C56" i="48"/>
  <c r="B56" i="48"/>
  <c r="A56" i="48"/>
  <c r="K55" i="48"/>
  <c r="J55" i="48"/>
  <c r="I55" i="48"/>
  <c r="H55" i="48"/>
  <c r="G55" i="48"/>
  <c r="F55" i="48"/>
  <c r="E55" i="48"/>
  <c r="D55" i="48"/>
  <c r="C55" i="48"/>
  <c r="B55" i="48"/>
  <c r="A55" i="48"/>
  <c r="K54" i="48"/>
  <c r="J54" i="48"/>
  <c r="I54" i="48"/>
  <c r="H54" i="48"/>
  <c r="G54" i="48"/>
  <c r="F54" i="48"/>
  <c r="E54" i="48"/>
  <c r="D54" i="48"/>
  <c r="C54" i="48"/>
  <c r="B54" i="48"/>
  <c r="A54" i="48"/>
  <c r="K53" i="48"/>
  <c r="J53" i="48"/>
  <c r="I53" i="48"/>
  <c r="H53" i="48"/>
  <c r="G53" i="48"/>
  <c r="F53" i="48"/>
  <c r="E53" i="48"/>
  <c r="D53" i="48"/>
  <c r="C53" i="48"/>
  <c r="B53" i="48"/>
  <c r="A53" i="48"/>
  <c r="K52" i="48"/>
  <c r="J52" i="48"/>
  <c r="I52" i="48"/>
  <c r="H52" i="48"/>
  <c r="G52" i="48"/>
  <c r="F52" i="48"/>
  <c r="E52" i="48"/>
  <c r="D52" i="48"/>
  <c r="C52" i="48"/>
  <c r="B52" i="48"/>
  <c r="A52" i="48"/>
  <c r="K51" i="48"/>
  <c r="J51" i="48"/>
  <c r="I51" i="48"/>
  <c r="H51" i="48"/>
  <c r="G51" i="48"/>
  <c r="F51" i="48"/>
  <c r="E51" i="48"/>
  <c r="D51" i="48"/>
  <c r="C51" i="48"/>
  <c r="B51" i="48"/>
  <c r="A51" i="48"/>
  <c r="K50" i="48"/>
  <c r="J50" i="48"/>
  <c r="I50" i="48"/>
  <c r="H50" i="48"/>
  <c r="G50" i="48"/>
  <c r="F50" i="48"/>
  <c r="E50" i="48"/>
  <c r="D50" i="48"/>
  <c r="C50" i="48"/>
  <c r="B50" i="48"/>
  <c r="A50" i="48"/>
  <c r="K49" i="48"/>
  <c r="J49" i="48"/>
  <c r="I49" i="48"/>
  <c r="H49" i="48"/>
  <c r="G49" i="48"/>
  <c r="F49" i="48"/>
  <c r="E49" i="48"/>
  <c r="D49" i="48"/>
  <c r="C49" i="48"/>
  <c r="B49" i="48"/>
  <c r="A49" i="48"/>
  <c r="K48" i="48"/>
  <c r="J48" i="48"/>
  <c r="I48" i="48"/>
  <c r="H48" i="48"/>
  <c r="G48" i="48"/>
  <c r="F48" i="48"/>
  <c r="E48" i="48"/>
  <c r="D48" i="48"/>
  <c r="C48" i="48"/>
  <c r="B48" i="48"/>
  <c r="A48" i="48"/>
  <c r="K47" i="48"/>
  <c r="J47" i="48"/>
  <c r="I47" i="48"/>
  <c r="H47" i="48"/>
  <c r="G47" i="48"/>
  <c r="F47" i="48"/>
  <c r="E47" i="48"/>
  <c r="D47" i="48"/>
  <c r="C47" i="48"/>
  <c r="B47" i="48"/>
  <c r="A47" i="48"/>
  <c r="K46" i="48"/>
  <c r="J46" i="48"/>
  <c r="I46" i="48"/>
  <c r="H46" i="48"/>
  <c r="G46" i="48"/>
  <c r="F46" i="48"/>
  <c r="E46" i="48"/>
  <c r="P46" i="48" s="1"/>
  <c r="D46" i="48"/>
  <c r="C46" i="48"/>
  <c r="B46" i="48"/>
  <c r="A46" i="48"/>
  <c r="K45" i="48"/>
  <c r="J45" i="48"/>
  <c r="I45" i="48"/>
  <c r="H45" i="48"/>
  <c r="G45" i="48"/>
  <c r="F45" i="48"/>
  <c r="E45" i="48"/>
  <c r="D45" i="48"/>
  <c r="C45" i="48"/>
  <c r="B45" i="48"/>
  <c r="A45" i="48"/>
  <c r="K44" i="48"/>
  <c r="J44" i="48"/>
  <c r="I44" i="48"/>
  <c r="H44" i="48"/>
  <c r="G44" i="48"/>
  <c r="F44" i="48"/>
  <c r="E44" i="48"/>
  <c r="P44" i="48" s="1"/>
  <c r="D44" i="48"/>
  <c r="C44" i="48"/>
  <c r="B44" i="48"/>
  <c r="A44" i="48"/>
  <c r="K43" i="48"/>
  <c r="J43" i="48"/>
  <c r="I43" i="48"/>
  <c r="H43" i="48"/>
  <c r="G43" i="48"/>
  <c r="F43" i="48"/>
  <c r="E43" i="48"/>
  <c r="D43" i="48"/>
  <c r="C43" i="48"/>
  <c r="B43" i="48"/>
  <c r="A43" i="48"/>
  <c r="K42" i="48"/>
  <c r="J42" i="48"/>
  <c r="I42" i="48"/>
  <c r="H42" i="48"/>
  <c r="G42" i="48"/>
  <c r="F42" i="48"/>
  <c r="E42" i="48"/>
  <c r="D42" i="48"/>
  <c r="C42" i="48"/>
  <c r="B42" i="48"/>
  <c r="A42" i="48"/>
  <c r="K41" i="48"/>
  <c r="J41" i="48"/>
  <c r="I41" i="48"/>
  <c r="H41" i="48"/>
  <c r="G41" i="48"/>
  <c r="F41" i="48"/>
  <c r="E41" i="48"/>
  <c r="D41" i="48"/>
  <c r="C41" i="48"/>
  <c r="B41" i="48"/>
  <c r="A41" i="48"/>
  <c r="K40" i="48"/>
  <c r="J40" i="48"/>
  <c r="I40" i="48"/>
  <c r="H40" i="48"/>
  <c r="G40" i="48"/>
  <c r="F40" i="48"/>
  <c r="E40" i="48"/>
  <c r="D40" i="48"/>
  <c r="C40" i="48"/>
  <c r="B40" i="48"/>
  <c r="A40" i="48"/>
  <c r="K39" i="48"/>
  <c r="J39" i="48"/>
  <c r="I39" i="48"/>
  <c r="H39" i="48"/>
  <c r="G39" i="48"/>
  <c r="F39" i="48"/>
  <c r="E39" i="48"/>
  <c r="D39" i="48"/>
  <c r="C39" i="48"/>
  <c r="B39" i="48"/>
  <c r="A39" i="48"/>
  <c r="K38" i="48"/>
  <c r="J38" i="48"/>
  <c r="I38" i="48"/>
  <c r="H38" i="48"/>
  <c r="G38" i="48"/>
  <c r="F38" i="48"/>
  <c r="E38" i="48"/>
  <c r="D38" i="48"/>
  <c r="C38" i="48"/>
  <c r="B38" i="48"/>
  <c r="A38" i="48"/>
  <c r="K37" i="48"/>
  <c r="J37" i="48"/>
  <c r="I37" i="48"/>
  <c r="H37" i="48"/>
  <c r="G37" i="48"/>
  <c r="F37" i="48"/>
  <c r="E37" i="48"/>
  <c r="D37" i="48"/>
  <c r="C37" i="48"/>
  <c r="B37" i="48"/>
  <c r="A37" i="48"/>
  <c r="K36" i="48"/>
  <c r="J36" i="48"/>
  <c r="I36" i="48"/>
  <c r="H36" i="48"/>
  <c r="G36" i="48"/>
  <c r="F36" i="48"/>
  <c r="E36" i="48"/>
  <c r="D36" i="48"/>
  <c r="C36" i="48"/>
  <c r="B36" i="48"/>
  <c r="A36" i="48"/>
  <c r="K35" i="48"/>
  <c r="J35" i="48"/>
  <c r="I35" i="48"/>
  <c r="H35" i="48"/>
  <c r="G35" i="48"/>
  <c r="F35" i="48"/>
  <c r="E35" i="48"/>
  <c r="D35" i="48"/>
  <c r="C35" i="48"/>
  <c r="B35" i="48"/>
  <c r="A35" i="48"/>
  <c r="K34" i="48"/>
  <c r="J34" i="48"/>
  <c r="I34" i="48"/>
  <c r="H34" i="48"/>
  <c r="G34" i="48"/>
  <c r="F34" i="48"/>
  <c r="E34" i="48"/>
  <c r="D34" i="48"/>
  <c r="C34" i="48"/>
  <c r="B34" i="48"/>
  <c r="A34" i="48"/>
  <c r="K33" i="48"/>
  <c r="J33" i="48"/>
  <c r="I33" i="48"/>
  <c r="H33" i="48"/>
  <c r="G33" i="48"/>
  <c r="F33" i="48"/>
  <c r="E33" i="48"/>
  <c r="R33" i="48" s="1"/>
  <c r="D33" i="48"/>
  <c r="C33" i="48"/>
  <c r="B33" i="48"/>
  <c r="A33" i="48"/>
  <c r="K32" i="48"/>
  <c r="J32" i="48"/>
  <c r="I32" i="48"/>
  <c r="H32" i="48"/>
  <c r="G32" i="48"/>
  <c r="F32" i="48"/>
  <c r="E32" i="48"/>
  <c r="D32" i="48"/>
  <c r="C32" i="48"/>
  <c r="B32" i="48"/>
  <c r="A32" i="48"/>
  <c r="K31" i="48"/>
  <c r="J31" i="48"/>
  <c r="I31" i="48"/>
  <c r="H31" i="48"/>
  <c r="G31" i="48"/>
  <c r="F31" i="48"/>
  <c r="E31" i="48"/>
  <c r="D31" i="48"/>
  <c r="C31" i="48"/>
  <c r="B31" i="48"/>
  <c r="A31" i="48"/>
  <c r="K30" i="48"/>
  <c r="J30" i="48"/>
  <c r="I30" i="48"/>
  <c r="H30" i="48"/>
  <c r="G30" i="48"/>
  <c r="F30" i="48"/>
  <c r="E30" i="48"/>
  <c r="R30" i="48" s="1"/>
  <c r="D30" i="48"/>
  <c r="C30" i="48"/>
  <c r="B30" i="48"/>
  <c r="A30" i="48"/>
  <c r="K29" i="48"/>
  <c r="J29" i="48"/>
  <c r="I29" i="48"/>
  <c r="H29" i="48"/>
  <c r="G29" i="48"/>
  <c r="F29" i="48"/>
  <c r="E29" i="48"/>
  <c r="D29" i="48"/>
  <c r="C29" i="48"/>
  <c r="B29" i="48"/>
  <c r="A29" i="48"/>
  <c r="K28" i="48"/>
  <c r="J28" i="48"/>
  <c r="I28" i="48"/>
  <c r="H28" i="48"/>
  <c r="G28" i="48"/>
  <c r="F28" i="48"/>
  <c r="E28" i="48"/>
  <c r="P28" i="48" s="1"/>
  <c r="D28" i="48"/>
  <c r="C28" i="48"/>
  <c r="B28" i="48"/>
  <c r="A28" i="48"/>
  <c r="K27" i="48"/>
  <c r="J27" i="48"/>
  <c r="I27" i="48"/>
  <c r="H27" i="48"/>
  <c r="G27" i="48"/>
  <c r="F27" i="48"/>
  <c r="E27" i="48"/>
  <c r="D27" i="48"/>
  <c r="C27" i="48"/>
  <c r="B27" i="48"/>
  <c r="A27" i="48"/>
  <c r="K26" i="48"/>
  <c r="J26" i="48"/>
  <c r="I26" i="48"/>
  <c r="H26" i="48"/>
  <c r="G26" i="48"/>
  <c r="F26" i="48"/>
  <c r="E26" i="48"/>
  <c r="D26" i="48"/>
  <c r="C26" i="48"/>
  <c r="B26" i="48"/>
  <c r="A26" i="48"/>
  <c r="K25" i="48"/>
  <c r="J25" i="48"/>
  <c r="I25" i="48"/>
  <c r="H25" i="48"/>
  <c r="G25" i="48"/>
  <c r="F25" i="48"/>
  <c r="E25" i="48"/>
  <c r="D25" i="48"/>
  <c r="C25" i="48"/>
  <c r="B25" i="48"/>
  <c r="A25" i="48"/>
  <c r="K24" i="48"/>
  <c r="J24" i="48"/>
  <c r="I24" i="48"/>
  <c r="H24" i="48"/>
  <c r="G24" i="48"/>
  <c r="F24" i="48"/>
  <c r="E24" i="48"/>
  <c r="D24" i="48"/>
  <c r="C24" i="48"/>
  <c r="B24" i="48"/>
  <c r="A24" i="48"/>
  <c r="K23" i="48"/>
  <c r="J23" i="48"/>
  <c r="I23" i="48"/>
  <c r="H23" i="48"/>
  <c r="G23" i="48"/>
  <c r="F23" i="48"/>
  <c r="E23" i="48"/>
  <c r="D23" i="48"/>
  <c r="C23" i="48"/>
  <c r="B23" i="48"/>
  <c r="A23" i="48"/>
  <c r="K22" i="48"/>
  <c r="J22" i="48"/>
  <c r="I22" i="48"/>
  <c r="H22" i="48"/>
  <c r="G22" i="48"/>
  <c r="F22" i="48"/>
  <c r="E22" i="48"/>
  <c r="D22" i="48"/>
  <c r="C22" i="48"/>
  <c r="B22" i="48"/>
  <c r="A22" i="48"/>
  <c r="K21" i="48"/>
  <c r="J21" i="48"/>
  <c r="I21" i="48"/>
  <c r="H21" i="48"/>
  <c r="G21" i="48"/>
  <c r="F21" i="48"/>
  <c r="E21" i="48"/>
  <c r="D21" i="48"/>
  <c r="C21" i="48"/>
  <c r="B21" i="48"/>
  <c r="A21" i="48"/>
  <c r="K20" i="48"/>
  <c r="J20" i="48"/>
  <c r="I20" i="48"/>
  <c r="H20" i="48"/>
  <c r="G20" i="48"/>
  <c r="F20" i="48"/>
  <c r="E20" i="48"/>
  <c r="D20" i="48"/>
  <c r="C20" i="48"/>
  <c r="B20" i="48"/>
  <c r="A20" i="48"/>
  <c r="K19" i="48"/>
  <c r="J19" i="48"/>
  <c r="I19" i="48"/>
  <c r="H19" i="48"/>
  <c r="G19" i="48"/>
  <c r="F19" i="48"/>
  <c r="E19" i="48"/>
  <c r="D19" i="48"/>
  <c r="C19" i="48"/>
  <c r="B19" i="48"/>
  <c r="A19" i="48"/>
  <c r="K18" i="48"/>
  <c r="J18" i="48"/>
  <c r="I18" i="48"/>
  <c r="H18" i="48"/>
  <c r="G18" i="48"/>
  <c r="F18" i="48"/>
  <c r="E18" i="48"/>
  <c r="D18" i="48"/>
  <c r="C18" i="48"/>
  <c r="B18" i="48"/>
  <c r="A18" i="48"/>
  <c r="K17" i="48"/>
  <c r="J17" i="48"/>
  <c r="I17" i="48"/>
  <c r="H17" i="48"/>
  <c r="G17" i="48"/>
  <c r="F17" i="48"/>
  <c r="E17" i="48"/>
  <c r="D17" i="48"/>
  <c r="C17" i="48"/>
  <c r="B17" i="48"/>
  <c r="A17" i="48"/>
  <c r="I16" i="48"/>
  <c r="H16" i="48"/>
  <c r="G16" i="48"/>
  <c r="F16" i="48"/>
  <c r="E16" i="48"/>
  <c r="D16" i="48"/>
  <c r="C16" i="48"/>
  <c r="B16" i="48"/>
  <c r="A16" i="48"/>
  <c r="K15" i="48"/>
  <c r="J15" i="48"/>
  <c r="I15" i="48"/>
  <c r="H15" i="48"/>
  <c r="G15" i="48"/>
  <c r="F15" i="48"/>
  <c r="E15" i="48"/>
  <c r="D15" i="48"/>
  <c r="C15" i="48"/>
  <c r="B15" i="48"/>
  <c r="A15" i="48"/>
  <c r="K14" i="48"/>
  <c r="J14" i="48"/>
  <c r="I14" i="48"/>
  <c r="H14" i="48"/>
  <c r="G14" i="48"/>
  <c r="F14" i="48"/>
  <c r="E14" i="48"/>
  <c r="O14" i="48" s="1"/>
  <c r="D14" i="48"/>
  <c r="C14" i="48"/>
  <c r="B14" i="48"/>
  <c r="A14" i="48"/>
  <c r="K13" i="48"/>
  <c r="J13" i="48"/>
  <c r="I13" i="48"/>
  <c r="H13" i="48"/>
  <c r="G13" i="48"/>
  <c r="F13" i="48"/>
  <c r="E13" i="48"/>
  <c r="D13" i="48"/>
  <c r="C13" i="48"/>
  <c r="B13" i="48"/>
  <c r="A13" i="48"/>
  <c r="K12" i="48"/>
  <c r="J12" i="48"/>
  <c r="I12" i="48"/>
  <c r="H12" i="48"/>
  <c r="G12" i="48"/>
  <c r="F12" i="48"/>
  <c r="E12" i="48"/>
  <c r="P12" i="48" s="1"/>
  <c r="D12" i="48"/>
  <c r="C12" i="48"/>
  <c r="B12" i="48"/>
  <c r="A12" i="48"/>
  <c r="K11" i="48"/>
  <c r="J11" i="48"/>
  <c r="I11" i="48"/>
  <c r="H11" i="48"/>
  <c r="G11" i="48"/>
  <c r="F11" i="48"/>
  <c r="E11" i="48"/>
  <c r="D11" i="48"/>
  <c r="C11" i="48"/>
  <c r="B11" i="48"/>
  <c r="A11" i="48"/>
  <c r="K10" i="48"/>
  <c r="J10" i="48"/>
  <c r="I10" i="48"/>
  <c r="H10" i="48"/>
  <c r="G10" i="48"/>
  <c r="F10" i="48"/>
  <c r="E10" i="48"/>
  <c r="D10" i="48"/>
  <c r="C10" i="48"/>
  <c r="B10" i="48"/>
  <c r="A10" i="48"/>
  <c r="K9" i="48"/>
  <c r="J9" i="48"/>
  <c r="I9" i="48"/>
  <c r="H9" i="48"/>
  <c r="G9" i="48"/>
  <c r="F9" i="48"/>
  <c r="E9" i="48"/>
  <c r="D9" i="48"/>
  <c r="C9" i="48"/>
  <c r="B9" i="48"/>
  <c r="A9" i="48"/>
  <c r="K8" i="48"/>
  <c r="J8" i="48"/>
  <c r="I8" i="48"/>
  <c r="H8" i="48"/>
  <c r="G8" i="48"/>
  <c r="F8" i="48"/>
  <c r="E8" i="48"/>
  <c r="D8" i="48"/>
  <c r="C8" i="48"/>
  <c r="B8" i="48"/>
  <c r="A8" i="48"/>
  <c r="K7" i="48"/>
  <c r="J7" i="48"/>
  <c r="I7" i="48"/>
  <c r="H7" i="48"/>
  <c r="G7" i="48"/>
  <c r="F7" i="48"/>
  <c r="E7" i="48"/>
  <c r="D7" i="48"/>
  <c r="C7" i="48"/>
  <c r="B7" i="48"/>
  <c r="A7" i="48"/>
  <c r="K6" i="48"/>
  <c r="Q6" i="48" s="1"/>
  <c r="J6" i="48"/>
  <c r="P6" i="48" s="1"/>
  <c r="R6" i="48" s="1"/>
  <c r="I6" i="48"/>
  <c r="H6" i="48"/>
  <c r="G6" i="48"/>
  <c r="F6" i="48"/>
  <c r="E6" i="48"/>
  <c r="D6" i="48"/>
  <c r="C6" i="48"/>
  <c r="B6" i="48"/>
  <c r="A6" i="48"/>
  <c r="AZ7" i="30"/>
  <c r="AZ106" i="1"/>
  <c r="AZ105" i="1"/>
  <c r="AZ104" i="1"/>
  <c r="AZ103" i="1"/>
  <c r="AZ102" i="1"/>
  <c r="AZ101" i="1"/>
  <c r="AZ100" i="1"/>
  <c r="AZ99" i="1"/>
  <c r="AZ98" i="1"/>
  <c r="AZ97" i="1"/>
  <c r="AZ96" i="1"/>
  <c r="AZ95" i="1"/>
  <c r="AZ94" i="1"/>
  <c r="AZ93" i="1"/>
  <c r="AZ92" i="1"/>
  <c r="AZ91" i="1"/>
  <c r="AZ90" i="1"/>
  <c r="AZ89" i="1"/>
  <c r="AZ88" i="1"/>
  <c r="AZ87" i="1"/>
  <c r="AZ86" i="1"/>
  <c r="AZ85" i="1"/>
  <c r="AZ84" i="1"/>
  <c r="AZ83" i="1"/>
  <c r="AZ82" i="1"/>
  <c r="AZ81" i="1"/>
  <c r="AZ80" i="1"/>
  <c r="AZ79" i="1"/>
  <c r="AZ78" i="1"/>
  <c r="AZ77" i="1"/>
  <c r="AZ76" i="1"/>
  <c r="AZ75" i="1"/>
  <c r="AZ74" i="1"/>
  <c r="AZ73" i="1"/>
  <c r="AZ72" i="1"/>
  <c r="AZ71" i="1"/>
  <c r="AZ70" i="1"/>
  <c r="AZ69" i="1"/>
  <c r="AZ68" i="1"/>
  <c r="AZ67" i="1"/>
  <c r="AZ66" i="1"/>
  <c r="AZ65" i="1"/>
  <c r="AZ64" i="1"/>
  <c r="AZ63" i="1"/>
  <c r="AZ62" i="1"/>
  <c r="AZ61" i="1"/>
  <c r="AZ60" i="1"/>
  <c r="AZ59" i="1"/>
  <c r="AZ58" i="1"/>
  <c r="AZ57" i="1"/>
  <c r="AZ56" i="1"/>
  <c r="AZ55" i="1"/>
  <c r="AZ54" i="1"/>
  <c r="AZ53" i="1"/>
  <c r="AZ52" i="1"/>
  <c r="AZ51" i="1"/>
  <c r="AZ50" i="1"/>
  <c r="AZ49" i="1"/>
  <c r="AZ48" i="1"/>
  <c r="AZ47" i="1"/>
  <c r="AZ46" i="1"/>
  <c r="AZ45" i="1"/>
  <c r="AZ44" i="1"/>
  <c r="AZ43" i="1"/>
  <c r="AZ42" i="1"/>
  <c r="AZ41" i="1"/>
  <c r="AZ40" i="1"/>
  <c r="AZ39" i="1"/>
  <c r="AZ38" i="1"/>
  <c r="AZ37" i="1"/>
  <c r="AZ36" i="1"/>
  <c r="AZ35" i="1"/>
  <c r="AZ34" i="1"/>
  <c r="AZ33" i="1"/>
  <c r="AZ32" i="1"/>
  <c r="AZ31" i="1"/>
  <c r="AZ30" i="1"/>
  <c r="AZ29" i="1"/>
  <c r="AZ28" i="1"/>
  <c r="AZ27" i="1"/>
  <c r="AZ26" i="1"/>
  <c r="AZ25" i="1"/>
  <c r="AZ24" i="1"/>
  <c r="AZ23" i="1"/>
  <c r="AZ22" i="1"/>
  <c r="AZ21" i="1"/>
  <c r="AZ20" i="1"/>
  <c r="AZ19" i="1"/>
  <c r="AZ18" i="1"/>
  <c r="AZ17" i="1"/>
  <c r="AZ16" i="1"/>
  <c r="K16" i="48" s="1"/>
  <c r="AZ15" i="1"/>
  <c r="AZ14" i="1"/>
  <c r="AZ13" i="1"/>
  <c r="AZ12" i="1"/>
  <c r="AZ11" i="1"/>
  <c r="AZ10" i="1"/>
  <c r="AZ9" i="1"/>
  <c r="AZ8" i="1"/>
  <c r="AZ7" i="1"/>
  <c r="P106" i="48" l="1"/>
  <c r="P89" i="48"/>
  <c r="Q9" i="48"/>
  <c r="O55" i="48"/>
  <c r="Q71" i="48"/>
  <c r="O74" i="48"/>
  <c r="P90" i="48"/>
  <c r="P29" i="48"/>
  <c r="P61" i="48"/>
  <c r="P77" i="48"/>
  <c r="R9" i="48"/>
  <c r="O25" i="48"/>
  <c r="Q41" i="48"/>
  <c r="Q7" i="48"/>
  <c r="Q87" i="48"/>
  <c r="O10" i="48"/>
  <c r="P58" i="48"/>
  <c r="P95" i="48"/>
  <c r="O42" i="48"/>
  <c r="P59" i="48"/>
  <c r="O54" i="48"/>
  <c r="R70" i="48"/>
  <c r="R41" i="48"/>
  <c r="R57" i="48"/>
  <c r="P73" i="48"/>
  <c r="R105" i="48"/>
  <c r="R15" i="48"/>
  <c r="P31" i="48"/>
  <c r="P79" i="48"/>
  <c r="P80" i="48"/>
  <c r="O58" i="48"/>
  <c r="P18" i="48"/>
  <c r="P34" i="48"/>
  <c r="P50" i="48"/>
  <c r="P66" i="48"/>
  <c r="Q96" i="48"/>
  <c r="P98" i="48"/>
  <c r="P74" i="48"/>
  <c r="R8" i="48"/>
  <c r="Q57" i="48"/>
  <c r="O73" i="48"/>
  <c r="O89" i="48"/>
  <c r="R36" i="48"/>
  <c r="P52" i="48"/>
  <c r="P69" i="48"/>
  <c r="P23" i="48"/>
  <c r="P39" i="48"/>
  <c r="P103" i="48"/>
  <c r="P17" i="48"/>
  <c r="P13" i="48"/>
  <c r="P32" i="48"/>
  <c r="O46" i="48"/>
  <c r="P48" i="48"/>
  <c r="P49" i="48"/>
  <c r="P64" i="48"/>
  <c r="O80" i="48"/>
  <c r="R96" i="48"/>
  <c r="Q19" i="48"/>
  <c r="P35" i="48"/>
  <c r="P68" i="48"/>
  <c r="P84" i="48"/>
  <c r="P22" i="48"/>
  <c r="R38" i="48"/>
  <c r="R86" i="48"/>
  <c r="P102" i="48"/>
  <c r="P20" i="48"/>
  <c r="P51" i="48"/>
  <c r="P67" i="48"/>
  <c r="P83" i="48"/>
  <c r="P99" i="48"/>
  <c r="P45" i="48"/>
  <c r="Q76" i="48"/>
  <c r="O90" i="48"/>
  <c r="Q92" i="48"/>
  <c r="O106" i="48"/>
  <c r="O62" i="48"/>
  <c r="P21" i="48"/>
  <c r="P53" i="48"/>
  <c r="Q94" i="48"/>
  <c r="O24" i="48"/>
  <c r="P25" i="48"/>
  <c r="O40" i="48"/>
  <c r="P56" i="48"/>
  <c r="R72" i="48"/>
  <c r="Q88" i="48"/>
  <c r="Q104" i="48"/>
  <c r="P14" i="48"/>
  <c r="Q82" i="48"/>
  <c r="R37" i="48"/>
  <c r="P85" i="48"/>
  <c r="P101" i="48"/>
  <c r="Q11" i="48"/>
  <c r="Q27" i="48"/>
  <c r="Q43" i="48"/>
  <c r="P75" i="48"/>
  <c r="Q91" i="48"/>
  <c r="Q105" i="48"/>
  <c r="P40" i="48"/>
  <c r="P47" i="48"/>
  <c r="P42" i="48"/>
  <c r="Q93" i="48"/>
  <c r="Q38" i="48"/>
  <c r="Q70" i="48"/>
  <c r="Q86" i="48"/>
  <c r="O102" i="48"/>
  <c r="O22" i="48"/>
  <c r="P24" i="48"/>
  <c r="R27" i="48"/>
  <c r="R87" i="48"/>
  <c r="Q30" i="48"/>
  <c r="O44" i="48"/>
  <c r="O60" i="48"/>
  <c r="Q78" i="48"/>
  <c r="O32" i="48"/>
  <c r="O103" i="48"/>
  <c r="R91" i="48"/>
  <c r="O23" i="48"/>
  <c r="O12" i="48"/>
  <c r="O65" i="48"/>
  <c r="O39" i="48"/>
  <c r="R92" i="48"/>
  <c r="O28" i="48"/>
  <c r="Q33" i="48"/>
  <c r="O20" i="48"/>
  <c r="Q36" i="48"/>
  <c r="O68" i="48"/>
  <c r="O84" i="48"/>
  <c r="Q100" i="48"/>
  <c r="R93" i="48"/>
  <c r="P54" i="48"/>
  <c r="Q26" i="48"/>
  <c r="O48" i="48"/>
  <c r="P10" i="48"/>
  <c r="P55" i="48"/>
  <c r="R43" i="48"/>
  <c r="R100" i="48"/>
  <c r="R7" i="48"/>
  <c r="R104" i="48"/>
  <c r="R71" i="48"/>
  <c r="O64" i="48"/>
  <c r="R11" i="48"/>
  <c r="R76" i="48"/>
  <c r="O31" i="48"/>
  <c r="O63" i="48"/>
  <c r="O95" i="48"/>
  <c r="P63" i="48"/>
  <c r="R78" i="48"/>
  <c r="R19" i="48"/>
  <c r="R82" i="48"/>
  <c r="Q16" i="48"/>
  <c r="Q37" i="48"/>
  <c r="P65" i="48"/>
  <c r="R26" i="48"/>
  <c r="Q8" i="48"/>
  <c r="O97" i="48"/>
  <c r="O35" i="48"/>
  <c r="O51" i="48"/>
  <c r="O59" i="48"/>
  <c r="O67" i="48"/>
  <c r="O75" i="48"/>
  <c r="O83" i="48"/>
  <c r="O99" i="48"/>
  <c r="O56" i="48"/>
  <c r="O52" i="48"/>
  <c r="Q15" i="48"/>
  <c r="O17" i="48"/>
  <c r="O13" i="48"/>
  <c r="O21" i="48"/>
  <c r="O29" i="48"/>
  <c r="O45" i="48"/>
  <c r="O53" i="48"/>
  <c r="O61" i="48"/>
  <c r="O69" i="48"/>
  <c r="O77" i="48"/>
  <c r="O85" i="48"/>
  <c r="O101" i="48"/>
  <c r="O49" i="48"/>
  <c r="O81" i="48"/>
  <c r="O6" i="48"/>
  <c r="O47" i="48"/>
  <c r="O79" i="48"/>
  <c r="Q72" i="48"/>
  <c r="O98" i="48"/>
  <c r="O18" i="48"/>
  <c r="O34" i="48"/>
  <c r="O50" i="48"/>
  <c r="O66" i="48"/>
  <c r="DH2" i="1"/>
  <c r="DE5" i="1"/>
  <c r="DE106" i="1"/>
  <c r="DE105" i="1"/>
  <c r="DE104" i="1"/>
  <c r="DE103" i="1"/>
  <c r="DE102" i="1"/>
  <c r="DE101" i="1"/>
  <c r="DE100" i="1"/>
  <c r="DE99" i="1"/>
  <c r="DE98" i="1"/>
  <c r="DE97" i="1"/>
  <c r="DE96" i="1"/>
  <c r="DE95" i="1"/>
  <c r="DE94" i="1"/>
  <c r="DE93" i="1"/>
  <c r="DE92" i="1"/>
  <c r="DE91" i="1"/>
  <c r="DE90" i="1"/>
  <c r="DE89" i="1"/>
  <c r="DE88" i="1"/>
  <c r="DE87" i="1"/>
  <c r="DE86" i="1"/>
  <c r="DE85" i="1"/>
  <c r="DE84" i="1"/>
  <c r="DE83" i="1"/>
  <c r="DE82" i="1"/>
  <c r="DE81" i="1"/>
  <c r="DE80" i="1"/>
  <c r="DE79" i="1"/>
  <c r="DE78" i="1"/>
  <c r="DE77" i="1"/>
  <c r="DE76" i="1"/>
  <c r="DE75" i="1"/>
  <c r="DE74" i="1"/>
  <c r="DE73" i="1"/>
  <c r="DE72" i="1"/>
  <c r="DE71" i="1"/>
  <c r="DE70" i="1"/>
  <c r="DE69" i="1"/>
  <c r="DE68" i="1"/>
  <c r="DE67" i="1"/>
  <c r="DE66" i="1"/>
  <c r="DE65" i="1"/>
  <c r="DE64" i="1"/>
  <c r="DE63" i="1"/>
  <c r="DE62" i="1"/>
  <c r="DE61" i="1"/>
  <c r="DE60" i="1"/>
  <c r="DE59" i="1"/>
  <c r="DE58" i="1"/>
  <c r="DE57" i="1"/>
  <c r="DE56" i="1"/>
  <c r="DE55" i="1"/>
  <c r="DE54" i="1"/>
  <c r="DE53" i="1"/>
  <c r="DE52" i="1"/>
  <c r="DE51" i="1"/>
  <c r="DE50" i="1"/>
  <c r="DE49" i="1"/>
  <c r="DE48" i="1"/>
  <c r="DE47" i="1"/>
  <c r="DE46" i="1"/>
  <c r="DE45" i="1"/>
  <c r="DE44" i="1"/>
  <c r="DE43" i="1"/>
  <c r="DE42" i="1"/>
  <c r="DE41" i="1"/>
  <c r="DE40" i="1"/>
  <c r="DE39" i="1"/>
  <c r="DE38" i="1"/>
  <c r="DE37" i="1"/>
  <c r="DE36" i="1"/>
  <c r="DE35" i="1"/>
  <c r="DE34" i="1"/>
  <c r="DE33" i="1"/>
  <c r="DE32" i="1"/>
  <c r="DE31" i="1"/>
  <c r="DE30" i="1"/>
  <c r="DE29" i="1"/>
  <c r="DE28" i="1"/>
  <c r="DE27" i="1"/>
  <c r="DE26" i="1"/>
  <c r="DE25" i="1"/>
  <c r="DE24" i="1"/>
  <c r="DE23" i="1"/>
  <c r="DE22" i="1"/>
  <c r="DE21" i="1"/>
  <c r="DE20" i="1"/>
  <c r="DE19" i="1"/>
  <c r="DE18" i="1"/>
  <c r="DE17" i="1"/>
  <c r="DE16" i="1"/>
  <c r="DE15" i="1"/>
  <c r="DE14" i="1"/>
  <c r="DE13" i="1"/>
  <c r="DE12" i="1"/>
  <c r="DE11" i="1"/>
  <c r="DE10" i="1"/>
  <c r="DE9" i="1"/>
  <c r="DE8" i="1"/>
  <c r="DE7" i="1"/>
  <c r="GB19" i="1"/>
  <c r="GA19" i="1"/>
  <c r="GB18" i="1"/>
  <c r="GA18" i="1"/>
  <c r="GB17" i="1"/>
  <c r="GA17" i="1"/>
  <c r="GB16" i="1"/>
  <c r="GA16" i="1"/>
  <c r="GB15" i="1"/>
  <c r="GA15" i="1"/>
  <c r="GB14" i="1"/>
  <c r="GA14" i="1"/>
  <c r="GB13" i="1"/>
  <c r="GA13" i="1"/>
  <c r="GB12" i="1"/>
  <c r="GA12" i="1"/>
  <c r="GB11" i="1"/>
  <c r="GA11" i="1"/>
  <c r="GB10" i="1"/>
  <c r="GA10" i="1"/>
  <c r="GB9" i="1"/>
  <c r="GA9" i="1"/>
  <c r="GB8" i="1"/>
  <c r="GA8" i="1"/>
  <c r="GB7" i="1"/>
  <c r="GA7" i="1"/>
  <c r="FZ19" i="1"/>
  <c r="FZ18" i="1"/>
  <c r="FZ17" i="1"/>
  <c r="FZ16" i="1"/>
  <c r="FZ15" i="1"/>
  <c r="FZ14" i="1"/>
  <c r="FZ13" i="1"/>
  <c r="FZ12" i="1"/>
  <c r="FZ11" i="1"/>
  <c r="FZ10" i="1"/>
  <c r="FZ9" i="1"/>
  <c r="FZ8" i="1"/>
  <c r="FZ7" i="1"/>
  <c r="FY9" i="1"/>
  <c r="FY10" i="1" s="1"/>
  <c r="FY11" i="1" s="1"/>
  <c r="FY12" i="1" s="1"/>
  <c r="FY13" i="1" s="1"/>
  <c r="FY14" i="1" s="1"/>
  <c r="FY15" i="1" s="1"/>
  <c r="FY16" i="1" s="1"/>
  <c r="FY17" i="1" s="1"/>
  <c r="FY18" i="1" s="1"/>
  <c r="FY8" i="1"/>
  <c r="N1" i="30"/>
  <c r="AX45" i="30"/>
  <c r="AY125" i="1"/>
  <c r="AY124" i="1"/>
  <c r="AY123" i="1"/>
  <c r="AY122" i="1"/>
  <c r="AY121" i="1"/>
  <c r="AY120" i="1"/>
  <c r="AY119" i="1"/>
  <c r="AY118" i="1"/>
  <c r="X4" i="1"/>
  <c r="X4" i="30"/>
  <c r="P3" i="30"/>
  <c r="P3" i="1"/>
  <c r="FR1" i="1"/>
  <c r="AY116" i="1"/>
  <c r="R1" i="1"/>
  <c r="R1" i="30"/>
  <c r="S3" i="30"/>
  <c r="S4" i="30"/>
  <c r="B4" i="48" s="1"/>
  <c r="U4" i="30"/>
  <c r="P4" i="30"/>
  <c r="I34" i="20" l="1"/>
  <c r="I35" i="20" s="1"/>
  <c r="I36" i="20" s="1"/>
  <c r="I37" i="20" s="1"/>
  <c r="I38" i="20" s="1"/>
  <c r="I39" i="20" s="1"/>
  <c r="I40" i="20" s="1"/>
  <c r="I41" i="20" s="1"/>
  <c r="I42" i="20" s="1"/>
  <c r="I43" i="20" s="1"/>
  <c r="I44" i="20" s="1"/>
  <c r="I45" i="20" s="1"/>
  <c r="I46" i="20" s="1"/>
  <c r="I47" i="20" s="1"/>
  <c r="I48" i="20" s="1"/>
  <c r="I49" i="20" s="1"/>
  <c r="I50" i="20" s="1"/>
  <c r="I51" i="20" s="1"/>
  <c r="I52" i="20" s="1"/>
  <c r="I53" i="20" s="1"/>
  <c r="I54" i="20" s="1"/>
  <c r="I55" i="20" s="1"/>
  <c r="I56" i="20" s="1"/>
  <c r="I57" i="20" s="1"/>
  <c r="I58" i="20" s="1"/>
  <c r="I59" i="20" s="1"/>
  <c r="I60" i="20" s="1"/>
  <c r="I61" i="20" s="1"/>
  <c r="I62" i="20" s="1"/>
  <c r="I63" i="20" s="1"/>
  <c r="I64" i="20" s="1"/>
  <c r="I65" i="20" s="1"/>
  <c r="I66" i="20" s="1"/>
  <c r="I67" i="20" s="1"/>
  <c r="I68" i="20" s="1"/>
  <c r="I69" i="20" s="1"/>
  <c r="I70" i="20" s="1"/>
  <c r="I71" i="20" s="1"/>
  <c r="I72" i="20" s="1"/>
  <c r="I73" i="20" s="1"/>
  <c r="I74" i="20" s="1"/>
  <c r="I75" i="20" s="1"/>
  <c r="I76" i="20" s="1"/>
  <c r="I77" i="20" s="1"/>
  <c r="I78" i="20" s="1"/>
  <c r="I79" i="20" s="1"/>
  <c r="I80" i="20" s="1"/>
  <c r="I81" i="20" s="1"/>
  <c r="I82" i="20" s="1"/>
  <c r="I83" i="20" s="1"/>
  <c r="I84" i="20" s="1"/>
  <c r="I85" i="20" s="1"/>
  <c r="I33" i="20"/>
  <c r="G112" i="1"/>
  <c r="G113" i="1" s="1"/>
  <c r="G114" i="1" s="1"/>
  <c r="G115" i="1" s="1"/>
  <c r="G116" i="1" s="1"/>
  <c r="G117" i="1" s="1"/>
  <c r="G118" i="1" s="1"/>
  <c r="G111" i="1"/>
  <c r="G110" i="1"/>
  <c r="F118" i="1"/>
  <c r="F117" i="1"/>
  <c r="F116" i="1"/>
  <c r="F115" i="1"/>
  <c r="F114" i="1"/>
  <c r="F113" i="1"/>
  <c r="F112" i="1"/>
  <c r="F111" i="1"/>
  <c r="F110" i="1"/>
  <c r="E112" i="1"/>
  <c r="E113" i="1" s="1"/>
  <c r="E114" i="1" s="1"/>
  <c r="E115" i="1" s="1"/>
  <c r="E116" i="1" s="1"/>
  <c r="E117" i="1" s="1"/>
  <c r="E118" i="1" s="1"/>
  <c r="E111" i="1"/>
  <c r="CE31" i="30" l="1"/>
  <c r="CE30" i="30"/>
  <c r="CE29" i="30"/>
  <c r="CE28" i="30"/>
  <c r="CE27" i="30"/>
  <c r="CE26" i="30"/>
  <c r="CE25" i="30"/>
  <c r="CE24" i="30"/>
  <c r="CE23" i="30"/>
  <c r="CE22" i="30"/>
  <c r="CE21" i="30"/>
  <c r="CE20" i="30"/>
  <c r="CE19" i="30"/>
  <c r="CE18" i="30"/>
  <c r="CE17" i="30"/>
  <c r="CE16" i="30"/>
  <c r="CE15" i="30"/>
  <c r="CE14" i="30"/>
  <c r="CE13" i="30"/>
  <c r="CE12" i="30"/>
  <c r="CE11" i="30"/>
  <c r="CE10" i="30"/>
  <c r="CE9" i="30"/>
  <c r="CE8" i="30"/>
  <c r="CE7" i="30"/>
  <c r="EQ7" i="1"/>
  <c r="EN106" i="1"/>
  <c r="EN105" i="1"/>
  <c r="EN104" i="1"/>
  <c r="EN103" i="1"/>
  <c r="EN102" i="1"/>
  <c r="EN101" i="1"/>
  <c r="EN100" i="1"/>
  <c r="EN99" i="1"/>
  <c r="EN98" i="1"/>
  <c r="EN97" i="1"/>
  <c r="EN96" i="1"/>
  <c r="EN95" i="1"/>
  <c r="EN94" i="1"/>
  <c r="EN93" i="1"/>
  <c r="EN92" i="1"/>
  <c r="EN91" i="1"/>
  <c r="EN90" i="1"/>
  <c r="EN89" i="1"/>
  <c r="EN88" i="1"/>
  <c r="EN87" i="1"/>
  <c r="EN86" i="1"/>
  <c r="EN85" i="1"/>
  <c r="EN84" i="1"/>
  <c r="EN83" i="1"/>
  <c r="EN82" i="1"/>
  <c r="EN81" i="1"/>
  <c r="EN80" i="1"/>
  <c r="EN79" i="1"/>
  <c r="EN78" i="1"/>
  <c r="EN77" i="1"/>
  <c r="EN76" i="1"/>
  <c r="EN75" i="1"/>
  <c r="EN74" i="1"/>
  <c r="EN73" i="1"/>
  <c r="EN72" i="1"/>
  <c r="EN71" i="1"/>
  <c r="EN70" i="1"/>
  <c r="EN69" i="1"/>
  <c r="EN68" i="1"/>
  <c r="EN67" i="1"/>
  <c r="EN66" i="1"/>
  <c r="EN65" i="1"/>
  <c r="EN64" i="1"/>
  <c r="EN63" i="1"/>
  <c r="EN62" i="1"/>
  <c r="EN61" i="1"/>
  <c r="EN60" i="1"/>
  <c r="EN59" i="1"/>
  <c r="EN58" i="1"/>
  <c r="EN57" i="1"/>
  <c r="EN56" i="1"/>
  <c r="EN55" i="1"/>
  <c r="EN54" i="1"/>
  <c r="EN53" i="1"/>
  <c r="EN52" i="1"/>
  <c r="EN51" i="1"/>
  <c r="EN50" i="1"/>
  <c r="EN49" i="1"/>
  <c r="EN48" i="1"/>
  <c r="EN47" i="1"/>
  <c r="EN46" i="1"/>
  <c r="EN45" i="1"/>
  <c r="EN44" i="1"/>
  <c r="EN43" i="1"/>
  <c r="EN42" i="1"/>
  <c r="EN41" i="1"/>
  <c r="EN40" i="1"/>
  <c r="EN39" i="1"/>
  <c r="EN38" i="1"/>
  <c r="EN37" i="1"/>
  <c r="EN36" i="1"/>
  <c r="EN35" i="1"/>
  <c r="EN34" i="1"/>
  <c r="EN33" i="1"/>
  <c r="EN32" i="1"/>
  <c r="EN31" i="1"/>
  <c r="EN30" i="1"/>
  <c r="EN29" i="1"/>
  <c r="EN28" i="1"/>
  <c r="EN27" i="1"/>
  <c r="EN26" i="1"/>
  <c r="EN25" i="1"/>
  <c r="EN24" i="1"/>
  <c r="EN23" i="1"/>
  <c r="EN22" i="1"/>
  <c r="EN21" i="1"/>
  <c r="EN20" i="1"/>
  <c r="EN19" i="1"/>
  <c r="EN18" i="1"/>
  <c r="EN17" i="1"/>
  <c r="EN16" i="1"/>
  <c r="EN15" i="1"/>
  <c r="EN14" i="1"/>
  <c r="EN13" i="1"/>
  <c r="EN12" i="1"/>
  <c r="EN11" i="1"/>
  <c r="EN10" i="1"/>
  <c r="EN9" i="1"/>
  <c r="EN8" i="1"/>
  <c r="EN7" i="1"/>
  <c r="DN8" i="1" l="1"/>
  <c r="DL8" i="1"/>
  <c r="DN7" i="1"/>
  <c r="DL7" i="1"/>
  <c r="DK7" i="1"/>
  <c r="FQ70" i="1"/>
  <c r="FH70" i="1"/>
  <c r="EO70" i="1" a="1"/>
  <c r="EO70" i="1" s="1"/>
  <c r="CF70" i="1" a="1"/>
  <c r="CF70" i="1" s="1"/>
  <c r="DK8" i="1"/>
  <c r="CE2" i="30"/>
  <c r="Y2" i="30"/>
  <c r="EQ106" i="1"/>
  <c r="EQ105" i="1"/>
  <c r="EQ104" i="1"/>
  <c r="EQ103" i="1"/>
  <c r="EQ102" i="1"/>
  <c r="EQ101" i="1"/>
  <c r="EQ100" i="1"/>
  <c r="EQ99" i="1"/>
  <c r="EQ98" i="1"/>
  <c r="EQ97" i="1"/>
  <c r="EQ96" i="1"/>
  <c r="EQ95" i="1"/>
  <c r="EQ94" i="1"/>
  <c r="EQ93" i="1"/>
  <c r="EQ92" i="1"/>
  <c r="EQ91" i="1"/>
  <c r="EQ90" i="1"/>
  <c r="EQ89" i="1"/>
  <c r="EQ88" i="1"/>
  <c r="EQ87" i="1"/>
  <c r="EQ86" i="1"/>
  <c r="EQ85" i="1"/>
  <c r="EQ84" i="1"/>
  <c r="EQ83" i="1"/>
  <c r="EQ82" i="1"/>
  <c r="EQ81" i="1"/>
  <c r="EQ80" i="1"/>
  <c r="EQ79" i="1"/>
  <c r="EQ78" i="1"/>
  <c r="EQ77" i="1"/>
  <c r="EQ76" i="1"/>
  <c r="EQ75" i="1"/>
  <c r="EQ74" i="1"/>
  <c r="EQ73" i="1"/>
  <c r="EQ72" i="1"/>
  <c r="EQ71" i="1"/>
  <c r="EQ69" i="1"/>
  <c r="EQ68" i="1"/>
  <c r="EQ67" i="1"/>
  <c r="EQ66" i="1"/>
  <c r="EQ65" i="1"/>
  <c r="EQ64" i="1"/>
  <c r="EQ63" i="1"/>
  <c r="EQ62" i="1"/>
  <c r="EQ61" i="1"/>
  <c r="EQ60" i="1"/>
  <c r="EQ59" i="1"/>
  <c r="EQ58" i="1"/>
  <c r="EQ57" i="1"/>
  <c r="EQ56" i="1"/>
  <c r="EQ55" i="1"/>
  <c r="EQ54" i="1"/>
  <c r="EQ53" i="1"/>
  <c r="EQ52" i="1"/>
  <c r="EQ51" i="1"/>
  <c r="EQ50" i="1"/>
  <c r="EQ49" i="1"/>
  <c r="EQ48" i="1"/>
  <c r="EQ47" i="1"/>
  <c r="EQ46" i="1"/>
  <c r="EQ45" i="1"/>
  <c r="EQ44" i="1"/>
  <c r="EQ43" i="1"/>
  <c r="EQ42" i="1"/>
  <c r="EQ41" i="1"/>
  <c r="EQ40" i="1"/>
  <c r="EQ39" i="1"/>
  <c r="EQ38" i="1"/>
  <c r="EQ37" i="1"/>
  <c r="EQ36" i="1"/>
  <c r="EQ35" i="1"/>
  <c r="EQ34" i="1"/>
  <c r="EQ33" i="1"/>
  <c r="EQ32" i="1"/>
  <c r="EQ31" i="1"/>
  <c r="EQ30" i="1"/>
  <c r="EQ29" i="1"/>
  <c r="EQ28" i="1"/>
  <c r="EQ27" i="1"/>
  <c r="EQ26" i="1"/>
  <c r="EQ25" i="1"/>
  <c r="EQ24" i="1"/>
  <c r="EQ23" i="1"/>
  <c r="EQ22" i="1"/>
  <c r="EQ21" i="1"/>
  <c r="EQ20" i="1"/>
  <c r="EQ19" i="1"/>
  <c r="EQ18" i="1"/>
  <c r="EQ17" i="1"/>
  <c r="EQ16" i="1"/>
  <c r="EQ15" i="1"/>
  <c r="EQ14" i="1"/>
  <c r="EQ13" i="1"/>
  <c r="EQ12" i="1"/>
  <c r="EQ11" i="1"/>
  <c r="EQ10" i="1"/>
  <c r="EQ9" i="1"/>
  <c r="EQ8" i="1"/>
  <c r="ED1" i="30"/>
  <c r="H1" i="35"/>
  <c r="G1" i="35"/>
  <c r="S44" i="2"/>
  <c r="Q44" i="2"/>
  <c r="N44" i="2"/>
  <c r="S43" i="2"/>
  <c r="Q43" i="2"/>
  <c r="N43" i="2"/>
  <c r="AE8" i="2"/>
  <c r="AD8" i="2"/>
  <c r="AC8" i="2"/>
  <c r="AB8" i="2"/>
  <c r="AA8" i="2"/>
  <c r="Z8" i="2"/>
  <c r="Y8" i="2"/>
  <c r="X8" i="2"/>
  <c r="W8" i="2"/>
  <c r="V8" i="2"/>
  <c r="U8" i="2"/>
  <c r="T8" i="2"/>
  <c r="S8" i="2"/>
  <c r="R8" i="2"/>
  <c r="Q8" i="2"/>
  <c r="P8" i="2"/>
  <c r="O8" i="2"/>
  <c r="N8" i="2"/>
  <c r="M8" i="2"/>
  <c r="L8" i="2"/>
  <c r="K8" i="2"/>
  <c r="J8" i="2"/>
  <c r="I8" i="2"/>
  <c r="I7" i="2"/>
  <c r="AE6" i="2"/>
  <c r="AD6" i="2"/>
  <c r="AC6" i="2"/>
  <c r="AB6" i="2"/>
  <c r="AA6" i="2"/>
  <c r="Z6" i="2"/>
  <c r="Y6" i="2"/>
  <c r="X6" i="2"/>
  <c r="W6" i="2"/>
  <c r="V6" i="2"/>
  <c r="U6" i="2"/>
  <c r="T6" i="2"/>
  <c r="S6" i="2"/>
  <c r="R6" i="2"/>
  <c r="Q6" i="2"/>
  <c r="P6" i="2"/>
  <c r="O6" i="2"/>
  <c r="N6" i="2"/>
  <c r="M6" i="2"/>
  <c r="L6" i="2"/>
  <c r="K6" i="2"/>
  <c r="J6" i="2"/>
  <c r="I6" i="2"/>
  <c r="AE5" i="2"/>
  <c r="AD5" i="2"/>
  <c r="AC5" i="2"/>
  <c r="AB5" i="2"/>
  <c r="AA5" i="2"/>
  <c r="Z5" i="2"/>
  <c r="Y5" i="2"/>
  <c r="X5" i="2"/>
  <c r="W5" i="2"/>
  <c r="V5" i="2"/>
  <c r="U5" i="2"/>
  <c r="T5" i="2"/>
  <c r="S5" i="2"/>
  <c r="R5" i="2"/>
  <c r="Q5" i="2"/>
  <c r="P5" i="2"/>
  <c r="O5" i="2"/>
  <c r="N5" i="2"/>
  <c r="M5" i="2"/>
  <c r="L5" i="2"/>
  <c r="K5" i="2"/>
  <c r="J5" i="2"/>
  <c r="I5" i="2"/>
  <c r="H5" i="2"/>
  <c r="G5" i="2"/>
  <c r="F4" i="2"/>
  <c r="E4" i="2"/>
  <c r="AE2" i="2"/>
  <c r="AD2" i="2"/>
  <c r="AC2" i="2"/>
  <c r="AB2" i="2"/>
  <c r="AA2" i="2"/>
  <c r="Z2" i="2"/>
  <c r="Y2" i="2"/>
  <c r="X2" i="2"/>
  <c r="W2" i="2"/>
  <c r="V2" i="2"/>
  <c r="U2" i="2"/>
  <c r="T2" i="2"/>
  <c r="S2" i="2"/>
  <c r="R2" i="2"/>
  <c r="Q2" i="2"/>
  <c r="P2" i="2"/>
  <c r="O2" i="2"/>
  <c r="N2" i="2"/>
  <c r="M2" i="2"/>
  <c r="L2" i="2"/>
  <c r="K2" i="2"/>
  <c r="J2" i="2"/>
  <c r="M234" i="19"/>
  <c r="K234" i="19"/>
  <c r="L234" i="19" s="1"/>
  <c r="A234" i="19"/>
  <c r="M233" i="19"/>
  <c r="K233" i="19"/>
  <c r="L233" i="19" s="1"/>
  <c r="A233" i="19"/>
  <c r="O232" i="19"/>
  <c r="M232" i="19"/>
  <c r="K232" i="19"/>
  <c r="L232" i="19" s="1"/>
  <c r="A232" i="19"/>
  <c r="O231" i="19"/>
  <c r="M231" i="19"/>
  <c r="K231" i="19"/>
  <c r="L231" i="19" s="1"/>
  <c r="A231" i="19"/>
  <c r="M230" i="19"/>
  <c r="K230" i="19"/>
  <c r="L230" i="19" s="1"/>
  <c r="A230" i="19"/>
  <c r="O229" i="19"/>
  <c r="M229" i="19"/>
  <c r="K229" i="19"/>
  <c r="L229" i="19" s="1"/>
  <c r="A229" i="19"/>
  <c r="M228" i="19"/>
  <c r="K228" i="19"/>
  <c r="L228" i="19" s="1"/>
  <c r="A228" i="19"/>
  <c r="M227" i="19"/>
  <c r="K227" i="19"/>
  <c r="L227" i="19" s="1"/>
  <c r="A227" i="19"/>
  <c r="M226" i="19"/>
  <c r="K226" i="19"/>
  <c r="L226" i="19" s="1"/>
  <c r="A226" i="19"/>
  <c r="M225" i="19"/>
  <c r="K225" i="19"/>
  <c r="L225" i="19" s="1"/>
  <c r="A225" i="19"/>
  <c r="O224" i="19"/>
  <c r="M224" i="19"/>
  <c r="K224" i="19"/>
  <c r="L224" i="19" s="1"/>
  <c r="A224" i="19"/>
  <c r="M223" i="19"/>
  <c r="K223" i="19"/>
  <c r="L223" i="19" s="1"/>
  <c r="A223" i="19"/>
  <c r="M222" i="19"/>
  <c r="K222" i="19"/>
  <c r="L222" i="19" s="1"/>
  <c r="A222" i="19"/>
  <c r="M221" i="19"/>
  <c r="K221" i="19"/>
  <c r="L221" i="19" s="1"/>
  <c r="A221" i="19"/>
  <c r="M220" i="19"/>
  <c r="K220" i="19"/>
  <c r="L220" i="19" s="1"/>
  <c r="A220" i="19"/>
  <c r="O219" i="19"/>
  <c r="M219" i="19"/>
  <c r="K219" i="19"/>
  <c r="L219" i="19" s="1"/>
  <c r="A219" i="19"/>
  <c r="M218" i="19"/>
  <c r="K218" i="19"/>
  <c r="L218" i="19" s="1"/>
  <c r="A218" i="19"/>
  <c r="M217" i="19"/>
  <c r="K217" i="19"/>
  <c r="L217" i="19" s="1"/>
  <c r="A217" i="19"/>
  <c r="O216" i="19"/>
  <c r="M216" i="19"/>
  <c r="K216" i="19"/>
  <c r="L216" i="19" s="1"/>
  <c r="A216" i="19"/>
  <c r="M215" i="19"/>
  <c r="K215" i="19"/>
  <c r="L215" i="19" s="1"/>
  <c r="A215" i="19"/>
  <c r="O214" i="19"/>
  <c r="M214" i="19"/>
  <c r="K214" i="19"/>
  <c r="L214" i="19" s="1"/>
  <c r="A214" i="19"/>
  <c r="M213" i="19"/>
  <c r="K213" i="19"/>
  <c r="L213" i="19" s="1"/>
  <c r="A213" i="19"/>
  <c r="O212" i="19"/>
  <c r="M212" i="19"/>
  <c r="K212" i="19"/>
  <c r="L212" i="19" s="1"/>
  <c r="A212" i="19"/>
  <c r="O211" i="19"/>
  <c r="M211" i="19"/>
  <c r="K211" i="19"/>
  <c r="L211" i="19" s="1"/>
  <c r="A211" i="19"/>
  <c r="M210" i="19"/>
  <c r="K210" i="19"/>
  <c r="L210" i="19" s="1"/>
  <c r="A210" i="19"/>
  <c r="O209" i="19"/>
  <c r="M209" i="19"/>
  <c r="K209" i="19"/>
  <c r="L209" i="19" s="1"/>
  <c r="A209" i="19"/>
  <c r="O208" i="19"/>
  <c r="M208" i="19"/>
  <c r="K208" i="19"/>
  <c r="L208" i="19" s="1"/>
  <c r="A208" i="19"/>
  <c r="M207" i="19"/>
  <c r="K207" i="19"/>
  <c r="L207" i="19" s="1"/>
  <c r="A207" i="19"/>
  <c r="M206" i="19"/>
  <c r="K206" i="19"/>
  <c r="L206" i="19" s="1"/>
  <c r="A206" i="19"/>
  <c r="M205" i="19"/>
  <c r="K205" i="19"/>
  <c r="L205" i="19" s="1"/>
  <c r="A205" i="19"/>
  <c r="M204" i="19"/>
  <c r="L204" i="19"/>
  <c r="K204" i="19"/>
  <c r="A204" i="19"/>
  <c r="M203" i="19"/>
  <c r="K203" i="19"/>
  <c r="L203" i="19" s="1"/>
  <c r="A203" i="19"/>
  <c r="M202" i="19"/>
  <c r="K202" i="19"/>
  <c r="L202" i="19" s="1"/>
  <c r="A202" i="19"/>
  <c r="M201" i="19"/>
  <c r="K201" i="19"/>
  <c r="L201" i="19" s="1"/>
  <c r="A201" i="19"/>
  <c r="M200" i="19"/>
  <c r="K200" i="19"/>
  <c r="L200" i="19" s="1"/>
  <c r="A200" i="19"/>
  <c r="M199" i="19"/>
  <c r="K199" i="19"/>
  <c r="L199" i="19" s="1"/>
  <c r="A199" i="19"/>
  <c r="M198" i="19"/>
  <c r="K198" i="19"/>
  <c r="L198" i="19" s="1"/>
  <c r="A198" i="19"/>
  <c r="M197" i="19"/>
  <c r="K197" i="19"/>
  <c r="L197" i="19" s="1"/>
  <c r="A197" i="19"/>
  <c r="M196" i="19"/>
  <c r="K196" i="19"/>
  <c r="L196" i="19" s="1"/>
  <c r="A196" i="19"/>
  <c r="O195" i="19"/>
  <c r="M195" i="19"/>
  <c r="K195" i="19"/>
  <c r="L195" i="19" s="1"/>
  <c r="A195" i="19"/>
  <c r="O194" i="19"/>
  <c r="M194" i="19"/>
  <c r="K194" i="19"/>
  <c r="L194" i="19" s="1"/>
  <c r="A194" i="19"/>
  <c r="M193" i="19"/>
  <c r="K193" i="19"/>
  <c r="L193" i="19" s="1"/>
  <c r="A193" i="19"/>
  <c r="O192" i="19"/>
  <c r="M192" i="19"/>
  <c r="K192" i="19"/>
  <c r="L192" i="19" s="1"/>
  <c r="A192" i="19"/>
  <c r="M191" i="19"/>
  <c r="K191" i="19"/>
  <c r="L191" i="19" s="1"/>
  <c r="A191" i="19"/>
  <c r="O190" i="19"/>
  <c r="M190" i="19"/>
  <c r="K190" i="19"/>
  <c r="L190" i="19" s="1"/>
  <c r="A190" i="19"/>
  <c r="M189" i="19"/>
  <c r="K189" i="19"/>
  <c r="L189" i="19" s="1"/>
  <c r="A189" i="19"/>
  <c r="M188" i="19"/>
  <c r="K188" i="19"/>
  <c r="L188" i="19" s="1"/>
  <c r="A188" i="19"/>
  <c r="O187" i="19"/>
  <c r="M187" i="19"/>
  <c r="K187" i="19"/>
  <c r="L187" i="19" s="1"/>
  <c r="A187" i="19"/>
  <c r="M186" i="19"/>
  <c r="K186" i="19"/>
  <c r="L186" i="19" s="1"/>
  <c r="A186" i="19"/>
  <c r="M185" i="19"/>
  <c r="K185" i="19"/>
  <c r="L185" i="19" s="1"/>
  <c r="A185" i="19"/>
  <c r="M184" i="19"/>
  <c r="K184" i="19"/>
  <c r="L184" i="19" s="1"/>
  <c r="A184" i="19"/>
  <c r="M183" i="19"/>
  <c r="K183" i="19"/>
  <c r="L183" i="19" s="1"/>
  <c r="A183" i="19"/>
  <c r="M182" i="19"/>
  <c r="K182" i="19"/>
  <c r="L182" i="19" s="1"/>
  <c r="A182" i="19"/>
  <c r="M181" i="19"/>
  <c r="K181" i="19"/>
  <c r="L181" i="19" s="1"/>
  <c r="A181" i="19"/>
  <c r="M180" i="19"/>
  <c r="K180" i="19"/>
  <c r="L180" i="19" s="1"/>
  <c r="A180" i="19"/>
  <c r="M179" i="19"/>
  <c r="L179" i="19"/>
  <c r="K179" i="19"/>
  <c r="A179" i="19"/>
  <c r="M178" i="19"/>
  <c r="K178" i="19"/>
  <c r="L178" i="19" s="1"/>
  <c r="A178" i="19"/>
  <c r="O177" i="19"/>
  <c r="M177" i="19"/>
  <c r="K177" i="19"/>
  <c r="L177" i="19" s="1"/>
  <c r="A177" i="19"/>
  <c r="M176" i="19"/>
  <c r="K176" i="19"/>
  <c r="L176" i="19" s="1"/>
  <c r="A176" i="19"/>
  <c r="M175" i="19"/>
  <c r="K175" i="19"/>
  <c r="L175" i="19" s="1"/>
  <c r="A175" i="19"/>
  <c r="M174" i="19"/>
  <c r="K174" i="19"/>
  <c r="L174" i="19" s="1"/>
  <c r="A174" i="19"/>
  <c r="O173" i="19"/>
  <c r="M173" i="19"/>
  <c r="K173" i="19"/>
  <c r="L173" i="19" s="1"/>
  <c r="A173" i="19"/>
  <c r="O172" i="19"/>
  <c r="M172" i="19"/>
  <c r="K172" i="19"/>
  <c r="L172" i="19" s="1"/>
  <c r="A172" i="19"/>
  <c r="O171" i="19"/>
  <c r="M171" i="19"/>
  <c r="K171" i="19"/>
  <c r="L171" i="19" s="1"/>
  <c r="A171" i="19"/>
  <c r="M170" i="19"/>
  <c r="K170" i="19"/>
  <c r="L170" i="19" s="1"/>
  <c r="A170" i="19"/>
  <c r="M169" i="19"/>
  <c r="L169" i="19"/>
  <c r="K169" i="19"/>
  <c r="A169" i="19"/>
  <c r="O168" i="19"/>
  <c r="M168" i="19"/>
  <c r="K168" i="19"/>
  <c r="L168" i="19" s="1"/>
  <c r="A168" i="19"/>
  <c r="M167" i="19"/>
  <c r="K167" i="19"/>
  <c r="L167" i="19" s="1"/>
  <c r="A167" i="19"/>
  <c r="O166" i="19"/>
  <c r="M166" i="19"/>
  <c r="K166" i="19"/>
  <c r="L166" i="19" s="1"/>
  <c r="A166" i="19"/>
  <c r="O165" i="19"/>
  <c r="M165" i="19"/>
  <c r="K165" i="19"/>
  <c r="L165" i="19" s="1"/>
  <c r="A165" i="19"/>
  <c r="O164" i="19"/>
  <c r="M164" i="19"/>
  <c r="L164" i="19"/>
  <c r="K164" i="19"/>
  <c r="A164" i="19"/>
  <c r="O163" i="19"/>
  <c r="M163" i="19"/>
  <c r="K163" i="19"/>
  <c r="L163" i="19" s="1"/>
  <c r="A163" i="19"/>
  <c r="O162" i="19"/>
  <c r="M162" i="19"/>
  <c r="L162" i="19"/>
  <c r="K162" i="19"/>
  <c r="A162" i="19"/>
  <c r="O161" i="19"/>
  <c r="M161" i="19"/>
  <c r="L161" i="19"/>
  <c r="K161" i="19"/>
  <c r="A161" i="19"/>
  <c r="M160" i="19"/>
  <c r="K160" i="19"/>
  <c r="L160" i="19" s="1"/>
  <c r="A160" i="19"/>
  <c r="M159" i="19"/>
  <c r="K159" i="19"/>
  <c r="L159" i="19" s="1"/>
  <c r="A159" i="19"/>
  <c r="M158" i="19"/>
  <c r="K158" i="19"/>
  <c r="L158" i="19" s="1"/>
  <c r="A158" i="19"/>
  <c r="M157" i="19"/>
  <c r="K157" i="19"/>
  <c r="L157" i="19" s="1"/>
  <c r="A157" i="19"/>
  <c r="M156" i="19"/>
  <c r="K156" i="19"/>
  <c r="L156" i="19" s="1"/>
  <c r="A156" i="19"/>
  <c r="M155" i="19"/>
  <c r="K155" i="19"/>
  <c r="L155" i="19" s="1"/>
  <c r="A155" i="19"/>
  <c r="M154" i="19"/>
  <c r="K154" i="19"/>
  <c r="L154" i="19" s="1"/>
  <c r="A154" i="19"/>
  <c r="M153" i="19"/>
  <c r="K153" i="19"/>
  <c r="L153" i="19" s="1"/>
  <c r="A153" i="19"/>
  <c r="O152" i="19"/>
  <c r="M152" i="19"/>
  <c r="K152" i="19"/>
  <c r="L152" i="19" s="1"/>
  <c r="A152" i="19"/>
  <c r="M151" i="19"/>
  <c r="K151" i="19"/>
  <c r="L151" i="19" s="1"/>
  <c r="A151" i="19"/>
  <c r="M150" i="19"/>
  <c r="K150" i="19"/>
  <c r="L150" i="19" s="1"/>
  <c r="A150" i="19"/>
  <c r="O149" i="19"/>
  <c r="M149" i="19"/>
  <c r="K149" i="19"/>
  <c r="L149" i="19" s="1"/>
  <c r="A149" i="19"/>
  <c r="O148" i="19"/>
  <c r="M148" i="19"/>
  <c r="K148" i="19"/>
  <c r="L148" i="19" s="1"/>
  <c r="A148" i="19"/>
  <c r="M147" i="19"/>
  <c r="K147" i="19"/>
  <c r="L147" i="19" s="1"/>
  <c r="A147" i="19"/>
  <c r="M146" i="19"/>
  <c r="K146" i="19"/>
  <c r="L146" i="19" s="1"/>
  <c r="A146" i="19"/>
  <c r="M145" i="19"/>
  <c r="L145" i="19"/>
  <c r="K145" i="19"/>
  <c r="A145" i="19"/>
  <c r="O144" i="19"/>
  <c r="M144" i="19"/>
  <c r="K144" i="19"/>
  <c r="L144" i="19" s="1"/>
  <c r="A144" i="19"/>
  <c r="M143" i="19"/>
  <c r="K143" i="19"/>
  <c r="L143" i="19" s="1"/>
  <c r="A143" i="19"/>
  <c r="O142" i="19"/>
  <c r="M142" i="19"/>
  <c r="K142" i="19"/>
  <c r="L142" i="19" s="1"/>
  <c r="A142" i="19"/>
  <c r="O141" i="19"/>
  <c r="M141" i="19"/>
  <c r="K141" i="19"/>
  <c r="L141" i="19" s="1"/>
  <c r="A141" i="19"/>
  <c r="O140" i="19"/>
  <c r="M140" i="19"/>
  <c r="K140" i="19"/>
  <c r="L140" i="19" s="1"/>
  <c r="A140" i="19"/>
  <c r="M139" i="19"/>
  <c r="K139" i="19"/>
  <c r="L139" i="19" s="1"/>
  <c r="A139" i="19"/>
  <c r="O138" i="19"/>
  <c r="M138" i="19"/>
  <c r="K138" i="19"/>
  <c r="L138" i="19" s="1"/>
  <c r="A138" i="19"/>
  <c r="M137" i="19"/>
  <c r="K137" i="19"/>
  <c r="L137" i="19" s="1"/>
  <c r="A137" i="19"/>
  <c r="O136" i="19"/>
  <c r="M136" i="19"/>
  <c r="K136" i="19"/>
  <c r="L136" i="19" s="1"/>
  <c r="A136" i="19"/>
  <c r="M135" i="19"/>
  <c r="K135" i="19"/>
  <c r="L135" i="19" s="1"/>
  <c r="A135" i="19"/>
  <c r="O134" i="19"/>
  <c r="M134" i="19"/>
  <c r="K134" i="19"/>
  <c r="L134" i="19" s="1"/>
  <c r="A134" i="19"/>
  <c r="M133" i="19"/>
  <c r="K133" i="19"/>
  <c r="L133" i="19" s="1"/>
  <c r="A133" i="19"/>
  <c r="O132" i="19"/>
  <c r="M132" i="19"/>
  <c r="K132" i="19"/>
  <c r="L132" i="19" s="1"/>
  <c r="A132" i="19"/>
  <c r="O131" i="19"/>
  <c r="M131" i="19"/>
  <c r="K131" i="19"/>
  <c r="L131" i="19" s="1"/>
  <c r="A131" i="19"/>
  <c r="M130" i="19"/>
  <c r="K130" i="19"/>
  <c r="L130" i="19" s="1"/>
  <c r="A130" i="19"/>
  <c r="M129" i="19"/>
  <c r="K129" i="19"/>
  <c r="L129" i="19" s="1"/>
  <c r="A129" i="19"/>
  <c r="M128" i="19"/>
  <c r="K128" i="19"/>
  <c r="L128" i="19" s="1"/>
  <c r="A128" i="19"/>
  <c r="M127" i="19"/>
  <c r="K127" i="19"/>
  <c r="L127" i="19" s="1"/>
  <c r="A127" i="19"/>
  <c r="M126" i="19"/>
  <c r="K126" i="19"/>
  <c r="L126" i="19" s="1"/>
  <c r="A126" i="19"/>
  <c r="M125" i="19"/>
  <c r="K125" i="19"/>
  <c r="L125" i="19" s="1"/>
  <c r="A125" i="19"/>
  <c r="O124" i="19"/>
  <c r="M124" i="19"/>
  <c r="L124" i="19"/>
  <c r="K124" i="19"/>
  <c r="A124" i="19"/>
  <c r="O123" i="19"/>
  <c r="M123" i="19"/>
  <c r="K123" i="19"/>
  <c r="L123" i="19" s="1"/>
  <c r="A123" i="19"/>
  <c r="O122" i="19"/>
  <c r="M122" i="19"/>
  <c r="K122" i="19"/>
  <c r="L122" i="19" s="1"/>
  <c r="A122" i="19"/>
  <c r="M121" i="19"/>
  <c r="K121" i="19"/>
  <c r="L121" i="19" s="1"/>
  <c r="A121" i="19"/>
  <c r="O120" i="19"/>
  <c r="M120" i="19"/>
  <c r="L120" i="19"/>
  <c r="K120" i="19"/>
  <c r="A120" i="19"/>
  <c r="O119" i="19"/>
  <c r="M119" i="19"/>
  <c r="K119" i="19"/>
  <c r="L119" i="19" s="1"/>
  <c r="A119" i="19"/>
  <c r="O118" i="19"/>
  <c r="M118" i="19"/>
  <c r="K118" i="19"/>
  <c r="L118" i="19" s="1"/>
  <c r="A118" i="19"/>
  <c r="O117" i="19"/>
  <c r="M117" i="19"/>
  <c r="K117" i="19"/>
  <c r="L117" i="19" s="1"/>
  <c r="A117" i="19"/>
  <c r="M116" i="19"/>
  <c r="K116" i="19"/>
  <c r="L116" i="19" s="1"/>
  <c r="A116" i="19"/>
  <c r="O115" i="19"/>
  <c r="M115" i="19"/>
  <c r="K115" i="19"/>
  <c r="L115" i="19" s="1"/>
  <c r="A115" i="19"/>
  <c r="M114" i="19"/>
  <c r="K114" i="19"/>
  <c r="L114" i="19" s="1"/>
  <c r="A114" i="19"/>
  <c r="O113" i="19"/>
  <c r="M113" i="19"/>
  <c r="K113" i="19"/>
  <c r="L113" i="19" s="1"/>
  <c r="A113" i="19"/>
  <c r="O112" i="19"/>
  <c r="M112" i="19"/>
  <c r="K112" i="19"/>
  <c r="L112" i="19" s="1"/>
  <c r="A112" i="19"/>
  <c r="O111" i="19"/>
  <c r="M111" i="19"/>
  <c r="K111" i="19"/>
  <c r="L111" i="19" s="1"/>
  <c r="A111" i="19"/>
  <c r="O110" i="19"/>
  <c r="M110" i="19"/>
  <c r="K110" i="19"/>
  <c r="L110" i="19" s="1"/>
  <c r="A110" i="19"/>
  <c r="O109" i="19"/>
  <c r="M109" i="19"/>
  <c r="L109" i="19"/>
  <c r="K109" i="19"/>
  <c r="A109" i="19"/>
  <c r="O108" i="19"/>
  <c r="M108" i="19"/>
  <c r="K108" i="19"/>
  <c r="L108" i="19" s="1"/>
  <c r="A108" i="19"/>
  <c r="O107" i="19"/>
  <c r="M107" i="19"/>
  <c r="K107" i="19"/>
  <c r="L107" i="19" s="1"/>
  <c r="A107" i="19"/>
  <c r="O106" i="19"/>
  <c r="M106" i="19"/>
  <c r="K106" i="19"/>
  <c r="L106" i="19" s="1"/>
  <c r="A106" i="19"/>
  <c r="O105" i="19"/>
  <c r="M105" i="19"/>
  <c r="K105" i="19"/>
  <c r="L105" i="19" s="1"/>
  <c r="A105" i="19"/>
  <c r="M104" i="19"/>
  <c r="K104" i="19"/>
  <c r="L104" i="19" s="1"/>
  <c r="A104" i="19"/>
  <c r="O103" i="19"/>
  <c r="M103" i="19"/>
  <c r="K103" i="19"/>
  <c r="L103" i="19" s="1"/>
  <c r="A103" i="19"/>
  <c r="O102" i="19"/>
  <c r="M102" i="19"/>
  <c r="K102" i="19"/>
  <c r="L102" i="19" s="1"/>
  <c r="A102" i="19"/>
  <c r="O101" i="19"/>
  <c r="M101" i="19"/>
  <c r="K101" i="19"/>
  <c r="L101" i="19" s="1"/>
  <c r="A101" i="19"/>
  <c r="M100" i="19"/>
  <c r="K100" i="19"/>
  <c r="L100" i="19" s="1"/>
  <c r="A100" i="19"/>
  <c r="O99" i="19"/>
  <c r="M99" i="19"/>
  <c r="K99" i="19"/>
  <c r="L99" i="19" s="1"/>
  <c r="A99" i="19"/>
  <c r="M98" i="19"/>
  <c r="L98" i="19"/>
  <c r="K98" i="19"/>
  <c r="A98" i="19"/>
  <c r="O97" i="19"/>
  <c r="M97" i="19"/>
  <c r="K97" i="19"/>
  <c r="L97" i="19" s="1"/>
  <c r="A97" i="19"/>
  <c r="O96" i="19"/>
  <c r="M96" i="19"/>
  <c r="K96" i="19"/>
  <c r="L96" i="19" s="1"/>
  <c r="A96" i="19"/>
  <c r="M95" i="19"/>
  <c r="K95" i="19"/>
  <c r="L95" i="19" s="1"/>
  <c r="A95" i="19"/>
  <c r="M94" i="19"/>
  <c r="K94" i="19"/>
  <c r="L94" i="19" s="1"/>
  <c r="A94" i="19"/>
  <c r="O93" i="19"/>
  <c r="M93" i="19"/>
  <c r="K93" i="19"/>
  <c r="L93" i="19" s="1"/>
  <c r="A93" i="19"/>
  <c r="O92" i="19"/>
  <c r="M92" i="19"/>
  <c r="K92" i="19"/>
  <c r="L92" i="19" s="1"/>
  <c r="A92" i="19"/>
  <c r="M91" i="19"/>
  <c r="K91" i="19"/>
  <c r="L91" i="19" s="1"/>
  <c r="A91" i="19"/>
  <c r="O90" i="19"/>
  <c r="M90" i="19"/>
  <c r="K90" i="19"/>
  <c r="L90" i="19" s="1"/>
  <c r="A90" i="19"/>
  <c r="O89" i="19"/>
  <c r="M89" i="19"/>
  <c r="K89" i="19"/>
  <c r="L89" i="19" s="1"/>
  <c r="A89" i="19"/>
  <c r="M88" i="19"/>
  <c r="K88" i="19"/>
  <c r="L88" i="19" s="1"/>
  <c r="A88" i="19"/>
  <c r="M87" i="19"/>
  <c r="K87" i="19"/>
  <c r="L87" i="19" s="1"/>
  <c r="A87" i="19"/>
  <c r="O86" i="19"/>
  <c r="M86" i="19"/>
  <c r="K86" i="19"/>
  <c r="L86" i="19" s="1"/>
  <c r="A86" i="19"/>
  <c r="O85" i="19"/>
  <c r="M85" i="19"/>
  <c r="K85" i="19"/>
  <c r="L85" i="19" s="1"/>
  <c r="A85" i="19"/>
  <c r="M84" i="19"/>
  <c r="K84" i="19"/>
  <c r="L84" i="19" s="1"/>
  <c r="A84" i="19"/>
  <c r="O83" i="19"/>
  <c r="M83" i="19"/>
  <c r="K83" i="19"/>
  <c r="L83" i="19" s="1"/>
  <c r="A83" i="19"/>
  <c r="M82" i="19"/>
  <c r="K82" i="19"/>
  <c r="L82" i="19" s="1"/>
  <c r="A82" i="19"/>
  <c r="O81" i="19"/>
  <c r="M81" i="19"/>
  <c r="K81" i="19"/>
  <c r="L81" i="19" s="1"/>
  <c r="A81" i="19"/>
  <c r="O80" i="19"/>
  <c r="M80" i="19"/>
  <c r="L80" i="19"/>
  <c r="K80" i="19"/>
  <c r="A80" i="19"/>
  <c r="O79" i="19"/>
  <c r="M79" i="19"/>
  <c r="K79" i="19"/>
  <c r="L79" i="19" s="1"/>
  <c r="A79" i="19"/>
  <c r="O78" i="19"/>
  <c r="M78" i="19"/>
  <c r="K78" i="19"/>
  <c r="L78" i="19" s="1"/>
  <c r="A78" i="19"/>
  <c r="O77" i="19"/>
  <c r="M77" i="19"/>
  <c r="K77" i="19"/>
  <c r="L77" i="19" s="1"/>
  <c r="A77" i="19"/>
  <c r="M76" i="19"/>
  <c r="K76" i="19"/>
  <c r="L76" i="19" s="1"/>
  <c r="A76" i="19"/>
  <c r="O75" i="19"/>
  <c r="M75" i="19"/>
  <c r="K75" i="19"/>
  <c r="L75" i="19" s="1"/>
  <c r="A75" i="19"/>
  <c r="O74" i="19"/>
  <c r="M74" i="19"/>
  <c r="K74" i="19"/>
  <c r="L74" i="19" s="1"/>
  <c r="A74" i="19"/>
  <c r="M73" i="19"/>
  <c r="K73" i="19"/>
  <c r="L73" i="19" s="1"/>
  <c r="A73" i="19"/>
  <c r="M72" i="19"/>
  <c r="L72" i="19"/>
  <c r="K72" i="19"/>
  <c r="A72" i="19"/>
  <c r="M71" i="19"/>
  <c r="K71" i="19"/>
  <c r="L71" i="19" s="1"/>
  <c r="A71" i="19"/>
  <c r="M70" i="19"/>
  <c r="K70" i="19"/>
  <c r="L70" i="19" s="1"/>
  <c r="A70" i="19"/>
  <c r="M69" i="19"/>
  <c r="K69" i="19"/>
  <c r="L69" i="19" s="1"/>
  <c r="A69" i="19"/>
  <c r="M68" i="19"/>
  <c r="L68" i="19"/>
  <c r="K68" i="19"/>
  <c r="A68" i="19"/>
  <c r="O67" i="19"/>
  <c r="M67" i="19"/>
  <c r="K67" i="19"/>
  <c r="L67" i="19" s="1"/>
  <c r="A67" i="19"/>
  <c r="O66" i="19"/>
  <c r="M66" i="19"/>
  <c r="K66" i="19"/>
  <c r="L66" i="19" s="1"/>
  <c r="A66" i="19"/>
  <c r="M65" i="19"/>
  <c r="K65" i="19"/>
  <c r="L65" i="19" s="1"/>
  <c r="A65" i="19"/>
  <c r="O64" i="19"/>
  <c r="M64" i="19"/>
  <c r="K64" i="19"/>
  <c r="L64" i="19" s="1"/>
  <c r="A64" i="19"/>
  <c r="M63" i="19"/>
  <c r="K63" i="19"/>
  <c r="L63" i="19" s="1"/>
  <c r="A63" i="19"/>
  <c r="M62" i="19"/>
  <c r="K62" i="19"/>
  <c r="L62" i="19" s="1"/>
  <c r="A62" i="19"/>
  <c r="O61" i="19"/>
  <c r="M61" i="19"/>
  <c r="K61" i="19"/>
  <c r="L61" i="19" s="1"/>
  <c r="A61" i="19"/>
  <c r="M60" i="19"/>
  <c r="K60" i="19"/>
  <c r="L60" i="19" s="1"/>
  <c r="A60" i="19"/>
  <c r="M59" i="19"/>
  <c r="L59" i="19"/>
  <c r="K59" i="19"/>
  <c r="A59" i="19"/>
  <c r="M58" i="19"/>
  <c r="K58" i="19"/>
  <c r="L58" i="19" s="1"/>
  <c r="A58" i="19"/>
  <c r="M57" i="19"/>
  <c r="K57" i="19"/>
  <c r="L57" i="19" s="1"/>
  <c r="A57" i="19"/>
  <c r="M56" i="19"/>
  <c r="K56" i="19"/>
  <c r="L56" i="19" s="1"/>
  <c r="A56" i="19"/>
  <c r="O55" i="19"/>
  <c r="M55" i="19"/>
  <c r="K55" i="19"/>
  <c r="L55" i="19" s="1"/>
  <c r="A55" i="19"/>
  <c r="M54" i="19"/>
  <c r="K54" i="19"/>
  <c r="L54" i="19" s="1"/>
  <c r="A54" i="19"/>
  <c r="O53" i="19"/>
  <c r="M53" i="19"/>
  <c r="K53" i="19"/>
  <c r="L53" i="19" s="1"/>
  <c r="A53" i="19"/>
  <c r="M52" i="19"/>
  <c r="K52" i="19"/>
  <c r="L52" i="19" s="1"/>
  <c r="A52" i="19"/>
  <c r="M51" i="19"/>
  <c r="K51" i="19"/>
  <c r="L51" i="19" s="1"/>
  <c r="A51" i="19"/>
  <c r="O50" i="19"/>
  <c r="M50" i="19"/>
  <c r="L50" i="19"/>
  <c r="K50" i="19"/>
  <c r="A50" i="19"/>
  <c r="M49" i="19"/>
  <c r="K49" i="19"/>
  <c r="L49" i="19" s="1"/>
  <c r="A49" i="19"/>
  <c r="M48" i="19"/>
  <c r="K48" i="19"/>
  <c r="L48" i="19" s="1"/>
  <c r="A48" i="19"/>
  <c r="M47" i="19"/>
  <c r="K47" i="19"/>
  <c r="L47" i="19" s="1"/>
  <c r="A47" i="19"/>
  <c r="M46" i="19"/>
  <c r="L46" i="19"/>
  <c r="K46" i="19"/>
  <c r="A46" i="19"/>
  <c r="M45" i="19"/>
  <c r="K45" i="19"/>
  <c r="L45" i="19" s="1"/>
  <c r="A45" i="19"/>
  <c r="M44" i="19"/>
  <c r="K44" i="19"/>
  <c r="L44" i="19" s="1"/>
  <c r="A44" i="19"/>
  <c r="M43" i="19"/>
  <c r="K43" i="19"/>
  <c r="L43" i="19" s="1"/>
  <c r="A43" i="19"/>
  <c r="O42" i="19"/>
  <c r="M42" i="19"/>
  <c r="K42" i="19"/>
  <c r="L42" i="19" s="1"/>
  <c r="A42" i="19"/>
  <c r="O41" i="19"/>
  <c r="M41" i="19"/>
  <c r="K41" i="19"/>
  <c r="L41" i="19" s="1"/>
  <c r="A41" i="19"/>
  <c r="O40" i="19"/>
  <c r="M40" i="19"/>
  <c r="K40" i="19"/>
  <c r="L40" i="19" s="1"/>
  <c r="A40" i="19"/>
  <c r="M39" i="19"/>
  <c r="K39" i="19"/>
  <c r="L39" i="19" s="1"/>
  <c r="A39" i="19"/>
  <c r="M38" i="19"/>
  <c r="K38" i="19"/>
  <c r="L38" i="19" s="1"/>
  <c r="A38" i="19"/>
  <c r="M37" i="19"/>
  <c r="K37" i="19"/>
  <c r="L37" i="19" s="1"/>
  <c r="A37" i="19"/>
  <c r="O36" i="19"/>
  <c r="M36" i="19"/>
  <c r="K36" i="19"/>
  <c r="L36" i="19" s="1"/>
  <c r="A36" i="19"/>
  <c r="O35" i="19"/>
  <c r="M35" i="19"/>
  <c r="K35" i="19"/>
  <c r="L35" i="19" s="1"/>
  <c r="A35" i="19"/>
  <c r="M34" i="19"/>
  <c r="K34" i="19"/>
  <c r="L34" i="19" s="1"/>
  <c r="A34" i="19"/>
  <c r="M33" i="19"/>
  <c r="K33" i="19"/>
  <c r="L33" i="19" s="1"/>
  <c r="A33" i="19"/>
  <c r="M32" i="19"/>
  <c r="K32" i="19"/>
  <c r="L32" i="19" s="1"/>
  <c r="A32" i="19"/>
  <c r="M31" i="19"/>
  <c r="K31" i="19"/>
  <c r="L31" i="19" s="1"/>
  <c r="A31" i="19"/>
  <c r="O30" i="19"/>
  <c r="M30" i="19"/>
  <c r="K30" i="19"/>
  <c r="L30" i="19" s="1"/>
  <c r="A30" i="19"/>
  <c r="M29" i="19"/>
  <c r="K29" i="19"/>
  <c r="L29" i="19" s="1"/>
  <c r="A29" i="19"/>
  <c r="M28" i="19"/>
  <c r="K28" i="19"/>
  <c r="L28" i="19" s="1"/>
  <c r="A28" i="19"/>
  <c r="O27" i="19"/>
  <c r="M27" i="19"/>
  <c r="K27" i="19"/>
  <c r="L27" i="19" s="1"/>
  <c r="A27" i="19"/>
  <c r="M26" i="19"/>
  <c r="K26" i="19"/>
  <c r="L26" i="19" s="1"/>
  <c r="A26" i="19"/>
  <c r="M25" i="19"/>
  <c r="K25" i="19"/>
  <c r="L25" i="19" s="1"/>
  <c r="A25" i="19"/>
  <c r="O24" i="19"/>
  <c r="M24" i="19"/>
  <c r="L24" i="19"/>
  <c r="K24" i="19"/>
  <c r="A24" i="19"/>
  <c r="M23" i="19"/>
  <c r="K23" i="19"/>
  <c r="L23" i="19" s="1"/>
  <c r="A23" i="19"/>
  <c r="M22" i="19"/>
  <c r="K22" i="19"/>
  <c r="L22" i="19" s="1"/>
  <c r="A22" i="19"/>
  <c r="M21" i="19"/>
  <c r="K21" i="19"/>
  <c r="L21" i="19" s="1"/>
  <c r="A21" i="19"/>
  <c r="O20" i="19"/>
  <c r="M20" i="19"/>
  <c r="K20" i="19"/>
  <c r="L20" i="19" s="1"/>
  <c r="A20" i="19"/>
  <c r="O19" i="19"/>
  <c r="M19" i="19"/>
  <c r="K19" i="19"/>
  <c r="L19" i="19" s="1"/>
  <c r="A19" i="19"/>
  <c r="M18" i="19"/>
  <c r="K18" i="19"/>
  <c r="L18" i="19" s="1"/>
  <c r="A18" i="19"/>
  <c r="M17" i="19"/>
  <c r="K17" i="19"/>
  <c r="L17" i="19" s="1"/>
  <c r="A17" i="19"/>
  <c r="M16" i="19"/>
  <c r="K16" i="19"/>
  <c r="L16" i="19" s="1"/>
  <c r="A16" i="19"/>
  <c r="M15" i="19"/>
  <c r="K15" i="19"/>
  <c r="L15" i="19" s="1"/>
  <c r="A15" i="19"/>
  <c r="M14" i="19"/>
  <c r="K14" i="19"/>
  <c r="L14" i="19" s="1"/>
  <c r="A14" i="19"/>
  <c r="M13" i="19"/>
  <c r="K13" i="19"/>
  <c r="L13" i="19" s="1"/>
  <c r="A13" i="19"/>
  <c r="M12" i="19"/>
  <c r="K12" i="19"/>
  <c r="L12" i="19" s="1"/>
  <c r="A12" i="19"/>
  <c r="M11" i="19"/>
  <c r="K11" i="19"/>
  <c r="L11" i="19" s="1"/>
  <c r="A11" i="19"/>
  <c r="M10" i="19"/>
  <c r="K10" i="19"/>
  <c r="L10" i="19" s="1"/>
  <c r="A10" i="19"/>
  <c r="M9" i="19"/>
  <c r="K9" i="19"/>
  <c r="L9" i="19" s="1"/>
  <c r="A9" i="19"/>
  <c r="M8" i="19"/>
  <c r="K8" i="19"/>
  <c r="L8" i="19" s="1"/>
  <c r="A8" i="19"/>
  <c r="M7" i="19"/>
  <c r="K7" i="19"/>
  <c r="L7" i="19" s="1"/>
  <c r="A7" i="19"/>
  <c r="K6" i="19"/>
  <c r="L6" i="19" s="1"/>
  <c r="O2" i="19"/>
  <c r="O3" i="19" s="1"/>
  <c r="M9" i="18"/>
  <c r="Q33" i="20"/>
  <c r="Q32" i="20" s="1"/>
  <c r="Q31" i="20"/>
  <c r="Q28" i="20"/>
  <c r="L28" i="20"/>
  <c r="L27" i="20"/>
  <c r="L26" i="20"/>
  <c r="L25" i="20"/>
  <c r="M24" i="20"/>
  <c r="L24" i="20"/>
  <c r="K23" i="20"/>
  <c r="K22" i="20"/>
  <c r="K21" i="20"/>
  <c r="K20" i="20"/>
  <c r="K19" i="20"/>
  <c r="K18" i="20"/>
  <c r="C18" i="20"/>
  <c r="K17" i="20"/>
  <c r="C17" i="20"/>
  <c r="K16" i="20"/>
  <c r="C16" i="20"/>
  <c r="K15" i="20"/>
  <c r="C15" i="20"/>
  <c r="K14" i="20"/>
  <c r="C14" i="20"/>
  <c r="K13" i="20"/>
  <c r="C13" i="20"/>
  <c r="K12" i="20"/>
  <c r="C12" i="20"/>
  <c r="K11" i="20"/>
  <c r="C11" i="20"/>
  <c r="K10" i="20"/>
  <c r="C10" i="20"/>
  <c r="K9" i="20"/>
  <c r="C9" i="20"/>
  <c r="K8" i="20"/>
  <c r="C8" i="20"/>
  <c r="K7" i="20"/>
  <c r="C7" i="20"/>
  <c r="K6" i="20"/>
  <c r="G6" i="20"/>
  <c r="C6" i="20"/>
  <c r="K5" i="20"/>
  <c r="G5" i="20"/>
  <c r="C5" i="20"/>
  <c r="K4" i="20"/>
  <c r="G4" i="20"/>
  <c r="C4" i="20"/>
  <c r="O3" i="20"/>
  <c r="O4" i="20" s="1"/>
  <c r="O5" i="20" s="1"/>
  <c r="O6" i="20" s="1"/>
  <c r="O7" i="20" s="1"/>
  <c r="O8" i="20" s="1"/>
  <c r="O9" i="20" s="1"/>
  <c r="O10" i="20" s="1"/>
  <c r="O11" i="20" s="1"/>
  <c r="O12" i="20" s="1"/>
  <c r="O13" i="20" s="1"/>
  <c r="O14" i="20" s="1"/>
  <c r="O15" i="20" s="1"/>
  <c r="O16" i="20" s="1"/>
  <c r="O17" i="20" s="1"/>
  <c r="O18" i="20" s="1"/>
  <c r="O19" i="20" s="1"/>
  <c r="O20" i="20" s="1"/>
  <c r="O21" i="20" s="1"/>
  <c r="O22" i="20" s="1"/>
  <c r="O23" i="20" s="1"/>
  <c r="O24" i="20" s="1"/>
  <c r="O25" i="20" s="1"/>
  <c r="O26" i="20" s="1"/>
  <c r="K3" i="20"/>
  <c r="I3" i="20"/>
  <c r="I4" i="20" s="1"/>
  <c r="I5" i="20" s="1"/>
  <c r="I6" i="20" s="1"/>
  <c r="I7" i="20" s="1"/>
  <c r="I8" i="20" s="1"/>
  <c r="I9" i="20" s="1"/>
  <c r="I10" i="20" s="1"/>
  <c r="I11" i="20" s="1"/>
  <c r="I12" i="20" s="1"/>
  <c r="I13" i="20" s="1"/>
  <c r="I14" i="20" s="1"/>
  <c r="I15" i="20" s="1"/>
  <c r="I16" i="20" s="1"/>
  <c r="I17" i="20" s="1"/>
  <c r="I18" i="20" s="1"/>
  <c r="I19" i="20" s="1"/>
  <c r="I20" i="20" s="1"/>
  <c r="I21" i="20" s="1"/>
  <c r="I22" i="20" s="1"/>
  <c r="I23" i="20" s="1"/>
  <c r="G3" i="20"/>
  <c r="E3" i="20"/>
  <c r="E4" i="20" s="1"/>
  <c r="E5" i="20" s="1"/>
  <c r="E6" i="20" s="1"/>
  <c r="C3" i="20"/>
  <c r="A3" i="20"/>
  <c r="A4" i="20" s="1"/>
  <c r="A5" i="20" s="1"/>
  <c r="A6" i="20" s="1"/>
  <c r="A7" i="20" s="1"/>
  <c r="A8" i="20" s="1"/>
  <c r="A9" i="20" s="1"/>
  <c r="A10" i="20" s="1"/>
  <c r="A11" i="20" s="1"/>
  <c r="A12" i="20" s="1"/>
  <c r="A13" i="20" s="1"/>
  <c r="A14" i="20" s="1"/>
  <c r="A15" i="20" s="1"/>
  <c r="A16" i="20" s="1"/>
  <c r="A17" i="20" s="1"/>
  <c r="A18" i="20" s="1"/>
  <c r="K2" i="20"/>
  <c r="G2" i="20"/>
  <c r="C2" i="20"/>
  <c r="Q103" i="33"/>
  <c r="O101" i="33"/>
  <c r="O100" i="33"/>
  <c r="O99" i="33"/>
  <c r="O98" i="33"/>
  <c r="O97" i="33"/>
  <c r="O96" i="33"/>
  <c r="O95" i="33"/>
  <c r="O94" i="33"/>
  <c r="O93" i="33"/>
  <c r="O92" i="33"/>
  <c r="O91" i="33"/>
  <c r="O90" i="33"/>
  <c r="O89" i="33"/>
  <c r="O88" i="33"/>
  <c r="O87" i="33"/>
  <c r="O86" i="33"/>
  <c r="O85" i="33"/>
  <c r="O84" i="33"/>
  <c r="O83" i="33"/>
  <c r="O82" i="33"/>
  <c r="O81" i="33"/>
  <c r="O80" i="33"/>
  <c r="O79" i="33"/>
  <c r="O78" i="33"/>
  <c r="O77" i="33"/>
  <c r="O76" i="33"/>
  <c r="O75" i="33"/>
  <c r="O74" i="33"/>
  <c r="O73" i="33"/>
  <c r="O72" i="33"/>
  <c r="O71" i="33"/>
  <c r="O70" i="33"/>
  <c r="O69" i="33"/>
  <c r="O68" i="33"/>
  <c r="O67" i="33"/>
  <c r="O66" i="33"/>
  <c r="O65" i="33"/>
  <c r="O64" i="33"/>
  <c r="O63" i="33"/>
  <c r="O62" i="33"/>
  <c r="O61" i="33"/>
  <c r="O60" i="33"/>
  <c r="O59" i="33"/>
  <c r="O58" i="33"/>
  <c r="O57" i="33"/>
  <c r="O56" i="33"/>
  <c r="O55" i="33"/>
  <c r="M55" i="33"/>
  <c r="L55" i="33"/>
  <c r="O54" i="33"/>
  <c r="M54" i="33"/>
  <c r="L54" i="33"/>
  <c r="O53" i="33"/>
  <c r="M53" i="33"/>
  <c r="L53" i="33"/>
  <c r="O52" i="33"/>
  <c r="M52" i="33"/>
  <c r="L52" i="33"/>
  <c r="O51" i="33"/>
  <c r="M51" i="33"/>
  <c r="L51" i="33"/>
  <c r="O50" i="33"/>
  <c r="M50" i="33"/>
  <c r="L50" i="33"/>
  <c r="O49" i="33"/>
  <c r="K49" i="33"/>
  <c r="I49" i="33"/>
  <c r="O48" i="33"/>
  <c r="K48" i="33"/>
  <c r="I48" i="33"/>
  <c r="O47" i="33"/>
  <c r="K47" i="33"/>
  <c r="I47" i="33"/>
  <c r="O46" i="33"/>
  <c r="K46" i="33"/>
  <c r="I46" i="33"/>
  <c r="O45" i="33"/>
  <c r="K45" i="33"/>
  <c r="I45" i="33"/>
  <c r="O44" i="33"/>
  <c r="K44" i="33"/>
  <c r="I44" i="33"/>
  <c r="O43" i="33"/>
  <c r="K43" i="33"/>
  <c r="I43" i="33"/>
  <c r="O42" i="33"/>
  <c r="K42" i="33"/>
  <c r="I42" i="33"/>
  <c r="O41" i="33"/>
  <c r="K41" i="33"/>
  <c r="I41" i="33"/>
  <c r="O40" i="33"/>
  <c r="K40" i="33"/>
  <c r="I40" i="33"/>
  <c r="O39" i="33"/>
  <c r="K39" i="33"/>
  <c r="I39" i="33"/>
  <c r="O38" i="33"/>
  <c r="K38" i="33"/>
  <c r="I38" i="33"/>
  <c r="O37" i="33"/>
  <c r="K37" i="33"/>
  <c r="I37" i="33"/>
  <c r="O36" i="33"/>
  <c r="K36" i="33"/>
  <c r="I36" i="33"/>
  <c r="O35" i="33"/>
  <c r="K35" i="33"/>
  <c r="I35" i="33"/>
  <c r="O34" i="33"/>
  <c r="K34" i="33"/>
  <c r="I34" i="33"/>
  <c r="O33" i="33"/>
  <c r="K33" i="33"/>
  <c r="I33" i="33"/>
  <c r="O32" i="33"/>
  <c r="K32" i="33"/>
  <c r="I32" i="33"/>
  <c r="O31" i="33"/>
  <c r="K31" i="33"/>
  <c r="I31" i="33"/>
  <c r="O30" i="33"/>
  <c r="K30" i="33"/>
  <c r="I30" i="33"/>
  <c r="O29" i="33"/>
  <c r="K29" i="33"/>
  <c r="I29" i="33"/>
  <c r="O28" i="33"/>
  <c r="K28" i="33"/>
  <c r="I28" i="33"/>
  <c r="O27" i="33"/>
  <c r="K27" i="33"/>
  <c r="I27" i="33"/>
  <c r="O26" i="33"/>
  <c r="K26" i="33"/>
  <c r="I26" i="33"/>
  <c r="O25" i="33"/>
  <c r="K25" i="33"/>
  <c r="I25" i="33"/>
  <c r="O24" i="33"/>
  <c r="K24" i="33"/>
  <c r="I24" i="33"/>
  <c r="O23" i="33"/>
  <c r="K23" i="33"/>
  <c r="I23" i="33"/>
  <c r="O22" i="33"/>
  <c r="K22" i="33"/>
  <c r="I22" i="33"/>
  <c r="O21" i="33"/>
  <c r="K21" i="33"/>
  <c r="I21" i="33"/>
  <c r="C21" i="33"/>
  <c r="A21" i="33"/>
  <c r="O20" i="33"/>
  <c r="K20" i="33"/>
  <c r="I20" i="33"/>
  <c r="C20" i="33"/>
  <c r="A20" i="33"/>
  <c r="O19" i="33"/>
  <c r="K19" i="33"/>
  <c r="I19" i="33"/>
  <c r="C19" i="33"/>
  <c r="A19" i="33"/>
  <c r="O18" i="33"/>
  <c r="K18" i="33"/>
  <c r="I18" i="33"/>
  <c r="C18" i="33"/>
  <c r="A18" i="33"/>
  <c r="O17" i="33"/>
  <c r="K17" i="33"/>
  <c r="I17" i="33"/>
  <c r="C17" i="33"/>
  <c r="A17" i="33"/>
  <c r="O16" i="33"/>
  <c r="K16" i="33"/>
  <c r="I16" i="33"/>
  <c r="C16" i="33"/>
  <c r="A16" i="33"/>
  <c r="O15" i="33"/>
  <c r="K15" i="33"/>
  <c r="I15" i="33"/>
  <c r="C15" i="33"/>
  <c r="A15" i="33"/>
  <c r="O14" i="33"/>
  <c r="K14" i="33"/>
  <c r="I14" i="33"/>
  <c r="C14" i="33"/>
  <c r="A14" i="33"/>
  <c r="O13" i="33"/>
  <c r="K13" i="33"/>
  <c r="I13" i="33"/>
  <c r="C13" i="33"/>
  <c r="A13" i="33"/>
  <c r="O12" i="33"/>
  <c r="K12" i="33"/>
  <c r="I12" i="33"/>
  <c r="C12" i="33"/>
  <c r="A12" i="33"/>
  <c r="O11" i="33"/>
  <c r="K11" i="33"/>
  <c r="I11" i="33"/>
  <c r="C11" i="33"/>
  <c r="A11" i="33"/>
  <c r="O10" i="33"/>
  <c r="K10" i="33"/>
  <c r="I10" i="33"/>
  <c r="C10" i="33"/>
  <c r="A10" i="33"/>
  <c r="O9" i="33"/>
  <c r="K9" i="33"/>
  <c r="I9" i="33"/>
  <c r="C9" i="33"/>
  <c r="A9" i="33"/>
  <c r="O8" i="33"/>
  <c r="K8" i="33"/>
  <c r="I8" i="33"/>
  <c r="C8" i="33"/>
  <c r="A8" i="33"/>
  <c r="O7" i="33"/>
  <c r="K7" i="33"/>
  <c r="I7" i="33"/>
  <c r="C7" i="33"/>
  <c r="A7" i="33"/>
  <c r="O6" i="33"/>
  <c r="K6" i="33"/>
  <c r="I6" i="33"/>
  <c r="G6" i="33"/>
  <c r="E6" i="33"/>
  <c r="C6" i="33"/>
  <c r="A6" i="33"/>
  <c r="O5" i="33"/>
  <c r="K5" i="33"/>
  <c r="I5" i="33"/>
  <c r="G5" i="33"/>
  <c r="E5" i="33"/>
  <c r="C5" i="33"/>
  <c r="A5" i="33"/>
  <c r="O4" i="33"/>
  <c r="K4" i="33"/>
  <c r="I4" i="33"/>
  <c r="G4" i="33"/>
  <c r="E4" i="33"/>
  <c r="C4" i="33"/>
  <c r="A4" i="33"/>
  <c r="O3" i="33"/>
  <c r="K3" i="33"/>
  <c r="I3" i="33"/>
  <c r="G3" i="33"/>
  <c r="E3" i="33"/>
  <c r="C3" i="33"/>
  <c r="A3" i="33"/>
  <c r="K2" i="33"/>
  <c r="G2" i="33"/>
  <c r="C2" i="33"/>
  <c r="E2" i="4"/>
  <c r="BQ65" i="30"/>
  <c r="BP65" i="30"/>
  <c r="BO65" i="30"/>
  <c r="BN65" i="30"/>
  <c r="BM65" i="30"/>
  <c r="BL65" i="30"/>
  <c r="BK65" i="30"/>
  <c r="BJ65" i="30"/>
  <c r="BI65" i="30"/>
  <c r="BH65" i="30"/>
  <c r="BG65" i="30"/>
  <c r="BF65" i="30"/>
  <c r="BE65" i="30"/>
  <c r="BD65" i="30"/>
  <c r="BC65" i="30"/>
  <c r="BB65" i="30"/>
  <c r="BA64" i="30"/>
  <c r="BA63" i="30"/>
  <c r="BA62" i="30"/>
  <c r="BA61" i="30"/>
  <c r="BA60" i="30"/>
  <c r="BA59" i="30"/>
  <c r="BA58" i="30"/>
  <c r="BA57" i="30"/>
  <c r="BA56" i="30"/>
  <c r="BA55" i="30"/>
  <c r="BA54" i="30"/>
  <c r="BA53" i="30"/>
  <c r="BA52" i="30"/>
  <c r="BA51" i="30"/>
  <c r="BA50" i="30"/>
  <c r="BA49" i="30"/>
  <c r="BA48" i="30"/>
  <c r="BA47" i="30"/>
  <c r="BA46" i="30"/>
  <c r="BA45" i="30"/>
  <c r="BA44" i="30"/>
  <c r="BA43" i="30"/>
  <c r="BA42" i="30"/>
  <c r="CA41" i="30"/>
  <c r="BA41" i="30"/>
  <c r="BA40" i="30"/>
  <c r="CE39" i="30"/>
  <c r="CA39" i="30"/>
  <c r="CE35" i="30"/>
  <c r="CA35" i="30"/>
  <c r="CJ34" i="30"/>
  <c r="CE34" i="30"/>
  <c r="CL33" i="30" s="1"/>
  <c r="CJ33" i="30"/>
  <c r="CL32" i="30"/>
  <c r="CJ32" i="30"/>
  <c r="EE31" i="30"/>
  <c r="EC31" i="30"/>
  <c r="DX31" i="30"/>
  <c r="DW31" i="30"/>
  <c r="DV31" i="30"/>
  <c r="DU31" i="30"/>
  <c r="DT31" i="30"/>
  <c r="DD31" i="30"/>
  <c r="DC31" i="30"/>
  <c r="CL31" i="30"/>
  <c r="CJ31" i="30"/>
  <c r="CG31" i="30"/>
  <c r="CF31" i="30"/>
  <c r="CF31" i="30" a="1"/>
  <c r="CD31" i="30"/>
  <c r="CA31" i="30"/>
  <c r="BY31" i="30"/>
  <c r="BP31" i="30"/>
  <c r="BP64" i="30" s="1"/>
  <c r="BO31" i="30"/>
  <c r="BO64" i="30" s="1"/>
  <c r="BN31" i="30"/>
  <c r="BN64" i="30" s="1"/>
  <c r="BM31" i="30"/>
  <c r="BM64" i="30" s="1"/>
  <c r="BL31" i="30"/>
  <c r="BL64" i="30" s="1"/>
  <c r="BK31" i="30"/>
  <c r="BK64" i="30" s="1"/>
  <c r="BJ31" i="30"/>
  <c r="BJ64" i="30" s="1"/>
  <c r="BI31" i="30"/>
  <c r="BI64" i="30" s="1"/>
  <c r="BH31" i="30"/>
  <c r="BH64" i="30" s="1"/>
  <c r="BG31" i="30"/>
  <c r="BG64" i="30" s="1"/>
  <c r="BA31" i="30"/>
  <c r="Z31" i="30"/>
  <c r="X31" i="30"/>
  <c r="T31" i="30"/>
  <c r="EK31" i="30" s="1"/>
  <c r="P31" i="30"/>
  <c r="A31" i="30"/>
  <c r="EK30" i="30"/>
  <c r="EI30" i="30"/>
  <c r="EE30" i="30"/>
  <c r="EC30" i="30"/>
  <c r="DY30" i="30"/>
  <c r="DX30" i="30"/>
  <c r="DW30" i="30"/>
  <c r="DV30" i="30"/>
  <c r="DU30" i="30"/>
  <c r="DT30" i="30"/>
  <c r="DD30" i="30"/>
  <c r="DC30" i="30"/>
  <c r="CL30" i="30"/>
  <c r="CJ30" i="30"/>
  <c r="CG30" i="30"/>
  <c r="CF30" i="30"/>
  <c r="CF30" i="30" a="1"/>
  <c r="CD30" i="30"/>
  <c r="CA30" i="30"/>
  <c r="BY30" i="30"/>
  <c r="BQ30" i="30"/>
  <c r="BQ63" i="30" s="1"/>
  <c r="BP30" i="30"/>
  <c r="BP63" i="30" s="1"/>
  <c r="BO30" i="30"/>
  <c r="BO63" i="30" s="1"/>
  <c r="BN30" i="30"/>
  <c r="BN63" i="30" s="1"/>
  <c r="BM30" i="30"/>
  <c r="BM63" i="30" s="1"/>
  <c r="BL30" i="30"/>
  <c r="BL63" i="30" s="1"/>
  <c r="BK30" i="30"/>
  <c r="BK63" i="30" s="1"/>
  <c r="BJ30" i="30"/>
  <c r="BJ63" i="30" s="1"/>
  <c r="BI30" i="30"/>
  <c r="BI63" i="30" s="1"/>
  <c r="BH30" i="30"/>
  <c r="BH63" i="30" s="1"/>
  <c r="BA30" i="30"/>
  <c r="Z30" i="30"/>
  <c r="X30" i="30"/>
  <c r="T30" i="30"/>
  <c r="EH30" i="30" s="1"/>
  <c r="P30" i="30"/>
  <c r="A30" i="30"/>
  <c r="EE29" i="30"/>
  <c r="EC29" i="30"/>
  <c r="DY29" i="30"/>
  <c r="DX29" i="30"/>
  <c r="DW29" i="30"/>
  <c r="DV29" i="30"/>
  <c r="DU29" i="30"/>
  <c r="DT29" i="30"/>
  <c r="DD29" i="30"/>
  <c r="DC29" i="30"/>
  <c r="CL29" i="30"/>
  <c r="CJ29" i="30"/>
  <c r="CG29" i="30"/>
  <c r="CF29" i="30"/>
  <c r="CF29" i="30" a="1"/>
  <c r="CD29" i="30"/>
  <c r="CA29" i="30"/>
  <c r="BY29" i="30"/>
  <c r="BQ29" i="30"/>
  <c r="BQ62" i="30" s="1"/>
  <c r="BP29" i="30"/>
  <c r="BP62" i="30" s="1"/>
  <c r="BO29" i="30"/>
  <c r="BO62" i="30" s="1"/>
  <c r="BN29" i="30"/>
  <c r="BN62" i="30" s="1"/>
  <c r="BM29" i="30"/>
  <c r="BM62" i="30" s="1"/>
  <c r="BL29" i="30"/>
  <c r="BL62" i="30" s="1"/>
  <c r="BK29" i="30"/>
  <c r="BK62" i="30" s="1"/>
  <c r="BJ29" i="30"/>
  <c r="BJ62" i="30" s="1"/>
  <c r="BI29" i="30"/>
  <c r="BI62" i="30" s="1"/>
  <c r="BH29" i="30"/>
  <c r="BH62" i="30" s="1"/>
  <c r="BA29" i="30"/>
  <c r="Z29" i="30"/>
  <c r="X29" i="30"/>
  <c r="T29" i="30"/>
  <c r="EK29" i="30" s="1"/>
  <c r="P29" i="30"/>
  <c r="A29" i="30"/>
  <c r="EK28" i="30"/>
  <c r="EE28" i="30"/>
  <c r="EC28" i="30"/>
  <c r="DY28" i="30"/>
  <c r="DX28" i="30"/>
  <c r="DW28" i="30"/>
  <c r="DV28" i="30"/>
  <c r="DU28" i="30"/>
  <c r="DT28" i="30"/>
  <c r="DD28" i="30"/>
  <c r="DC28" i="30"/>
  <c r="CL28" i="30"/>
  <c r="CJ28" i="30"/>
  <c r="CG28" i="30"/>
  <c r="CF28" i="30"/>
  <c r="CF28" i="30" a="1"/>
  <c r="CD28" i="30"/>
  <c r="CA28" i="30"/>
  <c r="BY28" i="30"/>
  <c r="BQ28" i="30"/>
  <c r="BQ61" i="30" s="1"/>
  <c r="BP28" i="30"/>
  <c r="BP61" i="30" s="1"/>
  <c r="BO28" i="30"/>
  <c r="BO61" i="30" s="1"/>
  <c r="BN28" i="30"/>
  <c r="BN61" i="30" s="1"/>
  <c r="BM28" i="30"/>
  <c r="BM61" i="30" s="1"/>
  <c r="BL28" i="30"/>
  <c r="BL61" i="30" s="1"/>
  <c r="BK28" i="30"/>
  <c r="BK61" i="30" s="1"/>
  <c r="BJ28" i="30"/>
  <c r="BJ61" i="30" s="1"/>
  <c r="BI28" i="30"/>
  <c r="BI61" i="30" s="1"/>
  <c r="BH28" i="30"/>
  <c r="BH61" i="30" s="1"/>
  <c r="BA28" i="30"/>
  <c r="Z28" i="30"/>
  <c r="X28" i="30"/>
  <c r="T28" i="30"/>
  <c r="EJ28" i="30" s="1"/>
  <c r="P28" i="30"/>
  <c r="A28" i="30"/>
  <c r="EK27" i="30"/>
  <c r="EI27" i="30"/>
  <c r="EE27" i="30"/>
  <c r="EC27" i="30"/>
  <c r="DY27" i="30"/>
  <c r="DX27" i="30"/>
  <c r="DW27" i="30"/>
  <c r="DV27" i="30"/>
  <c r="DU27" i="30"/>
  <c r="DT27" i="30"/>
  <c r="DD27" i="30"/>
  <c r="DC27" i="30"/>
  <c r="CL27" i="30"/>
  <c r="CJ27" i="30"/>
  <c r="CG27" i="30"/>
  <c r="CF27" i="30"/>
  <c r="CF27" i="30" a="1"/>
  <c r="CD27" i="30"/>
  <c r="CA27" i="30"/>
  <c r="BY27" i="30"/>
  <c r="BQ27" i="30"/>
  <c r="BQ60" i="30" s="1"/>
  <c r="BP27" i="30"/>
  <c r="BP60" i="30" s="1"/>
  <c r="BO27" i="30"/>
  <c r="BO60" i="30" s="1"/>
  <c r="BN27" i="30"/>
  <c r="BN60" i="30" s="1"/>
  <c r="BM27" i="30"/>
  <c r="BM60" i="30" s="1"/>
  <c r="BL27" i="30"/>
  <c r="BL60" i="30" s="1"/>
  <c r="BK27" i="30"/>
  <c r="BK60" i="30" s="1"/>
  <c r="BJ27" i="30"/>
  <c r="BJ60" i="30" s="1"/>
  <c r="BI27" i="30"/>
  <c r="BI60" i="30" s="1"/>
  <c r="BH27" i="30"/>
  <c r="BH60" i="30" s="1"/>
  <c r="BA27" i="30"/>
  <c r="Z27" i="30"/>
  <c r="X27" i="30"/>
  <c r="T27" i="30"/>
  <c r="EH27" i="30" s="1"/>
  <c r="P27" i="30"/>
  <c r="A27" i="30"/>
  <c r="EE26" i="30"/>
  <c r="EC26" i="30"/>
  <c r="DY26" i="30"/>
  <c r="DX26" i="30"/>
  <c r="DW26" i="30"/>
  <c r="DV26" i="30"/>
  <c r="DU26" i="30"/>
  <c r="DT26" i="30"/>
  <c r="DD26" i="30"/>
  <c r="DC26" i="30"/>
  <c r="CL26" i="30"/>
  <c r="CJ26" i="30"/>
  <c r="CG26" i="30"/>
  <c r="CF26" i="30"/>
  <c r="CF26" i="30" a="1"/>
  <c r="CD26" i="30"/>
  <c r="CA26" i="30"/>
  <c r="BY26" i="30"/>
  <c r="BP26" i="30"/>
  <c r="BP59" i="30" s="1"/>
  <c r="BO26" i="30"/>
  <c r="BO59" i="30" s="1"/>
  <c r="BN26" i="30"/>
  <c r="BN59" i="30" s="1"/>
  <c r="BM26" i="30"/>
  <c r="BM59" i="30" s="1"/>
  <c r="BL26" i="30"/>
  <c r="BL59" i="30" s="1"/>
  <c r="BK26" i="30"/>
  <c r="BK59" i="30" s="1"/>
  <c r="BJ26" i="30"/>
  <c r="BJ59" i="30" s="1"/>
  <c r="BI26" i="30"/>
  <c r="BI59" i="30" s="1"/>
  <c r="BH26" i="30"/>
  <c r="BH59" i="30" s="1"/>
  <c r="BA26" i="30"/>
  <c r="Z26" i="30"/>
  <c r="X26" i="30"/>
  <c r="T26" i="30"/>
  <c r="EK26" i="30" s="1"/>
  <c r="P26" i="30"/>
  <c r="A26" i="30"/>
  <c r="EK25" i="30"/>
  <c r="EI25" i="30"/>
  <c r="EE25" i="30"/>
  <c r="EC25" i="30"/>
  <c r="DY25" i="30"/>
  <c r="DX25" i="30"/>
  <c r="DW25" i="30"/>
  <c r="DV25" i="30"/>
  <c r="DU25" i="30"/>
  <c r="DT25" i="30"/>
  <c r="DD25" i="30"/>
  <c r="DC25" i="30"/>
  <c r="CL25" i="30"/>
  <c r="CJ25" i="30"/>
  <c r="CG25" i="30"/>
  <c r="CF25" i="30"/>
  <c r="CF25" i="30" a="1"/>
  <c r="CD25" i="30"/>
  <c r="CA25" i="30"/>
  <c r="BY25" i="30"/>
  <c r="BQ25" i="30"/>
  <c r="BQ58" i="30" s="1"/>
  <c r="BP25" i="30"/>
  <c r="BP58" i="30" s="1"/>
  <c r="BO25" i="30"/>
  <c r="BO58" i="30" s="1"/>
  <c r="BN25" i="30"/>
  <c r="BN58" i="30" s="1"/>
  <c r="BM25" i="30"/>
  <c r="BM58" i="30" s="1"/>
  <c r="BL25" i="30"/>
  <c r="BL58" i="30" s="1"/>
  <c r="BK25" i="30"/>
  <c r="BK58" i="30" s="1"/>
  <c r="BJ25" i="30"/>
  <c r="BJ58" i="30" s="1"/>
  <c r="BI25" i="30"/>
  <c r="BI58" i="30" s="1"/>
  <c r="BH25" i="30"/>
  <c r="BH58" i="30" s="1"/>
  <c r="BA25" i="30"/>
  <c r="Z25" i="30"/>
  <c r="X25" i="30"/>
  <c r="T25" i="30"/>
  <c r="EH25" i="30" s="1"/>
  <c r="P25" i="30"/>
  <c r="A25" i="30"/>
  <c r="EE24" i="30"/>
  <c r="EC24" i="30"/>
  <c r="DY24" i="30"/>
  <c r="DX24" i="30"/>
  <c r="DW24" i="30"/>
  <c r="DV24" i="30"/>
  <c r="DU24" i="30"/>
  <c r="DT24" i="30"/>
  <c r="DD24" i="30"/>
  <c r="DC24" i="30"/>
  <c r="CL24" i="30"/>
  <c r="CK24" i="30"/>
  <c r="CJ24" i="30"/>
  <c r="CG24" i="30"/>
  <c r="CF24" i="30"/>
  <c r="CF24" i="30" a="1"/>
  <c r="CD24" i="30"/>
  <c r="CA24" i="30"/>
  <c r="BY24" i="30"/>
  <c r="BP24" i="30"/>
  <c r="BP57" i="30" s="1"/>
  <c r="BO24" i="30"/>
  <c r="BO57" i="30" s="1"/>
  <c r="BN24" i="30"/>
  <c r="BN57" i="30" s="1"/>
  <c r="BM24" i="30"/>
  <c r="BM57" i="30" s="1"/>
  <c r="BL24" i="30"/>
  <c r="BL57" i="30" s="1"/>
  <c r="BK24" i="30"/>
  <c r="BK57" i="30" s="1"/>
  <c r="BJ24" i="30"/>
  <c r="BJ57" i="30" s="1"/>
  <c r="BI24" i="30"/>
  <c r="BI57" i="30" s="1"/>
  <c r="BH24" i="30"/>
  <c r="BH57" i="30" s="1"/>
  <c r="BA24" i="30"/>
  <c r="Z24" i="30"/>
  <c r="X24" i="30"/>
  <c r="T24" i="30"/>
  <c r="EK24" i="30" s="1"/>
  <c r="P24" i="30"/>
  <c r="A24" i="30"/>
  <c r="EK23" i="30"/>
  <c r="EE23" i="30"/>
  <c r="EC23" i="30"/>
  <c r="DZ23" i="30"/>
  <c r="DY23" i="30"/>
  <c r="DX23" i="30"/>
  <c r="DW23" i="30"/>
  <c r="DV23" i="30"/>
  <c r="DU23" i="30"/>
  <c r="DT23" i="30"/>
  <c r="DD23" i="30"/>
  <c r="DC23" i="30"/>
  <c r="CL23" i="30"/>
  <c r="CK23" i="30"/>
  <c r="CJ23" i="30"/>
  <c r="CG23" i="30"/>
  <c r="CF23" i="30"/>
  <c r="CF23" i="30" a="1"/>
  <c r="CD23" i="30"/>
  <c r="CA23" i="30"/>
  <c r="BY23" i="30"/>
  <c r="BO23" i="30"/>
  <c r="BO56" i="30" s="1"/>
  <c r="BN23" i="30"/>
  <c r="BN56" i="30" s="1"/>
  <c r="BM23" i="30"/>
  <c r="BM56" i="30" s="1"/>
  <c r="BL23" i="30"/>
  <c r="BL56" i="30" s="1"/>
  <c r="BK23" i="30"/>
  <c r="BK56" i="30" s="1"/>
  <c r="BJ23" i="30"/>
  <c r="BJ56" i="30" s="1"/>
  <c r="BI23" i="30"/>
  <c r="BI56" i="30" s="1"/>
  <c r="BA23" i="30"/>
  <c r="Z23" i="30"/>
  <c r="X23" i="30"/>
  <c r="T23" i="30"/>
  <c r="EI23" i="30" s="1"/>
  <c r="P23" i="30"/>
  <c r="A23" i="30"/>
  <c r="EE22" i="30"/>
  <c r="EC22" i="30"/>
  <c r="DZ22" i="30"/>
  <c r="DY22" i="30"/>
  <c r="DX22" i="30"/>
  <c r="DW22" i="30"/>
  <c r="DV22" i="30"/>
  <c r="DU22" i="30"/>
  <c r="DT22" i="30"/>
  <c r="DD22" i="30"/>
  <c r="DC22" i="30"/>
  <c r="CL22" i="30"/>
  <c r="CK22" i="30"/>
  <c r="CJ22" i="30"/>
  <c r="CG22" i="30"/>
  <c r="CF22" i="30"/>
  <c r="CF22" i="30" a="1"/>
  <c r="CD22" i="30"/>
  <c r="CA22" i="30"/>
  <c r="BY22" i="30"/>
  <c r="BP22" i="30"/>
  <c r="BP55" i="30" s="1"/>
  <c r="BO22" i="30"/>
  <c r="BO55" i="30" s="1"/>
  <c r="BN22" i="30"/>
  <c r="BN55" i="30" s="1"/>
  <c r="BM22" i="30"/>
  <c r="BM55" i="30" s="1"/>
  <c r="BL22" i="30"/>
  <c r="BL55" i="30" s="1"/>
  <c r="BK22" i="30"/>
  <c r="BK55" i="30" s="1"/>
  <c r="BJ22" i="30"/>
  <c r="BJ55" i="30" s="1"/>
  <c r="BI22" i="30"/>
  <c r="BI55" i="30" s="1"/>
  <c r="BA22" i="30"/>
  <c r="Z22" i="30"/>
  <c r="X22" i="30"/>
  <c r="T22" i="30"/>
  <c r="EK22" i="30" s="1"/>
  <c r="P22" i="30"/>
  <c r="A22" i="30"/>
  <c r="EK21" i="30"/>
  <c r="EI21" i="30"/>
  <c r="EE21" i="30"/>
  <c r="EC21" i="30"/>
  <c r="DY21" i="30"/>
  <c r="DX21" i="30"/>
  <c r="DW21" i="30"/>
  <c r="DV21" i="30"/>
  <c r="DU21" i="30"/>
  <c r="DT21" i="30"/>
  <c r="DD21" i="30"/>
  <c r="DC21" i="30"/>
  <c r="CL21" i="30"/>
  <c r="CJ21" i="30"/>
  <c r="CG21" i="30"/>
  <c r="CF21" i="30"/>
  <c r="CF21" i="30" a="1"/>
  <c r="CD21" i="30"/>
  <c r="CA21" i="30"/>
  <c r="BY21" i="30"/>
  <c r="BQ21" i="30"/>
  <c r="BQ54" i="30" s="1"/>
  <c r="BP21" i="30"/>
  <c r="BP54" i="30" s="1"/>
  <c r="BO21" i="30"/>
  <c r="BO54" i="30" s="1"/>
  <c r="BN21" i="30"/>
  <c r="BN54" i="30" s="1"/>
  <c r="BM21" i="30"/>
  <c r="BM54" i="30" s="1"/>
  <c r="BL21" i="30"/>
  <c r="BL54" i="30" s="1"/>
  <c r="BK21" i="30"/>
  <c r="BK54" i="30" s="1"/>
  <c r="BJ21" i="30"/>
  <c r="BJ54" i="30" s="1"/>
  <c r="BI21" i="30"/>
  <c r="BI54" i="30" s="1"/>
  <c r="BH21" i="30"/>
  <c r="BH54" i="30" s="1"/>
  <c r="BA21" i="30"/>
  <c r="Z21" i="30"/>
  <c r="X21" i="30"/>
  <c r="T21" i="30"/>
  <c r="EH21" i="30" s="1"/>
  <c r="P21" i="30"/>
  <c r="A21" i="30"/>
  <c r="EJ20" i="30"/>
  <c r="EI20" i="30"/>
  <c r="EH20" i="30"/>
  <c r="EE20" i="30"/>
  <c r="EC20" i="30"/>
  <c r="DY20" i="30"/>
  <c r="DX20" i="30"/>
  <c r="DW20" i="30"/>
  <c r="DV20" i="30"/>
  <c r="DU20" i="30"/>
  <c r="DT20" i="30"/>
  <c r="DD20" i="30"/>
  <c r="DC20" i="30"/>
  <c r="CL20" i="30"/>
  <c r="CK20" i="30"/>
  <c r="CJ20" i="30"/>
  <c r="CG20" i="30"/>
  <c r="CF20" i="30"/>
  <c r="CF20" i="30" a="1"/>
  <c r="CD20" i="30"/>
  <c r="CA20" i="30"/>
  <c r="BY20" i="30"/>
  <c r="BM20" i="30"/>
  <c r="BM53" i="30" s="1"/>
  <c r="BL20" i="30"/>
  <c r="BL53" i="30" s="1"/>
  <c r="BK20" i="30"/>
  <c r="BK53" i="30" s="1"/>
  <c r="BJ20" i="30"/>
  <c r="BJ53" i="30" s="1"/>
  <c r="BI20" i="30"/>
  <c r="BI53" i="30" s="1"/>
  <c r="BH20" i="30"/>
  <c r="BH53" i="30" s="1"/>
  <c r="BA20" i="30"/>
  <c r="Z20" i="30"/>
  <c r="X20" i="30"/>
  <c r="T20" i="30"/>
  <c r="EK20" i="30" s="1"/>
  <c r="P20" i="30"/>
  <c r="A20" i="30"/>
  <c r="EK19" i="30"/>
  <c r="EH19" i="30"/>
  <c r="EE19" i="30"/>
  <c r="EC19" i="30"/>
  <c r="DY19" i="30"/>
  <c r="DX19" i="30"/>
  <c r="DW19" i="30"/>
  <c r="DV19" i="30"/>
  <c r="DU19" i="30"/>
  <c r="DT19" i="30"/>
  <c r="DN19" i="30"/>
  <c r="DD19" i="30"/>
  <c r="DC19" i="30"/>
  <c r="CL19" i="30"/>
  <c r="CK19" i="30"/>
  <c r="CJ19" i="30"/>
  <c r="CG19" i="30"/>
  <c r="CF19" i="30"/>
  <c r="CF19" i="30" a="1"/>
  <c r="CD19" i="30"/>
  <c r="CA19" i="30"/>
  <c r="BY19" i="30"/>
  <c r="BQ19" i="30"/>
  <c r="BQ52" i="30" s="1"/>
  <c r="BP19" i="30"/>
  <c r="BP52" i="30" s="1"/>
  <c r="BO19" i="30"/>
  <c r="BO52" i="30" s="1"/>
  <c r="BN19" i="30"/>
  <c r="BN52" i="30" s="1"/>
  <c r="BM19" i="30"/>
  <c r="BM52" i="30" s="1"/>
  <c r="BL19" i="30"/>
  <c r="BL52" i="30" s="1"/>
  <c r="BK19" i="30"/>
  <c r="BK52" i="30" s="1"/>
  <c r="BJ19" i="30"/>
  <c r="BJ52" i="30" s="1"/>
  <c r="BI19" i="30"/>
  <c r="BI52" i="30" s="1"/>
  <c r="BH19" i="30"/>
  <c r="BH52" i="30" s="1"/>
  <c r="BA19" i="30"/>
  <c r="Z19" i="30"/>
  <c r="X19" i="30"/>
  <c r="T19" i="30"/>
  <c r="EI19" i="30" s="1"/>
  <c r="P19" i="30"/>
  <c r="A19" i="30"/>
  <c r="EJ18" i="30"/>
  <c r="EI18" i="30"/>
  <c r="EE18" i="30"/>
  <c r="EC18" i="30"/>
  <c r="DY18" i="30"/>
  <c r="DX18" i="30"/>
  <c r="DW18" i="30"/>
  <c r="DV18" i="30"/>
  <c r="DU18" i="30"/>
  <c r="DT18" i="30"/>
  <c r="DN18" i="30"/>
  <c r="DL18" i="30"/>
  <c r="DK18" i="30"/>
  <c r="DD18" i="30"/>
  <c r="DC18" i="30"/>
  <c r="CL18" i="30"/>
  <c r="CJ18" i="30"/>
  <c r="CG18" i="30"/>
  <c r="CF18" i="30"/>
  <c r="CF18" i="30" a="1"/>
  <c r="CD18" i="30"/>
  <c r="CA18" i="30"/>
  <c r="BY18" i="30"/>
  <c r="BQ18" i="30"/>
  <c r="BQ51" i="30" s="1"/>
  <c r="BP18" i="30"/>
  <c r="BP51" i="30" s="1"/>
  <c r="BO18" i="30"/>
  <c r="BO51" i="30" s="1"/>
  <c r="BN18" i="30"/>
  <c r="BN51" i="30" s="1"/>
  <c r="BM18" i="30"/>
  <c r="BM51" i="30" s="1"/>
  <c r="BL18" i="30"/>
  <c r="BL51" i="30" s="1"/>
  <c r="BK18" i="30"/>
  <c r="BK51" i="30" s="1"/>
  <c r="BJ18" i="30"/>
  <c r="BJ51" i="30" s="1"/>
  <c r="BI18" i="30"/>
  <c r="BI51" i="30" s="1"/>
  <c r="BH18" i="30"/>
  <c r="BH51" i="30" s="1"/>
  <c r="BA18" i="30"/>
  <c r="Z18" i="30"/>
  <c r="X18" i="30"/>
  <c r="T18" i="30"/>
  <c r="EK18" i="30" s="1"/>
  <c r="P18" i="30"/>
  <c r="A18" i="30"/>
  <c r="EE17" i="30"/>
  <c r="EC17" i="30"/>
  <c r="EA17" i="30"/>
  <c r="DZ17" i="30"/>
  <c r="DY17" i="30"/>
  <c r="DX17" i="30"/>
  <c r="DW17" i="30"/>
  <c r="DV17" i="30"/>
  <c r="DU17" i="30"/>
  <c r="DT17" i="30"/>
  <c r="DN17" i="30"/>
  <c r="DL17" i="30"/>
  <c r="DK17" i="30"/>
  <c r="DD17" i="30"/>
  <c r="DC17" i="30"/>
  <c r="CL17" i="30"/>
  <c r="CK17" i="30"/>
  <c r="CJ17" i="30"/>
  <c r="CG17" i="30"/>
  <c r="CF17" i="30"/>
  <c r="CF17" i="30" a="1"/>
  <c r="CD17" i="30"/>
  <c r="CA17" i="30"/>
  <c r="BY17" i="30"/>
  <c r="BQ17" i="30"/>
  <c r="BQ50" i="30" s="1"/>
  <c r="BP17" i="30"/>
  <c r="BP50" i="30" s="1"/>
  <c r="BO17" i="30"/>
  <c r="BO50" i="30" s="1"/>
  <c r="BN17" i="30"/>
  <c r="BN50" i="30" s="1"/>
  <c r="BM17" i="30"/>
  <c r="BM50" i="30" s="1"/>
  <c r="BL17" i="30"/>
  <c r="BL50" i="30" s="1"/>
  <c r="BK17" i="30"/>
  <c r="BK50" i="30" s="1"/>
  <c r="BJ17" i="30"/>
  <c r="BJ50" i="30" s="1"/>
  <c r="BA17" i="30"/>
  <c r="Z17" i="30"/>
  <c r="X17" i="30"/>
  <c r="T17" i="30"/>
  <c r="EK17" i="30" s="1"/>
  <c r="P17" i="30"/>
  <c r="A17" i="30"/>
  <c r="EH16" i="30"/>
  <c r="EE16" i="30"/>
  <c r="EC16" i="30"/>
  <c r="DX16" i="30"/>
  <c r="DW16" i="30"/>
  <c r="DV16" i="30"/>
  <c r="DU16" i="30"/>
  <c r="DT16" i="30"/>
  <c r="DN16" i="30"/>
  <c r="DM16" i="30"/>
  <c r="DL16" i="30"/>
  <c r="DK16" i="30"/>
  <c r="DD16" i="30"/>
  <c r="DC16" i="30"/>
  <c r="CL16" i="30"/>
  <c r="CJ16" i="30"/>
  <c r="CG16" i="30"/>
  <c r="CF16" i="30"/>
  <c r="CF16" i="30" a="1"/>
  <c r="CD16" i="30"/>
  <c r="CA16" i="30"/>
  <c r="BY16" i="30"/>
  <c r="BQ16" i="30"/>
  <c r="BQ49" i="30" s="1"/>
  <c r="BP16" i="30"/>
  <c r="BP49" i="30" s="1"/>
  <c r="BO16" i="30"/>
  <c r="BO49" i="30" s="1"/>
  <c r="BN16" i="30"/>
  <c r="BN49" i="30" s="1"/>
  <c r="BM16" i="30"/>
  <c r="BM49" i="30" s="1"/>
  <c r="BL16" i="30"/>
  <c r="BL49" i="30" s="1"/>
  <c r="BK16" i="30"/>
  <c r="BK49" i="30" s="1"/>
  <c r="BJ16" i="30"/>
  <c r="BJ49" i="30" s="1"/>
  <c r="BI16" i="30"/>
  <c r="BI49" i="30" s="1"/>
  <c r="BH16" i="30"/>
  <c r="BH49" i="30" s="1"/>
  <c r="BG16" i="30"/>
  <c r="BG49" i="30" s="1"/>
  <c r="BA16" i="30"/>
  <c r="Z16" i="30"/>
  <c r="X16" i="30"/>
  <c r="T16" i="30"/>
  <c r="EK16" i="30" s="1"/>
  <c r="P16" i="30"/>
  <c r="A16" i="30"/>
  <c r="EE15" i="30"/>
  <c r="EC15" i="30"/>
  <c r="DX15" i="30"/>
  <c r="DW15" i="30"/>
  <c r="DV15" i="30"/>
  <c r="DU15" i="30"/>
  <c r="DT15" i="30"/>
  <c r="DN15" i="30"/>
  <c r="DM15" i="30"/>
  <c r="DL15" i="30"/>
  <c r="DK15" i="30"/>
  <c r="DD15" i="30"/>
  <c r="DC15" i="30"/>
  <c r="CL15" i="30"/>
  <c r="CK15" i="30"/>
  <c r="CJ15" i="30"/>
  <c r="CG15" i="30"/>
  <c r="CF15" i="30"/>
  <c r="CF15" i="30" a="1"/>
  <c r="CD15" i="30"/>
  <c r="CA15" i="30"/>
  <c r="BY15" i="30"/>
  <c r="BQ15" i="30"/>
  <c r="BQ48" i="30" s="1"/>
  <c r="BP15" i="30"/>
  <c r="BP48" i="30" s="1"/>
  <c r="BO15" i="30"/>
  <c r="BO48" i="30" s="1"/>
  <c r="BN15" i="30"/>
  <c r="BN48" i="30" s="1"/>
  <c r="BM15" i="30"/>
  <c r="BM48" i="30" s="1"/>
  <c r="BL15" i="30"/>
  <c r="BL48" i="30" s="1"/>
  <c r="BK15" i="30"/>
  <c r="BK48" i="30" s="1"/>
  <c r="BJ15" i="30"/>
  <c r="BJ48" i="30" s="1"/>
  <c r="BI15" i="30"/>
  <c r="BI48" i="30" s="1"/>
  <c r="BH15" i="30"/>
  <c r="BH48" i="30" s="1"/>
  <c r="BG15" i="30"/>
  <c r="BG48" i="30" s="1"/>
  <c r="BA15" i="30"/>
  <c r="Z15" i="30"/>
  <c r="X15" i="30"/>
  <c r="T15" i="30"/>
  <c r="EK15" i="30" s="1"/>
  <c r="P15" i="30"/>
  <c r="A15" i="30"/>
  <c r="EK14" i="30"/>
  <c r="EI14" i="30"/>
  <c r="EH14" i="30"/>
  <c r="EE14" i="30"/>
  <c r="EC14" i="30"/>
  <c r="DY14" i="30"/>
  <c r="DX14" i="30"/>
  <c r="DW14" i="30"/>
  <c r="DV14" i="30"/>
  <c r="DU14" i="30"/>
  <c r="DT14" i="30"/>
  <c r="DN14" i="30"/>
  <c r="DM14" i="30"/>
  <c r="DL14" i="30"/>
  <c r="DK14" i="30"/>
  <c r="DD14" i="30"/>
  <c r="DC14" i="30"/>
  <c r="CL14" i="30"/>
  <c r="CJ14" i="30"/>
  <c r="CG14" i="30"/>
  <c r="CF14" i="30"/>
  <c r="CF14" i="30" a="1"/>
  <c r="CD14" i="30"/>
  <c r="CA14" i="30"/>
  <c r="BY14" i="30"/>
  <c r="BP14" i="30"/>
  <c r="BP47" i="30" s="1"/>
  <c r="BO14" i="30"/>
  <c r="BO47" i="30" s="1"/>
  <c r="BN14" i="30"/>
  <c r="BN47" i="30" s="1"/>
  <c r="BM14" i="30"/>
  <c r="BM47" i="30" s="1"/>
  <c r="BL14" i="30"/>
  <c r="BL47" i="30" s="1"/>
  <c r="BK14" i="30"/>
  <c r="BK47" i="30" s="1"/>
  <c r="BJ14" i="30"/>
  <c r="BJ47" i="30" s="1"/>
  <c r="BI14" i="30"/>
  <c r="BI47" i="30" s="1"/>
  <c r="BH14" i="30"/>
  <c r="BH47" i="30" s="1"/>
  <c r="BA14" i="30"/>
  <c r="Z14" i="30"/>
  <c r="X14" i="30"/>
  <c r="T14" i="30"/>
  <c r="P14" i="30"/>
  <c r="A14" i="30"/>
  <c r="EI13" i="30"/>
  <c r="EE13" i="30"/>
  <c r="EC13" i="30"/>
  <c r="DY13" i="30"/>
  <c r="DX13" i="30"/>
  <c r="DW13" i="30"/>
  <c r="DV13" i="30"/>
  <c r="DU13" i="30"/>
  <c r="DT13" i="30"/>
  <c r="DN13" i="30"/>
  <c r="DL13" i="30"/>
  <c r="DK13" i="30"/>
  <c r="DD13" i="30"/>
  <c r="DC13" i="30"/>
  <c r="DB13" i="30"/>
  <c r="DA13" i="30"/>
  <c r="CL13" i="30"/>
  <c r="CJ13" i="30"/>
  <c r="CG13" i="30"/>
  <c r="CF13" i="30"/>
  <c r="CF13" i="30" a="1"/>
  <c r="CD13" i="30"/>
  <c r="CA13" i="30"/>
  <c r="BY13" i="30"/>
  <c r="BR13" i="30"/>
  <c r="BQ13" i="30"/>
  <c r="BQ46" i="30" s="1"/>
  <c r="BP13" i="30"/>
  <c r="BP46" i="30" s="1"/>
  <c r="BO13" i="30"/>
  <c r="BO46" i="30" s="1"/>
  <c r="BN13" i="30"/>
  <c r="BN46" i="30" s="1"/>
  <c r="BM13" i="30"/>
  <c r="BM46" i="30" s="1"/>
  <c r="BL13" i="30"/>
  <c r="BL46" i="30" s="1"/>
  <c r="BK13" i="30"/>
  <c r="BK46" i="30" s="1"/>
  <c r="BJ13" i="30"/>
  <c r="BJ46" i="30" s="1"/>
  <c r="BI13" i="30"/>
  <c r="BI46" i="30" s="1"/>
  <c r="BH13" i="30"/>
  <c r="BH46" i="30" s="1"/>
  <c r="BA13" i="30"/>
  <c r="Z13" i="30"/>
  <c r="X13" i="30"/>
  <c r="T13" i="30"/>
  <c r="EH13" i="30" s="1"/>
  <c r="P13" i="30"/>
  <c r="A13" i="30"/>
  <c r="EH12" i="30"/>
  <c r="EE12" i="30"/>
  <c r="EC12" i="30"/>
  <c r="DZ12" i="30"/>
  <c r="DY12" i="30"/>
  <c r="DX12" i="30"/>
  <c r="DW12" i="30"/>
  <c r="DV12" i="30"/>
  <c r="DU12" i="30"/>
  <c r="DT12" i="30"/>
  <c r="DN12" i="30"/>
  <c r="DM12" i="30"/>
  <c r="DL12" i="30"/>
  <c r="DK12" i="30"/>
  <c r="DD12" i="30"/>
  <c r="DC12" i="30"/>
  <c r="DB12" i="30"/>
  <c r="DA12" i="30"/>
  <c r="CL12" i="30"/>
  <c r="CJ12" i="30"/>
  <c r="CG12" i="30"/>
  <c r="CF12" i="30"/>
  <c r="CF12" i="30" a="1"/>
  <c r="CD12" i="30"/>
  <c r="CA12" i="30"/>
  <c r="BY12" i="30"/>
  <c r="BQ12" i="30"/>
  <c r="BQ45" i="30" s="1"/>
  <c r="BP12" i="30"/>
  <c r="BP45" i="30" s="1"/>
  <c r="BO12" i="30"/>
  <c r="BO45" i="30" s="1"/>
  <c r="BN12" i="30"/>
  <c r="BN45" i="30" s="1"/>
  <c r="BM12" i="30"/>
  <c r="BM45" i="30" s="1"/>
  <c r="BL12" i="30"/>
  <c r="BL45" i="30" s="1"/>
  <c r="BK12" i="30"/>
  <c r="BK45" i="30" s="1"/>
  <c r="BJ12" i="30"/>
  <c r="BJ45" i="30" s="1"/>
  <c r="BI12" i="30"/>
  <c r="BI45" i="30" s="1"/>
  <c r="BA12" i="30"/>
  <c r="Z12" i="30"/>
  <c r="X12" i="30"/>
  <c r="T12" i="30"/>
  <c r="EK12" i="30" s="1"/>
  <c r="P12" i="30"/>
  <c r="A12" i="30"/>
  <c r="EK11" i="30"/>
  <c r="EJ11" i="30"/>
  <c r="EI11" i="30"/>
  <c r="EH11" i="30"/>
  <c r="EE11" i="30"/>
  <c r="EC11" i="30"/>
  <c r="DZ11" i="30"/>
  <c r="DY11" i="30"/>
  <c r="DX11" i="30"/>
  <c r="DW11" i="30"/>
  <c r="DV11" i="30"/>
  <c r="DU11" i="30"/>
  <c r="DT11" i="30"/>
  <c r="DQ11" i="30"/>
  <c r="DN11" i="30"/>
  <c r="DM11" i="30"/>
  <c r="DL11" i="30"/>
  <c r="DK11" i="30"/>
  <c r="DD11" i="30"/>
  <c r="DC11" i="30"/>
  <c r="DB11" i="30"/>
  <c r="DA11" i="30"/>
  <c r="CZ11" i="30"/>
  <c r="CL11" i="30"/>
  <c r="CK11" i="30"/>
  <c r="CJ11" i="30"/>
  <c r="CG11" i="30"/>
  <c r="CF11" i="30"/>
  <c r="CF11" i="30" a="1"/>
  <c r="CD11" i="30"/>
  <c r="CA11" i="30"/>
  <c r="BY11" i="30"/>
  <c r="BQ11" i="30"/>
  <c r="BQ44" i="30" s="1"/>
  <c r="BP11" i="30"/>
  <c r="BP44" i="30" s="1"/>
  <c r="BO11" i="30"/>
  <c r="BO44" i="30" s="1"/>
  <c r="BN11" i="30"/>
  <c r="BN44" i="30" s="1"/>
  <c r="BM11" i="30"/>
  <c r="BM44" i="30" s="1"/>
  <c r="BL11" i="30"/>
  <c r="BL44" i="30" s="1"/>
  <c r="BK11" i="30"/>
  <c r="BK44" i="30" s="1"/>
  <c r="BJ11" i="30"/>
  <c r="BJ44" i="30" s="1"/>
  <c r="BI11" i="30"/>
  <c r="BI44" i="30" s="1"/>
  <c r="BA11" i="30"/>
  <c r="Z11" i="30"/>
  <c r="X11" i="30"/>
  <c r="T11" i="30"/>
  <c r="P11" i="30"/>
  <c r="A11" i="30"/>
  <c r="EI10" i="30"/>
  <c r="EH10" i="30"/>
  <c r="EE10" i="30"/>
  <c r="EC10" i="30"/>
  <c r="DY10" i="30"/>
  <c r="DX10" i="30"/>
  <c r="DW10" i="30"/>
  <c r="DV10" i="30"/>
  <c r="DU10" i="30"/>
  <c r="DT10" i="30"/>
  <c r="DQ10" i="30"/>
  <c r="DQ12" i="30" s="1"/>
  <c r="DN10" i="30"/>
  <c r="DM10" i="30"/>
  <c r="DL10" i="30"/>
  <c r="DK10" i="30"/>
  <c r="DD10" i="30"/>
  <c r="DC10" i="30"/>
  <c r="DB10" i="30"/>
  <c r="DA10" i="30"/>
  <c r="CR10" i="30"/>
  <c r="CL10" i="30"/>
  <c r="CJ10" i="30"/>
  <c r="CG10" i="30"/>
  <c r="CF10" i="30"/>
  <c r="CF10" i="30" a="1"/>
  <c r="CD10" i="30"/>
  <c r="CA10" i="30"/>
  <c r="BY10" i="30"/>
  <c r="BQ10" i="30"/>
  <c r="BQ43" i="30" s="1"/>
  <c r="BP10" i="30"/>
  <c r="BP43" i="30" s="1"/>
  <c r="BO10" i="30"/>
  <c r="BO43" i="30" s="1"/>
  <c r="BN10" i="30"/>
  <c r="BN43" i="30" s="1"/>
  <c r="BM10" i="30"/>
  <c r="BM43" i="30" s="1"/>
  <c r="BL10" i="30"/>
  <c r="BL43" i="30" s="1"/>
  <c r="BK10" i="30"/>
  <c r="BK43" i="30" s="1"/>
  <c r="BJ10" i="30"/>
  <c r="BJ43" i="30" s="1"/>
  <c r="BI10" i="30"/>
  <c r="BI43" i="30" s="1"/>
  <c r="BH10" i="30"/>
  <c r="BH43" i="30" s="1"/>
  <c r="BA10" i="30"/>
  <c r="Z10" i="30"/>
  <c r="X10" i="30"/>
  <c r="T10" i="30"/>
  <c r="EK10" i="30" s="1"/>
  <c r="P10" i="30"/>
  <c r="A10" i="30"/>
  <c r="EI9" i="30"/>
  <c r="EH9" i="30"/>
  <c r="EE9" i="30"/>
  <c r="EC9" i="30"/>
  <c r="DY9" i="30"/>
  <c r="DX9" i="30"/>
  <c r="DW9" i="30"/>
  <c r="DV9" i="30"/>
  <c r="DU9" i="30"/>
  <c r="DT9" i="30"/>
  <c r="DQ9" i="30"/>
  <c r="DN9" i="30"/>
  <c r="DM9" i="30"/>
  <c r="DL9" i="30"/>
  <c r="DK9" i="30"/>
  <c r="DD9" i="30"/>
  <c r="DC9" i="30"/>
  <c r="DB9" i="30"/>
  <c r="CW9" i="30"/>
  <c r="CV9" i="30"/>
  <c r="CL9" i="30"/>
  <c r="CJ9" i="30"/>
  <c r="CG9" i="30"/>
  <c r="CF9" i="30"/>
  <c r="CF9" i="30" a="1"/>
  <c r="CD9" i="30"/>
  <c r="CA9" i="30"/>
  <c r="BY9" i="30"/>
  <c r="BR9" i="30"/>
  <c r="BQ9" i="30"/>
  <c r="BQ42" i="30" s="1"/>
  <c r="BP9" i="30"/>
  <c r="BP42" i="30" s="1"/>
  <c r="BO9" i="30"/>
  <c r="BO42" i="30" s="1"/>
  <c r="BN9" i="30"/>
  <c r="BN42" i="30" s="1"/>
  <c r="BM9" i="30"/>
  <c r="BM42" i="30" s="1"/>
  <c r="BL9" i="30"/>
  <c r="BL42" i="30" s="1"/>
  <c r="BK9" i="30"/>
  <c r="BK42" i="30" s="1"/>
  <c r="BJ9" i="30"/>
  <c r="BJ42" i="30" s="1"/>
  <c r="BI9" i="30"/>
  <c r="BI42" i="30" s="1"/>
  <c r="BH9" i="30"/>
  <c r="BH42" i="30" s="1"/>
  <c r="BA9" i="30"/>
  <c r="Z9" i="30"/>
  <c r="Z3" i="30" s="1"/>
  <c r="X9" i="30"/>
  <c r="T9" i="30"/>
  <c r="EK9" i="30" s="1"/>
  <c r="P9" i="30"/>
  <c r="A9" i="30"/>
  <c r="EE8" i="30"/>
  <c r="EC8" i="30"/>
  <c r="DZ8" i="30"/>
  <c r="DY8" i="30"/>
  <c r="DX8" i="30"/>
  <c r="DW8" i="30"/>
  <c r="DV8" i="30"/>
  <c r="DU8" i="30"/>
  <c r="DT8" i="30"/>
  <c r="DQ8" i="30"/>
  <c r="DN8" i="30"/>
  <c r="DM8" i="30"/>
  <c r="DL8" i="30"/>
  <c r="DK8" i="30"/>
  <c r="DD8" i="30"/>
  <c r="DC8" i="30"/>
  <c r="DB8" i="30"/>
  <c r="DA8" i="30"/>
  <c r="CZ8" i="30"/>
  <c r="CW8" i="30"/>
  <c r="CV8" i="30"/>
  <c r="CL8" i="30"/>
  <c r="CJ8" i="30"/>
  <c r="CG8" i="30"/>
  <c r="CF8" i="30"/>
  <c r="CF8" i="30" a="1"/>
  <c r="CD8" i="30"/>
  <c r="CA8" i="30"/>
  <c r="BY8" i="30"/>
  <c r="BR8" i="30"/>
  <c r="BQ8" i="30"/>
  <c r="BQ41" i="30" s="1"/>
  <c r="BP8" i="30"/>
  <c r="BP41" i="30" s="1"/>
  <c r="BO8" i="30"/>
  <c r="BO41" i="30" s="1"/>
  <c r="BN8" i="30"/>
  <c r="BN41" i="30" s="1"/>
  <c r="BM8" i="30"/>
  <c r="BM41" i="30" s="1"/>
  <c r="BL8" i="30"/>
  <c r="BL41" i="30" s="1"/>
  <c r="BK8" i="30"/>
  <c r="BK41" i="30" s="1"/>
  <c r="BJ8" i="30"/>
  <c r="BJ41" i="30" s="1"/>
  <c r="BI8" i="30"/>
  <c r="BI41" i="30" s="1"/>
  <c r="BA8" i="30"/>
  <c r="Z8" i="30"/>
  <c r="X8" i="30"/>
  <c r="T8" i="30"/>
  <c r="EK8" i="30" s="1"/>
  <c r="P8" i="30"/>
  <c r="A8" i="30"/>
  <c r="EK7" i="30"/>
  <c r="EI7" i="30"/>
  <c r="EH7" i="30"/>
  <c r="EE7" i="30"/>
  <c r="EC7" i="30"/>
  <c r="DY7" i="30"/>
  <c r="DX7" i="30"/>
  <c r="DW7" i="30"/>
  <c r="DV7" i="30"/>
  <c r="DU7" i="30"/>
  <c r="DT7" i="30"/>
  <c r="DQ7" i="30"/>
  <c r="DN7" i="30"/>
  <c r="DL7" i="30"/>
  <c r="DK7" i="30"/>
  <c r="DD7" i="30"/>
  <c r="DC7" i="30"/>
  <c r="DB7" i="30"/>
  <c r="DA7" i="30"/>
  <c r="DA9" i="30" s="1"/>
  <c r="CZ7" i="30"/>
  <c r="CZ9" i="30" s="1"/>
  <c r="CW7" i="30"/>
  <c r="CV7" i="30"/>
  <c r="CL7" i="30"/>
  <c r="CJ7" i="30"/>
  <c r="CG7" i="30"/>
  <c r="CF7" i="30"/>
  <c r="CF7" i="30" a="1"/>
  <c r="CD7" i="30"/>
  <c r="CA7" i="30"/>
  <c r="BY7" i="30"/>
  <c r="BX7" i="30"/>
  <c r="BX35" i="30" s="1"/>
  <c r="BX36" i="30" s="1"/>
  <c r="BW7" i="30"/>
  <c r="BW35" i="30" s="1"/>
  <c r="BW36" i="30" s="1"/>
  <c r="BV7" i="30"/>
  <c r="BV35" i="30" s="1"/>
  <c r="BV36" i="30" s="1"/>
  <c r="BU7" i="30"/>
  <c r="BU35" i="30" s="1"/>
  <c r="BU36" i="30" s="1"/>
  <c r="BT7" i="30"/>
  <c r="BT35" i="30" s="1"/>
  <c r="BT36" i="30" s="1"/>
  <c r="BS7" i="30"/>
  <c r="BS35" i="30" s="1"/>
  <c r="BS36" i="30" s="1"/>
  <c r="BR7" i="30"/>
  <c r="BQ7" i="30"/>
  <c r="BP7" i="30"/>
  <c r="BO7" i="30"/>
  <c r="BN7" i="30"/>
  <c r="BM7" i="30"/>
  <c r="BL7" i="30"/>
  <c r="BK7" i="30"/>
  <c r="BK40" i="30" s="1"/>
  <c r="BJ7" i="30"/>
  <c r="BJ40" i="30" s="1"/>
  <c r="BI7" i="30"/>
  <c r="BI40" i="30" s="1"/>
  <c r="BH7" i="30"/>
  <c r="BA7" i="30"/>
  <c r="Z7" i="30"/>
  <c r="X7" i="30"/>
  <c r="T7" i="30"/>
  <c r="P7" i="30"/>
  <c r="EA6" i="30"/>
  <c r="DZ6" i="30"/>
  <c r="DY6" i="30"/>
  <c r="DX6" i="30"/>
  <c r="DW6" i="30"/>
  <c r="DV6" i="30"/>
  <c r="DU6" i="30"/>
  <c r="DH6" i="30"/>
  <c r="DF6" i="30"/>
  <c r="DD6" i="30"/>
  <c r="BY6" i="30"/>
  <c r="BX6" i="30"/>
  <c r="BW6" i="30"/>
  <c r="BV6" i="30"/>
  <c r="BU6" i="30"/>
  <c r="BT6" i="30"/>
  <c r="BS6" i="30"/>
  <c r="BR6" i="30"/>
  <c r="BQ6" i="30"/>
  <c r="BP6" i="30"/>
  <c r="BO6" i="30"/>
  <c r="BN6" i="30"/>
  <c r="BM6" i="30"/>
  <c r="BL6" i="30"/>
  <c r="BK6" i="30"/>
  <c r="BJ6" i="30"/>
  <c r="BI6" i="30"/>
  <c r="BH6" i="30"/>
  <c r="BG6" i="30"/>
  <c r="BF6" i="30"/>
  <c r="BE6" i="30"/>
  <c r="BD6" i="30"/>
  <c r="BC6" i="30"/>
  <c r="BB6" i="30"/>
  <c r="AY6" i="30"/>
  <c r="AX6" i="30"/>
  <c r="AW6" i="30"/>
  <c r="AV6" i="30"/>
  <c r="AU6" i="30"/>
  <c r="AT6" i="30"/>
  <c r="AS6" i="30"/>
  <c r="AR6" i="30"/>
  <c r="AQ6" i="30"/>
  <c r="AP6" i="30"/>
  <c r="AO6" i="30"/>
  <c r="AN6" i="30"/>
  <c r="AM6" i="30"/>
  <c r="AL6" i="30"/>
  <c r="AK6" i="30"/>
  <c r="AJ6" i="30"/>
  <c r="AI6" i="30"/>
  <c r="AH6" i="30"/>
  <c r="AG6" i="30"/>
  <c r="AF6" i="30"/>
  <c r="AE6" i="30"/>
  <c r="AD6" i="30"/>
  <c r="AC6" i="30"/>
  <c r="DH5" i="30"/>
  <c r="DF5" i="30"/>
  <c r="DD5" i="30"/>
  <c r="DC5" i="30"/>
  <c r="AU5" i="30"/>
  <c r="AT5" i="30"/>
  <c r="X5" i="30"/>
  <c r="U5" i="30"/>
  <c r="P5" i="30"/>
  <c r="N5" i="30"/>
  <c r="E5" i="30"/>
  <c r="D5" i="30"/>
  <c r="AQ4" i="30"/>
  <c r="AO4" i="30"/>
  <c r="AM4" i="30"/>
  <c r="AK4" i="30"/>
  <c r="AG4" i="30"/>
  <c r="O4" i="30"/>
  <c r="EE3" i="30"/>
  <c r="ED3" i="30"/>
  <c r="EC3" i="30"/>
  <c r="DH3" i="30"/>
  <c r="DD3" i="30"/>
  <c r="CE3" i="30"/>
  <c r="AU3" i="30"/>
  <c r="AT3" i="30"/>
  <c r="AQ3" i="30"/>
  <c r="AO3" i="30"/>
  <c r="AM3" i="30"/>
  <c r="AK3" i="30"/>
  <c r="AG3" i="30"/>
  <c r="AB3" i="30"/>
  <c r="Y3" i="30"/>
  <c r="G23" i="31" s="1"/>
  <c r="G24" i="31" s="1"/>
  <c r="Q3" i="30"/>
  <c r="O3" i="30"/>
  <c r="AQ2" i="30"/>
  <c r="AO2" i="30"/>
  <c r="AM2" i="30"/>
  <c r="AK2" i="30"/>
  <c r="AG2" i="30"/>
  <c r="O2" i="30"/>
  <c r="BE5" i="37"/>
  <c r="BD5" i="37"/>
  <c r="BC5" i="37"/>
  <c r="BB5" i="37"/>
  <c r="BA5" i="37"/>
  <c r="AZ5" i="37"/>
  <c r="AY5" i="37"/>
  <c r="AX5" i="37"/>
  <c r="AW5" i="37"/>
  <c r="AV5" i="37"/>
  <c r="AU5" i="37"/>
  <c r="AT5" i="37"/>
  <c r="AS5" i="37"/>
  <c r="AR5" i="37"/>
  <c r="AQ5" i="37"/>
  <c r="AP5" i="37"/>
  <c r="AO5" i="37"/>
  <c r="AM5" i="37"/>
  <c r="AL5" i="37"/>
  <c r="AK5" i="37"/>
  <c r="AJ5" i="37"/>
  <c r="AI5" i="37"/>
  <c r="AH5" i="37"/>
  <c r="AG5" i="37"/>
  <c r="AF5" i="37"/>
  <c r="AE5" i="37"/>
  <c r="AD5" i="37"/>
  <c r="AC5" i="37"/>
  <c r="AB5" i="37"/>
  <c r="AA5" i="37"/>
  <c r="Z5" i="37"/>
  <c r="Y5" i="37"/>
  <c r="X5" i="37"/>
  <c r="C5" i="37"/>
  <c r="C4" i="37"/>
  <c r="E3" i="37"/>
  <c r="BE5" i="36"/>
  <c r="BD5" i="36"/>
  <c r="BC5" i="36"/>
  <c r="BB5" i="36"/>
  <c r="BA5" i="36"/>
  <c r="AZ5" i="36"/>
  <c r="AY5" i="36"/>
  <c r="AX5" i="36"/>
  <c r="AW5" i="36"/>
  <c r="AV5" i="36"/>
  <c r="AU5" i="36"/>
  <c r="AT5" i="36"/>
  <c r="AS5" i="36"/>
  <c r="AR5" i="36"/>
  <c r="AQ5" i="36"/>
  <c r="AP5" i="36"/>
  <c r="AO5" i="36"/>
  <c r="AM5" i="36"/>
  <c r="AL5" i="36"/>
  <c r="AK5" i="36"/>
  <c r="AJ5" i="36"/>
  <c r="AI5" i="36"/>
  <c r="AH5" i="36"/>
  <c r="AG5" i="36"/>
  <c r="AF5" i="36"/>
  <c r="AE5" i="36"/>
  <c r="AD5" i="36"/>
  <c r="AC5" i="36"/>
  <c r="AB5" i="36"/>
  <c r="AA5" i="36"/>
  <c r="Z5" i="36"/>
  <c r="Y5" i="36"/>
  <c r="X5" i="36"/>
  <c r="C5" i="36"/>
  <c r="C4" i="36"/>
  <c r="E3" i="36"/>
  <c r="BQ215" i="1"/>
  <c r="BP215" i="1"/>
  <c r="BO215" i="1"/>
  <c r="BN215" i="1"/>
  <c r="BM215" i="1"/>
  <c r="BL215" i="1"/>
  <c r="BK215" i="1"/>
  <c r="BJ215" i="1"/>
  <c r="BI215" i="1"/>
  <c r="BH215" i="1"/>
  <c r="BG215" i="1"/>
  <c r="BF215" i="1"/>
  <c r="BE215" i="1"/>
  <c r="BD215" i="1"/>
  <c r="BC215" i="1"/>
  <c r="BB215" i="1"/>
  <c r="BA214" i="1"/>
  <c r="BA213" i="1"/>
  <c r="BA212" i="1"/>
  <c r="BA211" i="1"/>
  <c r="BA210" i="1"/>
  <c r="BA209" i="1"/>
  <c r="BA208" i="1"/>
  <c r="BA207" i="1"/>
  <c r="BA206" i="1"/>
  <c r="BA205" i="1"/>
  <c r="BA204" i="1"/>
  <c r="BA203" i="1"/>
  <c r="BA202" i="1"/>
  <c r="BA201" i="1"/>
  <c r="BA200" i="1"/>
  <c r="BA199" i="1"/>
  <c r="BA198" i="1"/>
  <c r="BA197" i="1"/>
  <c r="BA196" i="1"/>
  <c r="BA195" i="1"/>
  <c r="BA194" i="1"/>
  <c r="BA193" i="1"/>
  <c r="BA192" i="1"/>
  <c r="BA191" i="1"/>
  <c r="BA190" i="1"/>
  <c r="BA189" i="1"/>
  <c r="BA188" i="1"/>
  <c r="BA187" i="1"/>
  <c r="BA186" i="1"/>
  <c r="BA185" i="1"/>
  <c r="BA184" i="1"/>
  <c r="BA183" i="1"/>
  <c r="BA182" i="1"/>
  <c r="BA181" i="1"/>
  <c r="BA180" i="1"/>
  <c r="BA179" i="1"/>
  <c r="BA178" i="1"/>
  <c r="BA177" i="1"/>
  <c r="BA176" i="1"/>
  <c r="BA175" i="1"/>
  <c r="BA174" i="1"/>
  <c r="BA173" i="1"/>
  <c r="BA172" i="1"/>
  <c r="BA171" i="1"/>
  <c r="BA170" i="1"/>
  <c r="BA169" i="1"/>
  <c r="BA168" i="1"/>
  <c r="BA167" i="1"/>
  <c r="BA166" i="1"/>
  <c r="BA165" i="1"/>
  <c r="BA164" i="1"/>
  <c r="BA163" i="1"/>
  <c r="BA162" i="1"/>
  <c r="BA161" i="1"/>
  <c r="BA160" i="1"/>
  <c r="BA159" i="1"/>
  <c r="BA158" i="1"/>
  <c r="BA157" i="1"/>
  <c r="BA156" i="1"/>
  <c r="BA155" i="1"/>
  <c r="BA154" i="1"/>
  <c r="BA153" i="1"/>
  <c r="BA152" i="1"/>
  <c r="BA151" i="1"/>
  <c r="BA150" i="1"/>
  <c r="BA149" i="1"/>
  <c r="BA148" i="1"/>
  <c r="BA147" i="1"/>
  <c r="BA146" i="1"/>
  <c r="BA145" i="1"/>
  <c r="BA144" i="1"/>
  <c r="BA143" i="1"/>
  <c r="BA142" i="1"/>
  <c r="BA141" i="1"/>
  <c r="BA140" i="1"/>
  <c r="BA139" i="1"/>
  <c r="BA138" i="1"/>
  <c r="BA137" i="1"/>
  <c r="BA136" i="1"/>
  <c r="BA135" i="1"/>
  <c r="BA134" i="1"/>
  <c r="BA133" i="1"/>
  <c r="BA132" i="1"/>
  <c r="BA131" i="1"/>
  <c r="BA130" i="1"/>
  <c r="BA129" i="1"/>
  <c r="BA128" i="1"/>
  <c r="BA127" i="1"/>
  <c r="BA126" i="1"/>
  <c r="BA125" i="1"/>
  <c r="BA124" i="1"/>
  <c r="BA123" i="1"/>
  <c r="BA122" i="1"/>
  <c r="BA121" i="1"/>
  <c r="BA120" i="1"/>
  <c r="BA119" i="1"/>
  <c r="BA118" i="1"/>
  <c r="BA117" i="1"/>
  <c r="BA116" i="1"/>
  <c r="BA115" i="1"/>
  <c r="FW106" i="1"/>
  <c r="FV106" i="1"/>
  <c r="FS106" i="1"/>
  <c r="FQ106" i="1"/>
  <c r="FE106" i="1"/>
  <c r="FD106" i="1"/>
  <c r="FC106" i="1"/>
  <c r="FB106" i="1"/>
  <c r="FA106" i="1"/>
  <c r="EZ106" i="1"/>
  <c r="EY106" i="1"/>
  <c r="EX106" i="1"/>
  <c r="EW106" i="1"/>
  <c r="EV106" i="1"/>
  <c r="EU106" i="1"/>
  <c r="ET106" i="1"/>
  <c r="ES106" i="1"/>
  <c r="EP106" i="1"/>
  <c r="EO106" i="1"/>
  <c r="EO106" i="1" a="1"/>
  <c r="EM106" i="1"/>
  <c r="EL106" i="1"/>
  <c r="EL106" i="1" a="1"/>
  <c r="EJ106" i="1"/>
  <c r="DT106" i="1"/>
  <c r="DD106" i="1"/>
  <c r="DC106" i="1"/>
  <c r="CG106" i="1"/>
  <c r="CF106" i="1"/>
  <c r="CF106" i="1" a="1"/>
  <c r="CE106" i="1"/>
  <c r="CD106" i="1"/>
  <c r="CA106" i="1"/>
  <c r="BY106" i="1"/>
  <c r="BA106" i="1"/>
  <c r="Z106" i="1"/>
  <c r="X106" i="1"/>
  <c r="T106" i="1"/>
  <c r="EI106" i="1" s="1"/>
  <c r="P106" i="1"/>
  <c r="A106" i="1"/>
  <c r="FW105" i="1"/>
  <c r="FV105" i="1"/>
  <c r="FS105" i="1"/>
  <c r="FQ105" i="1"/>
  <c r="FE105" i="1"/>
  <c r="FD105" i="1"/>
  <c r="FC105" i="1"/>
  <c r="FB105" i="1"/>
  <c r="FA105" i="1"/>
  <c r="EZ105" i="1"/>
  <c r="EY105" i="1"/>
  <c r="EX105" i="1"/>
  <c r="EW105" i="1"/>
  <c r="EV105" i="1"/>
  <c r="EU105" i="1"/>
  <c r="ET105" i="1"/>
  <c r="ES105" i="1"/>
  <c r="EP105" i="1"/>
  <c r="EO105" i="1"/>
  <c r="EO105" i="1" a="1"/>
  <c r="EM105" i="1"/>
  <c r="EL105" i="1"/>
  <c r="EL105" i="1" a="1"/>
  <c r="EJ105" i="1"/>
  <c r="EI105" i="1"/>
  <c r="EG105" i="1"/>
  <c r="DT105" i="1"/>
  <c r="DD105" i="1"/>
  <c r="DC105" i="1"/>
  <c r="CG105" i="1"/>
  <c r="CF105" i="1"/>
  <c r="CF105" i="1" a="1"/>
  <c r="CE105" i="1"/>
  <c r="CD105" i="1"/>
  <c r="CA105" i="1"/>
  <c r="BY105" i="1"/>
  <c r="BA105" i="1"/>
  <c r="Z105" i="1"/>
  <c r="X105" i="1"/>
  <c r="T105" i="1"/>
  <c r="EF105" i="1" s="1"/>
  <c r="P105" i="1"/>
  <c r="A105" i="1"/>
  <c r="FW104" i="1"/>
  <c r="FV104" i="1"/>
  <c r="FS104" i="1"/>
  <c r="FQ104" i="1"/>
  <c r="FE104" i="1"/>
  <c r="FD104" i="1"/>
  <c r="FC104" i="1"/>
  <c r="FB104" i="1"/>
  <c r="FA104" i="1"/>
  <c r="EZ104" i="1"/>
  <c r="EY104" i="1"/>
  <c r="EX104" i="1"/>
  <c r="EW104" i="1"/>
  <c r="EV104" i="1"/>
  <c r="EU104" i="1"/>
  <c r="ET104" i="1"/>
  <c r="ES104" i="1"/>
  <c r="EP104" i="1"/>
  <c r="EO104" i="1"/>
  <c r="EO104" i="1" a="1"/>
  <c r="EM104" i="1"/>
  <c r="EL104" i="1"/>
  <c r="EL104" i="1" a="1"/>
  <c r="EE104" i="1"/>
  <c r="ED104" i="1"/>
  <c r="DT104" i="1"/>
  <c r="DD104" i="1"/>
  <c r="DC104" i="1"/>
  <c r="CG104" i="1"/>
  <c r="CF104" i="1"/>
  <c r="CF104" i="1" a="1"/>
  <c r="CE104" i="1"/>
  <c r="CD104" i="1"/>
  <c r="CA104" i="1"/>
  <c r="BY104" i="1"/>
  <c r="BA104" i="1"/>
  <c r="Z104" i="1"/>
  <c r="X104" i="1"/>
  <c r="T104" i="1"/>
  <c r="EI104" i="1" s="1"/>
  <c r="P104" i="1"/>
  <c r="A104" i="1"/>
  <c r="FW103" i="1"/>
  <c r="FV103" i="1"/>
  <c r="FS103" i="1"/>
  <c r="FQ103" i="1"/>
  <c r="FE103" i="1"/>
  <c r="FD103" i="1"/>
  <c r="FC103" i="1"/>
  <c r="FB103" i="1"/>
  <c r="FA103" i="1"/>
  <c r="EZ103" i="1"/>
  <c r="EY103" i="1"/>
  <c r="EX103" i="1"/>
  <c r="EW103" i="1"/>
  <c r="EV103" i="1"/>
  <c r="EU103" i="1"/>
  <c r="ET103" i="1"/>
  <c r="ES103" i="1"/>
  <c r="EP103" i="1"/>
  <c r="EO103" i="1"/>
  <c r="EO103" i="1" a="1"/>
  <c r="EM103" i="1"/>
  <c r="EL103" i="1"/>
  <c r="EL103" i="1" a="1"/>
  <c r="EE103" i="1"/>
  <c r="DT103" i="1"/>
  <c r="DD103" i="1"/>
  <c r="DC103" i="1"/>
  <c r="CG103" i="1"/>
  <c r="CF103" i="1"/>
  <c r="CF103" i="1" a="1"/>
  <c r="CE103" i="1"/>
  <c r="CD103" i="1"/>
  <c r="CA103" i="1"/>
  <c r="BY103" i="1"/>
  <c r="BA103" i="1"/>
  <c r="Z103" i="1"/>
  <c r="X103" i="1"/>
  <c r="T103" i="1"/>
  <c r="ED103" i="1" s="1"/>
  <c r="P103" i="1"/>
  <c r="A103" i="1"/>
  <c r="FW102" i="1"/>
  <c r="FV102" i="1"/>
  <c r="FS102" i="1"/>
  <c r="FQ102" i="1"/>
  <c r="FE102" i="1"/>
  <c r="FD102" i="1"/>
  <c r="FC102" i="1"/>
  <c r="FB102" i="1"/>
  <c r="FA102" i="1"/>
  <c r="EZ102" i="1"/>
  <c r="EY102" i="1"/>
  <c r="EX102" i="1"/>
  <c r="EW102" i="1"/>
  <c r="EV102" i="1"/>
  <c r="EU102" i="1"/>
  <c r="ET102" i="1"/>
  <c r="ES102" i="1"/>
  <c r="EP102" i="1"/>
  <c r="EO102" i="1"/>
  <c r="EO102" i="1" a="1"/>
  <c r="EM102" i="1"/>
  <c r="EL102" i="1"/>
  <c r="EL102" i="1" a="1"/>
  <c r="EJ102" i="1"/>
  <c r="DT102" i="1"/>
  <c r="DD102" i="1"/>
  <c r="DC102" i="1"/>
  <c r="CG102" i="1"/>
  <c r="CF102" i="1"/>
  <c r="CF102" i="1" a="1"/>
  <c r="CE102" i="1"/>
  <c r="CD102" i="1"/>
  <c r="CA102" i="1"/>
  <c r="BY102" i="1"/>
  <c r="BA102" i="1"/>
  <c r="Z102" i="1"/>
  <c r="X102" i="1"/>
  <c r="T102" i="1"/>
  <c r="EI102" i="1" s="1"/>
  <c r="P102" i="1"/>
  <c r="A102" i="1"/>
  <c r="FW101" i="1"/>
  <c r="FV101" i="1"/>
  <c r="FS101" i="1"/>
  <c r="FQ101" i="1"/>
  <c r="FE101" i="1"/>
  <c r="FD101" i="1"/>
  <c r="FC101" i="1"/>
  <c r="FB101" i="1"/>
  <c r="FA101" i="1"/>
  <c r="EZ101" i="1"/>
  <c r="EY101" i="1"/>
  <c r="EX101" i="1"/>
  <c r="EW101" i="1"/>
  <c r="EV101" i="1"/>
  <c r="EU101" i="1"/>
  <c r="ET101" i="1"/>
  <c r="ES101" i="1"/>
  <c r="EP101" i="1"/>
  <c r="EO101" i="1"/>
  <c r="EO101" i="1" a="1"/>
  <c r="EM101" i="1"/>
  <c r="EL101" i="1"/>
  <c r="EL101" i="1" a="1"/>
  <c r="EJ101" i="1"/>
  <c r="EI101" i="1"/>
  <c r="EG101" i="1"/>
  <c r="DT101" i="1"/>
  <c r="DD101" i="1"/>
  <c r="DC101" i="1"/>
  <c r="CG101" i="1"/>
  <c r="CF101" i="1"/>
  <c r="CF101" i="1" a="1"/>
  <c r="CE101" i="1"/>
  <c r="CD101" i="1"/>
  <c r="CA101" i="1"/>
  <c r="BY101" i="1"/>
  <c r="BA101" i="1"/>
  <c r="Z101" i="1"/>
  <c r="X101" i="1"/>
  <c r="T101" i="1"/>
  <c r="EF101" i="1" s="1"/>
  <c r="P101" i="1"/>
  <c r="A101" i="1"/>
  <c r="FW100" i="1"/>
  <c r="FV100" i="1"/>
  <c r="FS100" i="1"/>
  <c r="FQ100" i="1"/>
  <c r="FE100" i="1"/>
  <c r="FD100" i="1"/>
  <c r="FC100" i="1"/>
  <c r="FB100" i="1"/>
  <c r="FA100" i="1"/>
  <c r="EZ100" i="1"/>
  <c r="EY100" i="1"/>
  <c r="EX100" i="1"/>
  <c r="EW100" i="1"/>
  <c r="EV100" i="1"/>
  <c r="EU100" i="1"/>
  <c r="ET100" i="1"/>
  <c r="ES100" i="1"/>
  <c r="EP100" i="1"/>
  <c r="EO100" i="1"/>
  <c r="EO100" i="1" a="1"/>
  <c r="EM100" i="1"/>
  <c r="EL100" i="1"/>
  <c r="EL100" i="1" a="1"/>
  <c r="ED100" i="1"/>
  <c r="DT100" i="1"/>
  <c r="DD100" i="1"/>
  <c r="DC100" i="1"/>
  <c r="CG100" i="1"/>
  <c r="CF100" i="1"/>
  <c r="CF100" i="1" a="1"/>
  <c r="CE100" i="1"/>
  <c r="CD100" i="1"/>
  <c r="CA100" i="1"/>
  <c r="BY100" i="1"/>
  <c r="BA100" i="1"/>
  <c r="Z100" i="1"/>
  <c r="X100" i="1"/>
  <c r="T100" i="1"/>
  <c r="EJ100" i="1" s="1"/>
  <c r="P100" i="1"/>
  <c r="A100" i="1"/>
  <c r="FW99" i="1"/>
  <c r="FV99" i="1"/>
  <c r="FS99" i="1"/>
  <c r="FQ99" i="1"/>
  <c r="FE99" i="1"/>
  <c r="FD99" i="1"/>
  <c r="FC99" i="1"/>
  <c r="FB99" i="1"/>
  <c r="FA99" i="1"/>
  <c r="EZ99" i="1"/>
  <c r="EY99" i="1"/>
  <c r="EX99" i="1"/>
  <c r="EW99" i="1"/>
  <c r="EV99" i="1"/>
  <c r="EU99" i="1"/>
  <c r="ET99" i="1"/>
  <c r="ES99" i="1"/>
  <c r="EP99" i="1"/>
  <c r="EO99" i="1"/>
  <c r="EO99" i="1" a="1"/>
  <c r="EM99" i="1"/>
  <c r="EL99" i="1"/>
  <c r="EL99" i="1" a="1"/>
  <c r="EJ99" i="1"/>
  <c r="EI99" i="1"/>
  <c r="EG99" i="1"/>
  <c r="EE99" i="1"/>
  <c r="ED99" i="1"/>
  <c r="DT99" i="1"/>
  <c r="DD99" i="1"/>
  <c r="DC99" i="1"/>
  <c r="CG99" i="1"/>
  <c r="CF99" i="1"/>
  <c r="CF99" i="1" a="1"/>
  <c r="CE99" i="1"/>
  <c r="CD99" i="1"/>
  <c r="CA99" i="1"/>
  <c r="BY99" i="1"/>
  <c r="BA99" i="1"/>
  <c r="Z99" i="1"/>
  <c r="X99" i="1"/>
  <c r="T99" i="1"/>
  <c r="EF99" i="1" s="1"/>
  <c r="P99" i="1"/>
  <c r="A99" i="1"/>
  <c r="FW98" i="1"/>
  <c r="FV98" i="1"/>
  <c r="FS98" i="1"/>
  <c r="FQ98" i="1"/>
  <c r="FE98" i="1"/>
  <c r="FD98" i="1"/>
  <c r="FC98" i="1"/>
  <c r="FB98" i="1"/>
  <c r="FA98" i="1"/>
  <c r="EZ98" i="1"/>
  <c r="EY98" i="1"/>
  <c r="EX98" i="1"/>
  <c r="EW98" i="1"/>
  <c r="EV98" i="1"/>
  <c r="EU98" i="1"/>
  <c r="ET98" i="1"/>
  <c r="ES98" i="1"/>
  <c r="EP98" i="1"/>
  <c r="EO98" i="1"/>
  <c r="EO98" i="1" a="1"/>
  <c r="EM98" i="1"/>
  <c r="EL98" i="1"/>
  <c r="EL98" i="1" a="1"/>
  <c r="EE98" i="1"/>
  <c r="ED98" i="1"/>
  <c r="DT98" i="1"/>
  <c r="DD98" i="1"/>
  <c r="DC98" i="1"/>
  <c r="CG98" i="1"/>
  <c r="CF98" i="1"/>
  <c r="CF98" i="1" a="1"/>
  <c r="CE98" i="1"/>
  <c r="CD98" i="1"/>
  <c r="CA98" i="1"/>
  <c r="BY98" i="1"/>
  <c r="BA98" i="1"/>
  <c r="Z98" i="1"/>
  <c r="X98" i="1"/>
  <c r="T98" i="1"/>
  <c r="EI98" i="1" s="1"/>
  <c r="P98" i="1"/>
  <c r="A98" i="1"/>
  <c r="FW97" i="1"/>
  <c r="FV97" i="1"/>
  <c r="FS97" i="1"/>
  <c r="FQ97" i="1"/>
  <c r="FF97" i="1"/>
  <c r="FE97" i="1"/>
  <c r="FD97" i="1"/>
  <c r="FC97" i="1"/>
  <c r="FB97" i="1"/>
  <c r="FA97" i="1"/>
  <c r="EZ97" i="1"/>
  <c r="EY97" i="1"/>
  <c r="EX97" i="1"/>
  <c r="EW97" i="1"/>
  <c r="EV97" i="1"/>
  <c r="EU97" i="1"/>
  <c r="ET97" i="1"/>
  <c r="ES97" i="1"/>
  <c r="EP97" i="1"/>
  <c r="EO97" i="1"/>
  <c r="EO97" i="1" a="1"/>
  <c r="EM97" i="1"/>
  <c r="EL97" i="1"/>
  <c r="EL97" i="1" a="1"/>
  <c r="EJ97" i="1"/>
  <c r="DT97" i="1"/>
  <c r="DD97" i="1"/>
  <c r="DC97" i="1"/>
  <c r="CG97" i="1"/>
  <c r="CF97" i="1"/>
  <c r="CF97" i="1" a="1"/>
  <c r="CE97" i="1"/>
  <c r="CD97" i="1"/>
  <c r="CA97" i="1"/>
  <c r="BY97" i="1"/>
  <c r="BA97" i="1"/>
  <c r="Z97" i="1"/>
  <c r="X97" i="1"/>
  <c r="T97" i="1"/>
  <c r="EI97" i="1" s="1"/>
  <c r="P97" i="1"/>
  <c r="A97" i="1"/>
  <c r="FW96" i="1"/>
  <c r="FV96" i="1"/>
  <c r="FS96" i="1"/>
  <c r="FQ96" i="1"/>
  <c r="FE96" i="1"/>
  <c r="FD96" i="1"/>
  <c r="FC96" i="1"/>
  <c r="FB96" i="1"/>
  <c r="FA96" i="1"/>
  <c r="EZ96" i="1"/>
  <c r="EY96" i="1"/>
  <c r="EX96" i="1"/>
  <c r="EW96" i="1"/>
  <c r="EV96" i="1"/>
  <c r="EU96" i="1"/>
  <c r="ET96" i="1"/>
  <c r="ES96" i="1"/>
  <c r="EP96" i="1"/>
  <c r="EO96" i="1"/>
  <c r="EO96" i="1" a="1"/>
  <c r="EM96" i="1"/>
  <c r="EL96" i="1"/>
  <c r="EL96" i="1" a="1"/>
  <c r="EJ96" i="1"/>
  <c r="EF96" i="1"/>
  <c r="DT96" i="1"/>
  <c r="DD96" i="1"/>
  <c r="DC96" i="1"/>
  <c r="CG96" i="1"/>
  <c r="CF96" i="1"/>
  <c r="CF96" i="1" a="1"/>
  <c r="CE96" i="1"/>
  <c r="CD96" i="1"/>
  <c r="CA96" i="1"/>
  <c r="BY96" i="1"/>
  <c r="BA96" i="1"/>
  <c r="Z96" i="1"/>
  <c r="X96" i="1"/>
  <c r="T96" i="1"/>
  <c r="EG96" i="1" s="1"/>
  <c r="P96" i="1"/>
  <c r="A96" i="1"/>
  <c r="FW95" i="1"/>
  <c r="FV95" i="1"/>
  <c r="FS95" i="1"/>
  <c r="FQ95" i="1"/>
  <c r="FE95" i="1"/>
  <c r="FD95" i="1"/>
  <c r="FC95" i="1"/>
  <c r="FB95" i="1"/>
  <c r="FA95" i="1"/>
  <c r="EZ95" i="1"/>
  <c r="EY95" i="1"/>
  <c r="EX95" i="1"/>
  <c r="EW95" i="1"/>
  <c r="EV95" i="1"/>
  <c r="EU95" i="1"/>
  <c r="ET95" i="1"/>
  <c r="ES95" i="1"/>
  <c r="EP95" i="1"/>
  <c r="EO95" i="1"/>
  <c r="EO95" i="1" a="1"/>
  <c r="EM95" i="1"/>
  <c r="EL95" i="1"/>
  <c r="EL95" i="1" a="1"/>
  <c r="EI95" i="1"/>
  <c r="EE95" i="1"/>
  <c r="ED95" i="1"/>
  <c r="DT95" i="1"/>
  <c r="DD95" i="1"/>
  <c r="DC95" i="1"/>
  <c r="CG95" i="1"/>
  <c r="CF95" i="1"/>
  <c r="CF95" i="1" a="1"/>
  <c r="CE95" i="1"/>
  <c r="CD95" i="1"/>
  <c r="CA95" i="1"/>
  <c r="BY95" i="1"/>
  <c r="BA95" i="1"/>
  <c r="Z95" i="1"/>
  <c r="X95" i="1"/>
  <c r="T95" i="1"/>
  <c r="EJ95" i="1" s="1"/>
  <c r="P95" i="1"/>
  <c r="A95" i="1"/>
  <c r="FW94" i="1"/>
  <c r="FV94" i="1"/>
  <c r="FS94" i="1"/>
  <c r="FQ94" i="1"/>
  <c r="FF94" i="1"/>
  <c r="FE94" i="1"/>
  <c r="FD94" i="1"/>
  <c r="FC94" i="1"/>
  <c r="FB94" i="1"/>
  <c r="FA94" i="1"/>
  <c r="EZ94" i="1"/>
  <c r="EY94" i="1"/>
  <c r="EX94" i="1"/>
  <c r="EW94" i="1"/>
  <c r="EV94" i="1"/>
  <c r="EU94" i="1"/>
  <c r="ET94" i="1"/>
  <c r="ES94" i="1"/>
  <c r="EP94" i="1"/>
  <c r="EO94" i="1"/>
  <c r="EO94" i="1" a="1"/>
  <c r="EM94" i="1"/>
  <c r="EL94" i="1"/>
  <c r="EL94" i="1" a="1"/>
  <c r="ED94" i="1"/>
  <c r="DT94" i="1"/>
  <c r="DD94" i="1"/>
  <c r="DC94" i="1"/>
  <c r="CG94" i="1"/>
  <c r="CF94" i="1"/>
  <c r="CF94" i="1" a="1"/>
  <c r="CE94" i="1"/>
  <c r="CD94" i="1"/>
  <c r="CA94" i="1"/>
  <c r="BY94" i="1"/>
  <c r="BA94" i="1"/>
  <c r="Z94" i="1"/>
  <c r="X94" i="1"/>
  <c r="T94" i="1"/>
  <c r="EE94" i="1" s="1"/>
  <c r="P94" i="1"/>
  <c r="A94" i="1"/>
  <c r="FW93" i="1"/>
  <c r="FV93" i="1"/>
  <c r="FS93" i="1"/>
  <c r="FQ93" i="1"/>
  <c r="FE93" i="1"/>
  <c r="FD93" i="1"/>
  <c r="FC93" i="1"/>
  <c r="FB93" i="1"/>
  <c r="FA93" i="1"/>
  <c r="EZ93" i="1"/>
  <c r="EY93" i="1"/>
  <c r="EX93" i="1"/>
  <c r="EW93" i="1"/>
  <c r="EV93" i="1"/>
  <c r="EU93" i="1"/>
  <c r="ET93" i="1"/>
  <c r="ES93" i="1"/>
  <c r="EP93" i="1"/>
  <c r="EO93" i="1"/>
  <c r="EO93" i="1" a="1"/>
  <c r="EM93" i="1"/>
  <c r="EL93" i="1"/>
  <c r="EL93" i="1" a="1"/>
  <c r="DT93" i="1"/>
  <c r="DD93" i="1"/>
  <c r="DC93" i="1"/>
  <c r="CG93" i="1"/>
  <c r="CF93" i="1"/>
  <c r="CF93" i="1" a="1"/>
  <c r="CE93" i="1"/>
  <c r="CD93" i="1"/>
  <c r="CA93" i="1"/>
  <c r="BY93" i="1"/>
  <c r="BA93" i="1"/>
  <c r="Z93" i="1"/>
  <c r="X93" i="1"/>
  <c r="T93" i="1"/>
  <c r="EJ93" i="1" s="1"/>
  <c r="P93" i="1"/>
  <c r="A93" i="1"/>
  <c r="FW92" i="1"/>
  <c r="FV92" i="1"/>
  <c r="FS92" i="1"/>
  <c r="FQ92" i="1"/>
  <c r="FE92" i="1"/>
  <c r="FD92" i="1"/>
  <c r="FC92" i="1"/>
  <c r="FB92" i="1"/>
  <c r="FA92" i="1"/>
  <c r="EZ92" i="1"/>
  <c r="EY92" i="1"/>
  <c r="EX92" i="1"/>
  <c r="EW92" i="1"/>
  <c r="EV92" i="1"/>
  <c r="EU92" i="1"/>
  <c r="ET92" i="1"/>
  <c r="ES92" i="1"/>
  <c r="EP92" i="1"/>
  <c r="EO92" i="1"/>
  <c r="EO92" i="1" a="1"/>
  <c r="EM92" i="1"/>
  <c r="EL92" i="1"/>
  <c r="EL92" i="1" a="1"/>
  <c r="EG92" i="1"/>
  <c r="ED92" i="1"/>
  <c r="DT92" i="1"/>
  <c r="DD92" i="1"/>
  <c r="DC92" i="1"/>
  <c r="CG92" i="1"/>
  <c r="CF92" i="1"/>
  <c r="CF92" i="1" a="1"/>
  <c r="CE92" i="1"/>
  <c r="CD92" i="1"/>
  <c r="CA92" i="1"/>
  <c r="BY92" i="1"/>
  <c r="BA92" i="1"/>
  <c r="Z92" i="1"/>
  <c r="X92" i="1"/>
  <c r="T92" i="1"/>
  <c r="EI92" i="1" s="1"/>
  <c r="P92" i="1"/>
  <c r="A92" i="1"/>
  <c r="FW91" i="1"/>
  <c r="FV91" i="1"/>
  <c r="FS91" i="1"/>
  <c r="FQ91" i="1"/>
  <c r="FE91" i="1"/>
  <c r="FD91" i="1"/>
  <c r="FC91" i="1"/>
  <c r="FB91" i="1"/>
  <c r="FA91" i="1"/>
  <c r="EZ91" i="1"/>
  <c r="EY91" i="1"/>
  <c r="EX91" i="1"/>
  <c r="EW91" i="1"/>
  <c r="EV91" i="1"/>
  <c r="EU91" i="1"/>
  <c r="ET91" i="1"/>
  <c r="ES91" i="1"/>
  <c r="EP91" i="1"/>
  <c r="EO91" i="1"/>
  <c r="EO91" i="1" a="1"/>
  <c r="EM91" i="1"/>
  <c r="EL91" i="1"/>
  <c r="EL91" i="1" a="1"/>
  <c r="EJ91" i="1"/>
  <c r="EF91" i="1"/>
  <c r="DT91" i="1"/>
  <c r="DD91" i="1"/>
  <c r="DC91" i="1"/>
  <c r="CG91" i="1"/>
  <c r="CF91" i="1"/>
  <c r="CF91" i="1" a="1"/>
  <c r="CE91" i="1"/>
  <c r="CD91" i="1"/>
  <c r="CA91" i="1"/>
  <c r="BY91" i="1"/>
  <c r="BA91" i="1"/>
  <c r="Z91" i="1"/>
  <c r="X91" i="1"/>
  <c r="T91" i="1"/>
  <c r="EG91" i="1" s="1"/>
  <c r="P91" i="1"/>
  <c r="A91" i="1"/>
  <c r="FW90" i="1"/>
  <c r="FV90" i="1"/>
  <c r="FS90" i="1"/>
  <c r="FQ90" i="1"/>
  <c r="FF90" i="1"/>
  <c r="FE90" i="1"/>
  <c r="FD90" i="1"/>
  <c r="FC90" i="1"/>
  <c r="FB90" i="1"/>
  <c r="FA90" i="1"/>
  <c r="EZ90" i="1"/>
  <c r="EY90" i="1"/>
  <c r="EX90" i="1"/>
  <c r="EW90" i="1"/>
  <c r="EV90" i="1"/>
  <c r="EU90" i="1"/>
  <c r="ET90" i="1"/>
  <c r="ES90" i="1"/>
  <c r="EP90" i="1"/>
  <c r="EO90" i="1"/>
  <c r="EO90" i="1" a="1"/>
  <c r="EM90" i="1"/>
  <c r="EL90" i="1"/>
  <c r="EL90" i="1" a="1"/>
  <c r="EE90" i="1"/>
  <c r="DT90" i="1"/>
  <c r="DD90" i="1"/>
  <c r="DC90" i="1"/>
  <c r="CG90" i="1"/>
  <c r="CF90" i="1"/>
  <c r="CF90" i="1" a="1"/>
  <c r="CE90" i="1"/>
  <c r="CD90" i="1"/>
  <c r="CA90" i="1"/>
  <c r="BY90" i="1"/>
  <c r="BA90" i="1"/>
  <c r="Z90" i="1"/>
  <c r="X90" i="1"/>
  <c r="T90" i="1"/>
  <c r="ED90" i="1" s="1"/>
  <c r="P90" i="1"/>
  <c r="A90" i="1"/>
  <c r="FW89" i="1"/>
  <c r="FV89" i="1"/>
  <c r="FS89" i="1"/>
  <c r="FQ89" i="1"/>
  <c r="FE89" i="1"/>
  <c r="FD89" i="1"/>
  <c r="FC89" i="1"/>
  <c r="FB89" i="1"/>
  <c r="FA89" i="1"/>
  <c r="EZ89" i="1"/>
  <c r="EY89" i="1"/>
  <c r="EX89" i="1"/>
  <c r="EW89" i="1"/>
  <c r="EV89" i="1"/>
  <c r="EU89" i="1"/>
  <c r="ET89" i="1"/>
  <c r="ES89" i="1"/>
  <c r="EP89" i="1"/>
  <c r="EO89" i="1"/>
  <c r="EO89" i="1" a="1"/>
  <c r="EM89" i="1"/>
  <c r="EL89" i="1"/>
  <c r="EL89" i="1" a="1"/>
  <c r="EE89" i="1"/>
  <c r="DT89" i="1"/>
  <c r="DD89" i="1"/>
  <c r="DC89" i="1"/>
  <c r="CG89" i="1"/>
  <c r="CF89" i="1"/>
  <c r="CF89" i="1" a="1"/>
  <c r="CE89" i="1"/>
  <c r="CD89" i="1"/>
  <c r="CA89" i="1"/>
  <c r="BY89" i="1"/>
  <c r="BA89" i="1"/>
  <c r="Z89" i="1"/>
  <c r="X89" i="1"/>
  <c r="T89" i="1"/>
  <c r="EJ89" i="1" s="1"/>
  <c r="P89" i="1"/>
  <c r="A89" i="1"/>
  <c r="FW88" i="1"/>
  <c r="FV88" i="1"/>
  <c r="FS88" i="1"/>
  <c r="FQ88" i="1"/>
  <c r="FF88" i="1"/>
  <c r="FE88" i="1"/>
  <c r="FD88" i="1"/>
  <c r="FC88" i="1"/>
  <c r="FB88" i="1"/>
  <c r="FA88" i="1"/>
  <c r="EZ88" i="1"/>
  <c r="EY88" i="1"/>
  <c r="EX88" i="1"/>
  <c r="EW88" i="1"/>
  <c r="EV88" i="1"/>
  <c r="EU88" i="1"/>
  <c r="ET88" i="1"/>
  <c r="ES88" i="1"/>
  <c r="EP88" i="1"/>
  <c r="EO88" i="1"/>
  <c r="EO88" i="1" a="1"/>
  <c r="EM88" i="1"/>
  <c r="EL88" i="1"/>
  <c r="EL88" i="1" a="1"/>
  <c r="EJ88" i="1"/>
  <c r="EI88" i="1"/>
  <c r="DT88" i="1"/>
  <c r="DD88" i="1"/>
  <c r="DC88" i="1"/>
  <c r="CG88" i="1"/>
  <c r="CF88" i="1"/>
  <c r="CF88" i="1" a="1"/>
  <c r="CE88" i="1"/>
  <c r="CD88" i="1"/>
  <c r="CA88" i="1"/>
  <c r="BY88" i="1"/>
  <c r="BA88" i="1"/>
  <c r="Z88" i="1"/>
  <c r="X88" i="1"/>
  <c r="T88" i="1"/>
  <c r="EG88" i="1" s="1"/>
  <c r="P88" i="1"/>
  <c r="A88" i="1"/>
  <c r="FW87" i="1"/>
  <c r="FV87" i="1"/>
  <c r="FS87" i="1"/>
  <c r="FQ87" i="1"/>
  <c r="FF87" i="1"/>
  <c r="FE87" i="1"/>
  <c r="FD87" i="1"/>
  <c r="FC87" i="1"/>
  <c r="FB87" i="1"/>
  <c r="FA87" i="1"/>
  <c r="EZ87" i="1"/>
  <c r="EY87" i="1"/>
  <c r="EX87" i="1"/>
  <c r="EW87" i="1"/>
  <c r="EV87" i="1"/>
  <c r="EU87" i="1"/>
  <c r="ET87" i="1"/>
  <c r="ES87" i="1"/>
  <c r="EP87" i="1"/>
  <c r="EO87" i="1"/>
  <c r="EO87" i="1" a="1"/>
  <c r="EM87" i="1"/>
  <c r="EL87" i="1"/>
  <c r="EL87" i="1" a="1"/>
  <c r="DT87" i="1"/>
  <c r="DD87" i="1"/>
  <c r="DC87" i="1"/>
  <c r="CG87" i="1"/>
  <c r="CF87" i="1"/>
  <c r="CF87" i="1" a="1"/>
  <c r="CE87" i="1"/>
  <c r="CD87" i="1"/>
  <c r="CA87" i="1"/>
  <c r="BY87" i="1"/>
  <c r="BA87" i="1"/>
  <c r="Z87" i="1"/>
  <c r="X87" i="1"/>
  <c r="T87" i="1"/>
  <c r="EJ87" i="1" s="1"/>
  <c r="P87" i="1"/>
  <c r="A87" i="1"/>
  <c r="FW86" i="1"/>
  <c r="FV86" i="1"/>
  <c r="FS86" i="1"/>
  <c r="FQ86" i="1"/>
  <c r="FE86" i="1"/>
  <c r="FD86" i="1"/>
  <c r="FC86" i="1"/>
  <c r="FB86" i="1"/>
  <c r="FA86" i="1"/>
  <c r="EZ86" i="1"/>
  <c r="EY86" i="1"/>
  <c r="EX86" i="1"/>
  <c r="EW86" i="1"/>
  <c r="EV86" i="1"/>
  <c r="EU86" i="1"/>
  <c r="ET86" i="1"/>
  <c r="ES86" i="1"/>
  <c r="EP86" i="1"/>
  <c r="EO86" i="1"/>
  <c r="EO86" i="1" a="1"/>
  <c r="EM86" i="1"/>
  <c r="EL86" i="1"/>
  <c r="EL86" i="1" a="1"/>
  <c r="EI86" i="1"/>
  <c r="ED86" i="1"/>
  <c r="DT86" i="1"/>
  <c r="DD86" i="1"/>
  <c r="DC86" i="1"/>
  <c r="CG86" i="1"/>
  <c r="CF86" i="1"/>
  <c r="CF86" i="1" a="1"/>
  <c r="CE86" i="1"/>
  <c r="CD86" i="1"/>
  <c r="CA86" i="1"/>
  <c r="BY86" i="1"/>
  <c r="BA86" i="1"/>
  <c r="Z86" i="1"/>
  <c r="X86" i="1"/>
  <c r="T86" i="1"/>
  <c r="EG86" i="1" s="1"/>
  <c r="P86" i="1"/>
  <c r="A86" i="1"/>
  <c r="FW85" i="1"/>
  <c r="FV85" i="1"/>
  <c r="FS85" i="1"/>
  <c r="FQ85" i="1"/>
  <c r="FE85" i="1"/>
  <c r="FD85" i="1"/>
  <c r="FC85" i="1"/>
  <c r="FB85" i="1"/>
  <c r="FA85" i="1"/>
  <c r="EZ85" i="1"/>
  <c r="EY85" i="1"/>
  <c r="EX85" i="1"/>
  <c r="EW85" i="1"/>
  <c r="EV85" i="1"/>
  <c r="EU85" i="1"/>
  <c r="ET85" i="1"/>
  <c r="ES85" i="1"/>
  <c r="EP85" i="1"/>
  <c r="EO85" i="1"/>
  <c r="EO85" i="1" a="1"/>
  <c r="EM85" i="1"/>
  <c r="EL85" i="1"/>
  <c r="EL85" i="1" a="1"/>
  <c r="EI85" i="1"/>
  <c r="EE85" i="1"/>
  <c r="ED85" i="1"/>
  <c r="DT85" i="1"/>
  <c r="DD85" i="1"/>
  <c r="DC85" i="1"/>
  <c r="CG85" i="1"/>
  <c r="CF85" i="1"/>
  <c r="CF85" i="1" a="1"/>
  <c r="CE85" i="1"/>
  <c r="CD85" i="1"/>
  <c r="CA85" i="1"/>
  <c r="BY85" i="1"/>
  <c r="BA85" i="1"/>
  <c r="Z85" i="1"/>
  <c r="X85" i="1"/>
  <c r="T85" i="1"/>
  <c r="EG85" i="1" s="1"/>
  <c r="P85" i="1"/>
  <c r="A85" i="1"/>
  <c r="FW84" i="1"/>
  <c r="FV84" i="1"/>
  <c r="FS84" i="1"/>
  <c r="FQ84" i="1"/>
  <c r="FE84" i="1"/>
  <c r="FD84" i="1"/>
  <c r="FC84" i="1"/>
  <c r="FB84" i="1"/>
  <c r="FA84" i="1"/>
  <c r="EZ84" i="1"/>
  <c r="EY84" i="1"/>
  <c r="EX84" i="1"/>
  <c r="EW84" i="1"/>
  <c r="EV84" i="1"/>
  <c r="EU84" i="1"/>
  <c r="ET84" i="1"/>
  <c r="ES84" i="1"/>
  <c r="EP84" i="1"/>
  <c r="EO84" i="1"/>
  <c r="EO84" i="1" a="1"/>
  <c r="EM84" i="1"/>
  <c r="EL84" i="1"/>
  <c r="EL84" i="1" a="1"/>
  <c r="EI84" i="1"/>
  <c r="DT84" i="1"/>
  <c r="DD84" i="1"/>
  <c r="DC84" i="1"/>
  <c r="CG84" i="1"/>
  <c r="CF84" i="1"/>
  <c r="CF84" i="1" a="1"/>
  <c r="CE84" i="1"/>
  <c r="CD84" i="1"/>
  <c r="CA84" i="1"/>
  <c r="BY84" i="1"/>
  <c r="BA84" i="1"/>
  <c r="Z84" i="1"/>
  <c r="X84" i="1"/>
  <c r="T84" i="1"/>
  <c r="EG84" i="1" s="1"/>
  <c r="P84" i="1"/>
  <c r="A84" i="1"/>
  <c r="FW83" i="1"/>
  <c r="FV83" i="1"/>
  <c r="FS83" i="1"/>
  <c r="FQ83" i="1"/>
  <c r="FD83" i="1"/>
  <c r="FC83" i="1"/>
  <c r="FB83" i="1"/>
  <c r="FA83" i="1"/>
  <c r="EZ83" i="1"/>
  <c r="EY83" i="1"/>
  <c r="EX83" i="1"/>
  <c r="EW83" i="1"/>
  <c r="EV83" i="1"/>
  <c r="EU83" i="1"/>
  <c r="ET83" i="1"/>
  <c r="ES83" i="1"/>
  <c r="EP83" i="1"/>
  <c r="EO83" i="1"/>
  <c r="EO83" i="1" a="1"/>
  <c r="EM83" i="1"/>
  <c r="EL83" i="1"/>
  <c r="EL83" i="1" a="1"/>
  <c r="EJ83" i="1"/>
  <c r="EE83" i="1"/>
  <c r="ED83" i="1"/>
  <c r="DT83" i="1"/>
  <c r="DD83" i="1"/>
  <c r="DC83" i="1"/>
  <c r="CG83" i="1"/>
  <c r="CF83" i="1"/>
  <c r="CF83" i="1" a="1"/>
  <c r="CE83" i="1"/>
  <c r="CD83" i="1"/>
  <c r="CA83" i="1"/>
  <c r="BY83" i="1"/>
  <c r="BA83" i="1"/>
  <c r="Z83" i="1"/>
  <c r="X83" i="1"/>
  <c r="T83" i="1"/>
  <c r="EI83" i="1" s="1"/>
  <c r="P83" i="1"/>
  <c r="A83" i="1"/>
  <c r="FW82" i="1"/>
  <c r="FV82" i="1"/>
  <c r="FS82" i="1"/>
  <c r="FQ82" i="1"/>
  <c r="FF82" i="1"/>
  <c r="FE82" i="1"/>
  <c r="FD82" i="1"/>
  <c r="FC82" i="1"/>
  <c r="FB82" i="1"/>
  <c r="FA82" i="1"/>
  <c r="EZ82" i="1"/>
  <c r="EY82" i="1"/>
  <c r="EX82" i="1"/>
  <c r="EW82" i="1"/>
  <c r="EV82" i="1"/>
  <c r="EU82" i="1"/>
  <c r="ET82" i="1"/>
  <c r="ES82" i="1"/>
  <c r="EP82" i="1"/>
  <c r="EO82" i="1"/>
  <c r="EO82" i="1" a="1"/>
  <c r="EM82" i="1"/>
  <c r="EL82" i="1"/>
  <c r="EL82" i="1" a="1"/>
  <c r="EJ82" i="1"/>
  <c r="EG82" i="1"/>
  <c r="DT82" i="1"/>
  <c r="DD82" i="1"/>
  <c r="DC82" i="1"/>
  <c r="CG82" i="1"/>
  <c r="CF82" i="1"/>
  <c r="CF82" i="1" a="1"/>
  <c r="CE82" i="1"/>
  <c r="CD82" i="1"/>
  <c r="CA82" i="1"/>
  <c r="BY82" i="1"/>
  <c r="BA82" i="1"/>
  <c r="Z82" i="1"/>
  <c r="X82" i="1"/>
  <c r="T82" i="1"/>
  <c r="EI82" i="1" s="1"/>
  <c r="P82" i="1"/>
  <c r="A82" i="1"/>
  <c r="FW81" i="1"/>
  <c r="FV81" i="1"/>
  <c r="FS81" i="1"/>
  <c r="FQ81" i="1"/>
  <c r="FF81" i="1"/>
  <c r="FE81" i="1"/>
  <c r="FD81" i="1"/>
  <c r="FC81" i="1"/>
  <c r="FB81" i="1"/>
  <c r="FA81" i="1"/>
  <c r="EZ81" i="1"/>
  <c r="EY81" i="1"/>
  <c r="EX81" i="1"/>
  <c r="EW81" i="1"/>
  <c r="EV81" i="1"/>
  <c r="EU81" i="1"/>
  <c r="ET81" i="1"/>
  <c r="ES81" i="1"/>
  <c r="EP81" i="1"/>
  <c r="EO81" i="1"/>
  <c r="EO81" i="1" a="1"/>
  <c r="EM81" i="1"/>
  <c r="EL81" i="1"/>
  <c r="EL81" i="1" a="1"/>
  <c r="EE81" i="1"/>
  <c r="DT81" i="1"/>
  <c r="DD81" i="1"/>
  <c r="DC81" i="1"/>
  <c r="CG81" i="1"/>
  <c r="CF81" i="1"/>
  <c r="CF81" i="1" a="1"/>
  <c r="CE81" i="1"/>
  <c r="CD81" i="1"/>
  <c r="CA81" i="1"/>
  <c r="BY81" i="1"/>
  <c r="BA81" i="1"/>
  <c r="Z81" i="1"/>
  <c r="X81" i="1"/>
  <c r="T81" i="1"/>
  <c r="ED81" i="1" s="1"/>
  <c r="P81" i="1"/>
  <c r="A81" i="1"/>
  <c r="FW80" i="1"/>
  <c r="FV80" i="1"/>
  <c r="FS80" i="1"/>
  <c r="FQ80" i="1"/>
  <c r="FG80" i="1"/>
  <c r="FF80" i="1"/>
  <c r="FE80" i="1"/>
  <c r="FD80" i="1"/>
  <c r="FC80" i="1"/>
  <c r="FB80" i="1"/>
  <c r="FA80" i="1"/>
  <c r="EZ80" i="1"/>
  <c r="EY80" i="1"/>
  <c r="EX80" i="1"/>
  <c r="EW80" i="1"/>
  <c r="EV80" i="1"/>
  <c r="EU80" i="1"/>
  <c r="ET80" i="1"/>
  <c r="ES80" i="1"/>
  <c r="EP80" i="1"/>
  <c r="EO80" i="1"/>
  <c r="EO80" i="1" a="1"/>
  <c r="EM80" i="1"/>
  <c r="EL80" i="1"/>
  <c r="EL80" i="1" a="1"/>
  <c r="EE80" i="1"/>
  <c r="DT80" i="1"/>
  <c r="DD80" i="1"/>
  <c r="DC80" i="1"/>
  <c r="CG80" i="1"/>
  <c r="CF80" i="1"/>
  <c r="CF80" i="1" a="1"/>
  <c r="CE80" i="1"/>
  <c r="CD80" i="1"/>
  <c r="CA80" i="1"/>
  <c r="BY80" i="1"/>
  <c r="BA80" i="1"/>
  <c r="Z80" i="1"/>
  <c r="X80" i="1"/>
  <c r="T80" i="1"/>
  <c r="EI80" i="1" s="1"/>
  <c r="P80" i="1"/>
  <c r="A80" i="1"/>
  <c r="FW79" i="1"/>
  <c r="FV79" i="1"/>
  <c r="FS79" i="1"/>
  <c r="FQ79" i="1"/>
  <c r="FF79" i="1"/>
  <c r="FE79" i="1"/>
  <c r="FD79" i="1"/>
  <c r="FC79" i="1"/>
  <c r="FB79" i="1"/>
  <c r="FA79" i="1"/>
  <c r="EZ79" i="1"/>
  <c r="EY79" i="1"/>
  <c r="EX79" i="1"/>
  <c r="EW79" i="1"/>
  <c r="EV79" i="1"/>
  <c r="EU79" i="1"/>
  <c r="ET79" i="1"/>
  <c r="ES79" i="1"/>
  <c r="EP79" i="1"/>
  <c r="EO79" i="1"/>
  <c r="EO79" i="1" a="1"/>
  <c r="EM79" i="1"/>
  <c r="EL79" i="1"/>
  <c r="EL79" i="1" a="1"/>
  <c r="DT79" i="1"/>
  <c r="DD79" i="1"/>
  <c r="DC79" i="1"/>
  <c r="CG79" i="1"/>
  <c r="CF79" i="1"/>
  <c r="CF79" i="1" a="1"/>
  <c r="CE79" i="1"/>
  <c r="CD79" i="1"/>
  <c r="CA79" i="1"/>
  <c r="BY79" i="1"/>
  <c r="BA79" i="1"/>
  <c r="Z79" i="1"/>
  <c r="X79" i="1"/>
  <c r="T79" i="1"/>
  <c r="EG79" i="1" s="1"/>
  <c r="P79" i="1"/>
  <c r="A79" i="1"/>
  <c r="FW78" i="1"/>
  <c r="FV78" i="1"/>
  <c r="FS78" i="1"/>
  <c r="FQ78" i="1"/>
  <c r="FE78" i="1"/>
  <c r="FD78" i="1"/>
  <c r="FC78" i="1"/>
  <c r="FB78" i="1"/>
  <c r="FA78" i="1"/>
  <c r="EZ78" i="1"/>
  <c r="EY78" i="1"/>
  <c r="EX78" i="1"/>
  <c r="EW78" i="1"/>
  <c r="EV78" i="1"/>
  <c r="EU78" i="1"/>
  <c r="ET78" i="1"/>
  <c r="ES78" i="1"/>
  <c r="EP78" i="1"/>
  <c r="EO78" i="1"/>
  <c r="EO78" i="1" a="1"/>
  <c r="EM78" i="1"/>
  <c r="EL78" i="1"/>
  <c r="EL78" i="1" a="1"/>
  <c r="EJ78" i="1"/>
  <c r="DT78" i="1"/>
  <c r="DD78" i="1"/>
  <c r="DC78" i="1"/>
  <c r="CG78" i="1"/>
  <c r="CF78" i="1"/>
  <c r="CF78" i="1" a="1"/>
  <c r="CE78" i="1"/>
  <c r="CD78" i="1"/>
  <c r="CA78" i="1"/>
  <c r="BY78" i="1"/>
  <c r="BA78" i="1"/>
  <c r="Z78" i="1"/>
  <c r="X78" i="1"/>
  <c r="T78" i="1"/>
  <c r="EG78" i="1" s="1"/>
  <c r="P78" i="1"/>
  <c r="A78" i="1"/>
  <c r="FW77" i="1"/>
  <c r="FV77" i="1"/>
  <c r="FS77" i="1"/>
  <c r="FQ77" i="1"/>
  <c r="FE77" i="1"/>
  <c r="FD77" i="1"/>
  <c r="FC77" i="1"/>
  <c r="FB77" i="1"/>
  <c r="FA77" i="1"/>
  <c r="EZ77" i="1"/>
  <c r="EY77" i="1"/>
  <c r="EX77" i="1"/>
  <c r="EW77" i="1"/>
  <c r="EV77" i="1"/>
  <c r="EU77" i="1"/>
  <c r="ET77" i="1"/>
  <c r="ES77" i="1"/>
  <c r="EP77" i="1"/>
  <c r="EO77" i="1"/>
  <c r="EO77" i="1" a="1"/>
  <c r="EM77" i="1"/>
  <c r="EL77" i="1"/>
  <c r="EL77" i="1" a="1"/>
  <c r="EI77" i="1"/>
  <c r="EE77" i="1"/>
  <c r="ED77" i="1"/>
  <c r="DT77" i="1"/>
  <c r="DD77" i="1"/>
  <c r="DC77" i="1"/>
  <c r="CG77" i="1"/>
  <c r="CF77" i="1"/>
  <c r="CF77" i="1" a="1"/>
  <c r="CE77" i="1"/>
  <c r="CD77" i="1"/>
  <c r="CA77" i="1"/>
  <c r="BY77" i="1"/>
  <c r="BA77" i="1"/>
  <c r="Z77" i="1"/>
  <c r="X77" i="1"/>
  <c r="T77" i="1"/>
  <c r="EG77" i="1" s="1"/>
  <c r="P77" i="1"/>
  <c r="A77" i="1"/>
  <c r="FW76" i="1"/>
  <c r="FV76" i="1"/>
  <c r="FS76" i="1"/>
  <c r="FQ76" i="1"/>
  <c r="FF76" i="1"/>
  <c r="FE76" i="1"/>
  <c r="FD76" i="1"/>
  <c r="FC76" i="1"/>
  <c r="FB76" i="1"/>
  <c r="FA76" i="1"/>
  <c r="EZ76" i="1"/>
  <c r="EY76" i="1"/>
  <c r="EX76" i="1"/>
  <c r="EW76" i="1"/>
  <c r="EV76" i="1"/>
  <c r="EU76" i="1"/>
  <c r="ET76" i="1"/>
  <c r="ES76" i="1"/>
  <c r="EP76" i="1"/>
  <c r="EO76" i="1"/>
  <c r="EO76" i="1" a="1"/>
  <c r="EM76" i="1"/>
  <c r="EL76" i="1"/>
  <c r="EL76" i="1" a="1"/>
  <c r="EE76" i="1"/>
  <c r="DT76" i="1"/>
  <c r="DD76" i="1"/>
  <c r="DC76" i="1"/>
  <c r="CG76" i="1"/>
  <c r="CF76" i="1"/>
  <c r="CF76" i="1" a="1"/>
  <c r="CE76" i="1"/>
  <c r="CD76" i="1"/>
  <c r="CA76" i="1"/>
  <c r="BY76" i="1"/>
  <c r="BA76" i="1"/>
  <c r="Z76" i="1"/>
  <c r="X76" i="1"/>
  <c r="T76" i="1"/>
  <c r="EJ76" i="1" s="1"/>
  <c r="P76" i="1"/>
  <c r="A76" i="1"/>
  <c r="FW75" i="1"/>
  <c r="FV75" i="1"/>
  <c r="FS75" i="1"/>
  <c r="FQ75" i="1"/>
  <c r="FF75" i="1"/>
  <c r="FE75" i="1"/>
  <c r="FD75" i="1"/>
  <c r="FC75" i="1"/>
  <c r="FB75" i="1"/>
  <c r="FA75" i="1"/>
  <c r="EZ75" i="1"/>
  <c r="EY75" i="1"/>
  <c r="EX75" i="1"/>
  <c r="EW75" i="1"/>
  <c r="EV75" i="1"/>
  <c r="EU75" i="1"/>
  <c r="ET75" i="1"/>
  <c r="ES75" i="1"/>
  <c r="EP75" i="1"/>
  <c r="EO75" i="1"/>
  <c r="EO75" i="1" a="1"/>
  <c r="EM75" i="1"/>
  <c r="EL75" i="1"/>
  <c r="EL75" i="1" a="1"/>
  <c r="DT75" i="1"/>
  <c r="DD75" i="1"/>
  <c r="DC75" i="1"/>
  <c r="CG75" i="1"/>
  <c r="CF75" i="1"/>
  <c r="CF75" i="1" a="1"/>
  <c r="CE75" i="1"/>
  <c r="CD75" i="1"/>
  <c r="CA75" i="1"/>
  <c r="BY75" i="1"/>
  <c r="BA75" i="1"/>
  <c r="Z75" i="1"/>
  <c r="X75" i="1"/>
  <c r="T75" i="1"/>
  <c r="EI75" i="1" s="1"/>
  <c r="P75" i="1"/>
  <c r="A75" i="1"/>
  <c r="FW74" i="1"/>
  <c r="FV74" i="1"/>
  <c r="FS74" i="1"/>
  <c r="FQ74" i="1"/>
  <c r="FF74" i="1"/>
  <c r="FE74" i="1"/>
  <c r="FD74" i="1"/>
  <c r="FC74" i="1"/>
  <c r="FB74" i="1"/>
  <c r="FA74" i="1"/>
  <c r="EZ74" i="1"/>
  <c r="EY74" i="1"/>
  <c r="EX74" i="1"/>
  <c r="EW74" i="1"/>
  <c r="EV74" i="1"/>
  <c r="EU74" i="1"/>
  <c r="ET74" i="1"/>
  <c r="ES74" i="1"/>
  <c r="EP74" i="1"/>
  <c r="EO74" i="1"/>
  <c r="EO74" i="1" a="1"/>
  <c r="EM74" i="1"/>
  <c r="EL74" i="1"/>
  <c r="EL74" i="1" a="1"/>
  <c r="ED74" i="1"/>
  <c r="DT74" i="1"/>
  <c r="DD74" i="1"/>
  <c r="DC74" i="1"/>
  <c r="CG74" i="1"/>
  <c r="CF74" i="1"/>
  <c r="CF74" i="1" a="1"/>
  <c r="CE74" i="1"/>
  <c r="CD74" i="1"/>
  <c r="CA74" i="1"/>
  <c r="BY74" i="1"/>
  <c r="BA74" i="1"/>
  <c r="Z74" i="1"/>
  <c r="X74" i="1"/>
  <c r="T74" i="1"/>
  <c r="EJ74" i="1" s="1"/>
  <c r="P74" i="1"/>
  <c r="A74" i="1"/>
  <c r="FW73" i="1"/>
  <c r="FV73" i="1"/>
  <c r="FS73" i="1"/>
  <c r="FQ73" i="1"/>
  <c r="FF73" i="1"/>
  <c r="FE73" i="1"/>
  <c r="FD73" i="1"/>
  <c r="FC73" i="1"/>
  <c r="FB73" i="1"/>
  <c r="FA73" i="1"/>
  <c r="EZ73" i="1"/>
  <c r="EY73" i="1"/>
  <c r="EX73" i="1"/>
  <c r="EW73" i="1"/>
  <c r="EV73" i="1"/>
  <c r="EU73" i="1"/>
  <c r="ET73" i="1"/>
  <c r="ES73" i="1"/>
  <c r="EP73" i="1"/>
  <c r="EO73" i="1"/>
  <c r="EO73" i="1" a="1"/>
  <c r="EM73" i="1"/>
  <c r="EL73" i="1"/>
  <c r="EL73" i="1" a="1"/>
  <c r="DT73" i="1"/>
  <c r="DD73" i="1"/>
  <c r="DC73" i="1"/>
  <c r="CG73" i="1"/>
  <c r="CF73" i="1"/>
  <c r="CF73" i="1" a="1"/>
  <c r="CE73" i="1"/>
  <c r="CD73" i="1"/>
  <c r="CA73" i="1"/>
  <c r="BY73" i="1"/>
  <c r="BA73" i="1"/>
  <c r="Z73" i="1"/>
  <c r="X73" i="1"/>
  <c r="T73" i="1"/>
  <c r="EI73" i="1" s="1"/>
  <c r="P73" i="1"/>
  <c r="A73" i="1"/>
  <c r="FW72" i="1"/>
  <c r="FV72" i="1"/>
  <c r="FS72" i="1"/>
  <c r="FQ72" i="1"/>
  <c r="FF72" i="1"/>
  <c r="FE72" i="1"/>
  <c r="FD72" i="1"/>
  <c r="FC72" i="1"/>
  <c r="FB72" i="1"/>
  <c r="FA72" i="1"/>
  <c r="EZ72" i="1"/>
  <c r="EY72" i="1"/>
  <c r="EX72" i="1"/>
  <c r="EW72" i="1"/>
  <c r="EV72" i="1"/>
  <c r="EU72" i="1"/>
  <c r="ET72" i="1"/>
  <c r="ES72" i="1"/>
  <c r="EP72" i="1"/>
  <c r="EO72" i="1"/>
  <c r="EO72" i="1" a="1"/>
  <c r="EM72" i="1"/>
  <c r="EL72" i="1"/>
  <c r="EL72" i="1" a="1"/>
  <c r="ED72" i="1"/>
  <c r="DT72" i="1"/>
  <c r="DD72" i="1"/>
  <c r="DC72" i="1"/>
  <c r="CG72" i="1"/>
  <c r="CF72" i="1"/>
  <c r="CF72" i="1" a="1"/>
  <c r="CE72" i="1"/>
  <c r="CD72" i="1"/>
  <c r="CA72" i="1"/>
  <c r="BY72" i="1"/>
  <c r="BA72" i="1"/>
  <c r="Z72" i="1"/>
  <c r="X72" i="1"/>
  <c r="T72" i="1"/>
  <c r="EE72" i="1" s="1"/>
  <c r="P72" i="1"/>
  <c r="A72" i="1"/>
  <c r="FW71" i="1"/>
  <c r="FV71" i="1"/>
  <c r="FS71" i="1"/>
  <c r="FQ71" i="1"/>
  <c r="FF71" i="1"/>
  <c r="FE71" i="1"/>
  <c r="FD71" i="1"/>
  <c r="FC71" i="1"/>
  <c r="FB71" i="1"/>
  <c r="FA71" i="1"/>
  <c r="EZ71" i="1"/>
  <c r="EY71" i="1"/>
  <c r="EX71" i="1"/>
  <c r="EW71" i="1"/>
  <c r="EV71" i="1"/>
  <c r="EU71" i="1"/>
  <c r="ET71" i="1"/>
  <c r="ES71" i="1"/>
  <c r="EP71" i="1"/>
  <c r="EO71" i="1"/>
  <c r="EO71" i="1" a="1"/>
  <c r="EM71" i="1"/>
  <c r="EL71" i="1"/>
  <c r="EL71" i="1" a="1"/>
  <c r="EF71" i="1"/>
  <c r="DT71" i="1"/>
  <c r="DD71" i="1"/>
  <c r="DC71" i="1"/>
  <c r="CG71" i="1"/>
  <c r="CF71" i="1"/>
  <c r="CF71" i="1" a="1"/>
  <c r="CE71" i="1"/>
  <c r="CD71" i="1"/>
  <c r="CA71" i="1"/>
  <c r="BY71" i="1"/>
  <c r="BA71" i="1"/>
  <c r="Z71" i="1"/>
  <c r="X71" i="1"/>
  <c r="T71" i="1"/>
  <c r="EJ71" i="1" s="1"/>
  <c r="P71" i="1"/>
  <c r="A71" i="1"/>
  <c r="EL70" i="1" a="1"/>
  <c r="EM70" i="1" s="1"/>
  <c r="EJ70" i="1"/>
  <c r="EG70" i="1"/>
  <c r="DT70" i="1"/>
  <c r="DD70" i="1"/>
  <c r="DC70" i="1"/>
  <c r="CD70" i="1"/>
  <c r="CA70" i="1"/>
  <c r="CA114" i="1" s="1"/>
  <c r="BY70" i="1"/>
  <c r="BA70" i="1"/>
  <c r="X70" i="1"/>
  <c r="T70" i="1"/>
  <c r="EI70" i="1" s="1"/>
  <c r="P70" i="1"/>
  <c r="A70" i="1"/>
  <c r="FW69" i="1"/>
  <c r="FV69" i="1"/>
  <c r="FS69" i="1"/>
  <c r="FQ69" i="1"/>
  <c r="FF69" i="1"/>
  <c r="FE69" i="1"/>
  <c r="FD69" i="1"/>
  <c r="FC69" i="1"/>
  <c r="FB69" i="1"/>
  <c r="FA69" i="1"/>
  <c r="EZ69" i="1"/>
  <c r="EY69" i="1"/>
  <c r="EX69" i="1"/>
  <c r="EW69" i="1"/>
  <c r="EV69" i="1"/>
  <c r="EU69" i="1"/>
  <c r="ET69" i="1"/>
  <c r="ES69" i="1"/>
  <c r="EP69" i="1"/>
  <c r="EO69" i="1"/>
  <c r="EO69" i="1" a="1"/>
  <c r="EM69" i="1"/>
  <c r="EL69" i="1"/>
  <c r="EL69" i="1" a="1"/>
  <c r="DT69" i="1"/>
  <c r="DD69" i="1"/>
  <c r="DC69" i="1"/>
  <c r="CG69" i="1"/>
  <c r="CF69" i="1"/>
  <c r="CF69" i="1" a="1"/>
  <c r="CE69" i="1"/>
  <c r="CD69" i="1"/>
  <c r="CA69" i="1"/>
  <c r="BY69" i="1"/>
  <c r="BA69" i="1"/>
  <c r="Z69" i="1"/>
  <c r="X69" i="1"/>
  <c r="T69" i="1"/>
  <c r="EI69" i="1" s="1"/>
  <c r="P69" i="1"/>
  <c r="A69" i="1"/>
  <c r="FW68" i="1"/>
  <c r="FV68" i="1"/>
  <c r="FS68" i="1"/>
  <c r="FQ68" i="1"/>
  <c r="FF68" i="1"/>
  <c r="FE68" i="1"/>
  <c r="FD68" i="1"/>
  <c r="FC68" i="1"/>
  <c r="FB68" i="1"/>
  <c r="FA68" i="1"/>
  <c r="EZ68" i="1"/>
  <c r="EY68" i="1"/>
  <c r="EX68" i="1"/>
  <c r="EW68" i="1"/>
  <c r="EV68" i="1"/>
  <c r="EU68" i="1"/>
  <c r="ET68" i="1"/>
  <c r="ES68" i="1"/>
  <c r="EP68" i="1"/>
  <c r="EO68" i="1"/>
  <c r="EO68" i="1" a="1"/>
  <c r="EM68" i="1"/>
  <c r="EL68" i="1"/>
  <c r="EL68" i="1" a="1"/>
  <c r="EG68" i="1"/>
  <c r="ED68" i="1"/>
  <c r="DT68" i="1"/>
  <c r="DD68" i="1"/>
  <c r="DC68" i="1"/>
  <c r="CG68" i="1"/>
  <c r="CF68" i="1"/>
  <c r="CF68" i="1" a="1"/>
  <c r="CE68" i="1"/>
  <c r="CD68" i="1"/>
  <c r="CA68" i="1"/>
  <c r="BY68" i="1"/>
  <c r="BA68" i="1"/>
  <c r="Z68" i="1"/>
  <c r="X68" i="1"/>
  <c r="T68" i="1"/>
  <c r="EI68" i="1" s="1"/>
  <c r="P68" i="1"/>
  <c r="A68" i="1"/>
  <c r="FW67" i="1"/>
  <c r="FV67" i="1"/>
  <c r="FS67" i="1"/>
  <c r="FQ67" i="1"/>
  <c r="FF67" i="1"/>
  <c r="FE67" i="1"/>
  <c r="FD67" i="1"/>
  <c r="FC67" i="1"/>
  <c r="FB67" i="1"/>
  <c r="FA67" i="1"/>
  <c r="EZ67" i="1"/>
  <c r="EY67" i="1"/>
  <c r="EX67" i="1"/>
  <c r="EW67" i="1"/>
  <c r="EV67" i="1"/>
  <c r="EU67" i="1"/>
  <c r="ET67" i="1"/>
  <c r="ES67" i="1"/>
  <c r="EP67" i="1"/>
  <c r="EO67" i="1"/>
  <c r="EO67" i="1" a="1"/>
  <c r="EM67" i="1"/>
  <c r="EL67" i="1"/>
  <c r="EL67" i="1" a="1"/>
  <c r="EI67" i="1"/>
  <c r="ED67" i="1"/>
  <c r="DT67" i="1"/>
  <c r="DD67" i="1"/>
  <c r="DC67" i="1"/>
  <c r="CG67" i="1"/>
  <c r="CF67" i="1"/>
  <c r="CF67" i="1" a="1"/>
  <c r="CE67" i="1"/>
  <c r="CD67" i="1"/>
  <c r="CA67" i="1"/>
  <c r="BY67" i="1"/>
  <c r="BA67" i="1"/>
  <c r="Z67" i="1"/>
  <c r="X67" i="1"/>
  <c r="T67" i="1"/>
  <c r="EJ67" i="1" s="1"/>
  <c r="P67" i="1"/>
  <c r="A67" i="1"/>
  <c r="FW66" i="1"/>
  <c r="FV66" i="1"/>
  <c r="FS66" i="1"/>
  <c r="FQ66" i="1"/>
  <c r="FF66" i="1"/>
  <c r="FE66" i="1"/>
  <c r="FD66" i="1"/>
  <c r="FC66" i="1"/>
  <c r="FB66" i="1"/>
  <c r="FA66" i="1"/>
  <c r="EZ66" i="1"/>
  <c r="EY66" i="1"/>
  <c r="EX66" i="1"/>
  <c r="EW66" i="1"/>
  <c r="EV66" i="1"/>
  <c r="EU66" i="1"/>
  <c r="ET66" i="1"/>
  <c r="ES66" i="1"/>
  <c r="EP66" i="1"/>
  <c r="EO66" i="1"/>
  <c r="EO66" i="1" a="1"/>
  <c r="EM66" i="1"/>
  <c r="EL66" i="1"/>
  <c r="EL66" i="1" a="1"/>
  <c r="ED66" i="1"/>
  <c r="DT66" i="1"/>
  <c r="DD66" i="1"/>
  <c r="DC66" i="1"/>
  <c r="CG66" i="1"/>
  <c r="CF66" i="1"/>
  <c r="CF66" i="1" a="1"/>
  <c r="CE66" i="1"/>
  <c r="CD66" i="1"/>
  <c r="CA66" i="1"/>
  <c r="BY66" i="1"/>
  <c r="BA66" i="1"/>
  <c r="Z66" i="1"/>
  <c r="X66" i="1"/>
  <c r="T66" i="1"/>
  <c r="EE66" i="1" s="1"/>
  <c r="P66" i="1"/>
  <c r="A66" i="1"/>
  <c r="FW65" i="1"/>
  <c r="FV65" i="1"/>
  <c r="FS65" i="1"/>
  <c r="FQ65" i="1"/>
  <c r="FF65" i="1"/>
  <c r="FE65" i="1"/>
  <c r="FD65" i="1"/>
  <c r="FC65" i="1"/>
  <c r="FB65" i="1"/>
  <c r="FA65" i="1"/>
  <c r="EZ65" i="1"/>
  <c r="EY65" i="1"/>
  <c r="EX65" i="1"/>
  <c r="EW65" i="1"/>
  <c r="EV65" i="1"/>
  <c r="EU65" i="1"/>
  <c r="ET65" i="1"/>
  <c r="ES65" i="1"/>
  <c r="EP65" i="1"/>
  <c r="EO65" i="1"/>
  <c r="EO65" i="1" a="1"/>
  <c r="EM65" i="1"/>
  <c r="EL65" i="1"/>
  <c r="EL65" i="1" a="1"/>
  <c r="EE65" i="1"/>
  <c r="ED65" i="1"/>
  <c r="DT65" i="1"/>
  <c r="DD65" i="1"/>
  <c r="DC65" i="1"/>
  <c r="CG65" i="1"/>
  <c r="CF65" i="1"/>
  <c r="CF65" i="1" a="1"/>
  <c r="CE65" i="1"/>
  <c r="CD65" i="1"/>
  <c r="CA65" i="1"/>
  <c r="BY65" i="1"/>
  <c r="BA65" i="1"/>
  <c r="Z65" i="1"/>
  <c r="X65" i="1"/>
  <c r="T65" i="1"/>
  <c r="EJ65" i="1" s="1"/>
  <c r="P65" i="1"/>
  <c r="A65" i="1"/>
  <c r="FW64" i="1"/>
  <c r="FV64" i="1"/>
  <c r="FS64" i="1"/>
  <c r="FQ64" i="1"/>
  <c r="FE64" i="1"/>
  <c r="FD64" i="1"/>
  <c r="FC64" i="1"/>
  <c r="FB64" i="1"/>
  <c r="FA64" i="1"/>
  <c r="EZ64" i="1"/>
  <c r="EY64" i="1"/>
  <c r="EX64" i="1"/>
  <c r="EW64" i="1"/>
  <c r="EV64" i="1"/>
  <c r="EU64" i="1"/>
  <c r="ET64" i="1"/>
  <c r="ES64" i="1"/>
  <c r="EP64" i="1"/>
  <c r="EO64" i="1"/>
  <c r="EO64" i="1" a="1"/>
  <c r="EM64" i="1"/>
  <c r="EL64" i="1"/>
  <c r="EL64" i="1" a="1"/>
  <c r="EJ64" i="1"/>
  <c r="EI64" i="1"/>
  <c r="DT64" i="1"/>
  <c r="DD64" i="1"/>
  <c r="DC64" i="1"/>
  <c r="CG64" i="1"/>
  <c r="CF64" i="1"/>
  <c r="CF64" i="1" a="1"/>
  <c r="CE64" i="1"/>
  <c r="CD64" i="1"/>
  <c r="CA64" i="1"/>
  <c r="BY64" i="1"/>
  <c r="BA64" i="1"/>
  <c r="Z64" i="1"/>
  <c r="X64" i="1"/>
  <c r="T64" i="1"/>
  <c r="EG64" i="1" s="1"/>
  <c r="P64" i="1"/>
  <c r="A64" i="1"/>
  <c r="FW63" i="1"/>
  <c r="FV63" i="1"/>
  <c r="FS63" i="1"/>
  <c r="FQ63" i="1"/>
  <c r="FF63" i="1"/>
  <c r="FE63" i="1"/>
  <c r="FD63" i="1"/>
  <c r="FC63" i="1"/>
  <c r="FB63" i="1"/>
  <c r="FA63" i="1"/>
  <c r="EZ63" i="1"/>
  <c r="EY63" i="1"/>
  <c r="EX63" i="1"/>
  <c r="EW63" i="1"/>
  <c r="EV63" i="1"/>
  <c r="EU63" i="1"/>
  <c r="ET63" i="1"/>
  <c r="ES63" i="1"/>
  <c r="EP63" i="1"/>
  <c r="EO63" i="1"/>
  <c r="EO63" i="1" a="1"/>
  <c r="EM63" i="1"/>
  <c r="EL63" i="1"/>
  <c r="EL63" i="1" a="1"/>
  <c r="EI63" i="1"/>
  <c r="EE63" i="1"/>
  <c r="DT63" i="1"/>
  <c r="DD63" i="1"/>
  <c r="DC63" i="1"/>
  <c r="CG63" i="1"/>
  <c r="CF63" i="1"/>
  <c r="CF63" i="1" a="1"/>
  <c r="CE63" i="1"/>
  <c r="CD63" i="1"/>
  <c r="CA63" i="1"/>
  <c r="BY63" i="1"/>
  <c r="BA63" i="1"/>
  <c r="Z63" i="1"/>
  <c r="X63" i="1"/>
  <c r="T63" i="1"/>
  <c r="EG63" i="1" s="1"/>
  <c r="P63" i="1"/>
  <c r="A63" i="1"/>
  <c r="FW62" i="1"/>
  <c r="FV62" i="1"/>
  <c r="FS62" i="1"/>
  <c r="FQ62" i="1"/>
  <c r="FF62" i="1"/>
  <c r="FE62" i="1"/>
  <c r="FD62" i="1"/>
  <c r="FC62" i="1"/>
  <c r="FB62" i="1"/>
  <c r="FA62" i="1"/>
  <c r="EZ62" i="1"/>
  <c r="EY62" i="1"/>
  <c r="EX62" i="1"/>
  <c r="EW62" i="1"/>
  <c r="EV62" i="1"/>
  <c r="EU62" i="1"/>
  <c r="ET62" i="1"/>
  <c r="ES62" i="1"/>
  <c r="EP62" i="1"/>
  <c r="EO62" i="1"/>
  <c r="EO62" i="1" a="1"/>
  <c r="EM62" i="1"/>
  <c r="EL62" i="1"/>
  <c r="EL62" i="1" a="1"/>
  <c r="EI62" i="1"/>
  <c r="DT62" i="1"/>
  <c r="DD62" i="1"/>
  <c r="DC62" i="1"/>
  <c r="CG62" i="1"/>
  <c r="CF62" i="1"/>
  <c r="CF62" i="1" a="1"/>
  <c r="CE62" i="1"/>
  <c r="CD62" i="1"/>
  <c r="CA62" i="1"/>
  <c r="BY62" i="1"/>
  <c r="BA62" i="1"/>
  <c r="Z62" i="1"/>
  <c r="X62" i="1"/>
  <c r="T62" i="1"/>
  <c r="EG62" i="1" s="1"/>
  <c r="P62" i="1"/>
  <c r="A62" i="1"/>
  <c r="FW61" i="1"/>
  <c r="FV61" i="1"/>
  <c r="FS61" i="1"/>
  <c r="FQ61" i="1"/>
  <c r="FF61" i="1"/>
  <c r="FE61" i="1"/>
  <c r="FD61" i="1"/>
  <c r="FC61" i="1"/>
  <c r="FB61" i="1"/>
  <c r="FA61" i="1"/>
  <c r="EZ61" i="1"/>
  <c r="EY61" i="1"/>
  <c r="EX61" i="1"/>
  <c r="EW61" i="1"/>
  <c r="EV61" i="1"/>
  <c r="EU61" i="1"/>
  <c r="ET61" i="1"/>
  <c r="ES61" i="1"/>
  <c r="EP61" i="1"/>
  <c r="EO61" i="1"/>
  <c r="EO61" i="1" a="1"/>
  <c r="EM61" i="1"/>
  <c r="EL61" i="1"/>
  <c r="EL61" i="1" a="1"/>
  <c r="EI61" i="1"/>
  <c r="EG61" i="1"/>
  <c r="EE61" i="1"/>
  <c r="DT61" i="1"/>
  <c r="DD61" i="1"/>
  <c r="DC61" i="1"/>
  <c r="CG61" i="1"/>
  <c r="CF61" i="1"/>
  <c r="CF61" i="1" a="1"/>
  <c r="CE61" i="1"/>
  <c r="CD61" i="1"/>
  <c r="CA61" i="1"/>
  <c r="BY61" i="1"/>
  <c r="BA61" i="1"/>
  <c r="Z61" i="1"/>
  <c r="X61" i="1"/>
  <c r="T61" i="1"/>
  <c r="EF61" i="1" s="1"/>
  <c r="P61" i="1"/>
  <c r="A61" i="1"/>
  <c r="FW60" i="1"/>
  <c r="FV60" i="1"/>
  <c r="FS60" i="1"/>
  <c r="FQ60" i="1"/>
  <c r="FF60" i="1"/>
  <c r="FE60" i="1"/>
  <c r="FD60" i="1"/>
  <c r="FC60" i="1"/>
  <c r="FB60" i="1"/>
  <c r="FA60" i="1"/>
  <c r="EZ60" i="1"/>
  <c r="EY60" i="1"/>
  <c r="EX60" i="1"/>
  <c r="EW60" i="1"/>
  <c r="EV60" i="1"/>
  <c r="EU60" i="1"/>
  <c r="ET60" i="1"/>
  <c r="ES60" i="1"/>
  <c r="EP60" i="1"/>
  <c r="EO60" i="1"/>
  <c r="EO60" i="1" a="1"/>
  <c r="EM60" i="1"/>
  <c r="EL60" i="1"/>
  <c r="EL60" i="1" a="1"/>
  <c r="EE60" i="1"/>
  <c r="DT60" i="1"/>
  <c r="DD60" i="1"/>
  <c r="DC60" i="1"/>
  <c r="CG60" i="1"/>
  <c r="CF60" i="1"/>
  <c r="CF60" i="1" a="1"/>
  <c r="CE60" i="1"/>
  <c r="CD60" i="1"/>
  <c r="CA60" i="1"/>
  <c r="BY60" i="1"/>
  <c r="BA60" i="1"/>
  <c r="Z60" i="1"/>
  <c r="X60" i="1"/>
  <c r="T60" i="1"/>
  <c r="ED60" i="1" s="1"/>
  <c r="P60" i="1"/>
  <c r="A60" i="1"/>
  <c r="FW59" i="1"/>
  <c r="FV59" i="1"/>
  <c r="FS59" i="1"/>
  <c r="FQ59" i="1"/>
  <c r="FF59" i="1"/>
  <c r="FE59" i="1"/>
  <c r="FD59" i="1"/>
  <c r="FC59" i="1"/>
  <c r="FB59" i="1"/>
  <c r="FA59" i="1"/>
  <c r="EZ59" i="1"/>
  <c r="EY59" i="1"/>
  <c r="EX59" i="1"/>
  <c r="EW59" i="1"/>
  <c r="EV59" i="1"/>
  <c r="EU59" i="1"/>
  <c r="ET59" i="1"/>
  <c r="ES59" i="1"/>
  <c r="EP59" i="1"/>
  <c r="EO59" i="1"/>
  <c r="EO59" i="1" a="1"/>
  <c r="EM59" i="1"/>
  <c r="EL59" i="1"/>
  <c r="EL59" i="1" a="1"/>
  <c r="DT59" i="1"/>
  <c r="DD59" i="1"/>
  <c r="DC59" i="1"/>
  <c r="CG59" i="1"/>
  <c r="CF59" i="1"/>
  <c r="CF59" i="1" a="1"/>
  <c r="CE59" i="1"/>
  <c r="CD59" i="1"/>
  <c r="CA59" i="1"/>
  <c r="BY59" i="1"/>
  <c r="BA59" i="1"/>
  <c r="Z59" i="1"/>
  <c r="X59" i="1"/>
  <c r="T59" i="1"/>
  <c r="EI59" i="1" s="1"/>
  <c r="P59" i="1"/>
  <c r="A59" i="1"/>
  <c r="FW58" i="1"/>
  <c r="FV58" i="1"/>
  <c r="FS58" i="1"/>
  <c r="FQ58" i="1"/>
  <c r="FF58" i="1"/>
  <c r="FE58" i="1"/>
  <c r="FD58" i="1"/>
  <c r="FC58" i="1"/>
  <c r="FB58" i="1"/>
  <c r="FA58" i="1"/>
  <c r="EZ58" i="1"/>
  <c r="EY58" i="1"/>
  <c r="EX58" i="1"/>
  <c r="EW58" i="1"/>
  <c r="EV58" i="1"/>
  <c r="EU58" i="1"/>
  <c r="ET58" i="1"/>
  <c r="ES58" i="1"/>
  <c r="EP58" i="1"/>
  <c r="EO58" i="1"/>
  <c r="EO58" i="1" a="1"/>
  <c r="EM58" i="1"/>
  <c r="EL58" i="1"/>
  <c r="EL58" i="1" a="1"/>
  <c r="EI58" i="1"/>
  <c r="EE58" i="1"/>
  <c r="DT58" i="1"/>
  <c r="DD58" i="1"/>
  <c r="DC58" i="1"/>
  <c r="CG58" i="1"/>
  <c r="CF58" i="1"/>
  <c r="CF58" i="1" a="1"/>
  <c r="CE58" i="1"/>
  <c r="CD58" i="1"/>
  <c r="CA58" i="1"/>
  <c r="BY58" i="1"/>
  <c r="BA58" i="1"/>
  <c r="Z58" i="1"/>
  <c r="X58" i="1"/>
  <c r="T58" i="1"/>
  <c r="EG58" i="1" s="1"/>
  <c r="P58" i="1"/>
  <c r="A58" i="1"/>
  <c r="FW57" i="1"/>
  <c r="FV57" i="1"/>
  <c r="FS57" i="1"/>
  <c r="FQ57" i="1"/>
  <c r="FE57" i="1"/>
  <c r="FD57" i="1"/>
  <c r="FC57" i="1"/>
  <c r="FB57" i="1"/>
  <c r="FA57" i="1"/>
  <c r="EZ57" i="1"/>
  <c r="EY57" i="1"/>
  <c r="EX57" i="1"/>
  <c r="EW57" i="1"/>
  <c r="EV57" i="1"/>
  <c r="EU57" i="1"/>
  <c r="ET57" i="1"/>
  <c r="ES57" i="1"/>
  <c r="EP57" i="1"/>
  <c r="EO57" i="1"/>
  <c r="EO57" i="1" a="1"/>
  <c r="EM57" i="1"/>
  <c r="EL57" i="1"/>
  <c r="EL57" i="1" a="1"/>
  <c r="DT57" i="1"/>
  <c r="DD57" i="1"/>
  <c r="DC57" i="1"/>
  <c r="CG57" i="1"/>
  <c r="CF57" i="1"/>
  <c r="CF57" i="1" a="1"/>
  <c r="CE57" i="1"/>
  <c r="CD57" i="1"/>
  <c r="CA57" i="1"/>
  <c r="BY57" i="1"/>
  <c r="BA57" i="1"/>
  <c r="Z57" i="1"/>
  <c r="X57" i="1"/>
  <c r="T57" i="1"/>
  <c r="EI57" i="1" s="1"/>
  <c r="P57" i="1"/>
  <c r="A57" i="1"/>
  <c r="FW56" i="1"/>
  <c r="FV56" i="1"/>
  <c r="FS56" i="1"/>
  <c r="FQ56" i="1"/>
  <c r="FF56" i="1"/>
  <c r="FE56" i="1"/>
  <c r="FD56" i="1"/>
  <c r="FC56" i="1"/>
  <c r="FB56" i="1"/>
  <c r="FA56" i="1"/>
  <c r="EZ56" i="1"/>
  <c r="EY56" i="1"/>
  <c r="EX56" i="1"/>
  <c r="EW56" i="1"/>
  <c r="EV56" i="1"/>
  <c r="EU56" i="1"/>
  <c r="ET56" i="1"/>
  <c r="ES56" i="1"/>
  <c r="EP56" i="1"/>
  <c r="EO56" i="1"/>
  <c r="EO56" i="1" a="1"/>
  <c r="EM56" i="1"/>
  <c r="EL56" i="1"/>
  <c r="EL56" i="1" a="1"/>
  <c r="ED56" i="1"/>
  <c r="DT56" i="1"/>
  <c r="DD56" i="1"/>
  <c r="DC56" i="1"/>
  <c r="CG56" i="1"/>
  <c r="CF56" i="1"/>
  <c r="CF56" i="1" a="1"/>
  <c r="CE56" i="1"/>
  <c r="CD56" i="1"/>
  <c r="CA56" i="1"/>
  <c r="BY56" i="1"/>
  <c r="BA56" i="1"/>
  <c r="Z56" i="1"/>
  <c r="X56" i="1"/>
  <c r="T56" i="1"/>
  <c r="EI56" i="1" s="1"/>
  <c r="P56" i="1"/>
  <c r="A56" i="1"/>
  <c r="FW55" i="1"/>
  <c r="FV55" i="1"/>
  <c r="FS55" i="1"/>
  <c r="FQ55" i="1"/>
  <c r="FF55" i="1"/>
  <c r="FE55" i="1"/>
  <c r="FD55" i="1"/>
  <c r="FC55" i="1"/>
  <c r="FB55" i="1"/>
  <c r="FA55" i="1"/>
  <c r="EZ55" i="1"/>
  <c r="EY55" i="1"/>
  <c r="EX55" i="1"/>
  <c r="EW55" i="1"/>
  <c r="EV55" i="1"/>
  <c r="EU55" i="1"/>
  <c r="ET55" i="1"/>
  <c r="ES55" i="1"/>
  <c r="EP55" i="1"/>
  <c r="EO55" i="1"/>
  <c r="EO55" i="1" a="1"/>
  <c r="EM55" i="1"/>
  <c r="EL55" i="1"/>
  <c r="EL55" i="1" a="1"/>
  <c r="EI55" i="1"/>
  <c r="DT55" i="1"/>
  <c r="DD55" i="1"/>
  <c r="DC55" i="1"/>
  <c r="CG55" i="1"/>
  <c r="CF55" i="1"/>
  <c r="CF55" i="1" a="1"/>
  <c r="CE55" i="1"/>
  <c r="CD55" i="1"/>
  <c r="CA55" i="1"/>
  <c r="BY55" i="1"/>
  <c r="BA55" i="1"/>
  <c r="Z55" i="1"/>
  <c r="X55" i="1"/>
  <c r="T55" i="1"/>
  <c r="EG55" i="1" s="1"/>
  <c r="P55" i="1"/>
  <c r="A55" i="1"/>
  <c r="FW54" i="1"/>
  <c r="FV54" i="1"/>
  <c r="FS54" i="1"/>
  <c r="FQ54" i="1"/>
  <c r="FD54" i="1"/>
  <c r="FC54" i="1"/>
  <c r="FB54" i="1"/>
  <c r="FA54" i="1"/>
  <c r="EZ54" i="1"/>
  <c r="EY54" i="1"/>
  <c r="EX54" i="1"/>
  <c r="EW54" i="1"/>
  <c r="EV54" i="1"/>
  <c r="EU54" i="1"/>
  <c r="ET54" i="1"/>
  <c r="ES54" i="1"/>
  <c r="EP54" i="1"/>
  <c r="EO54" i="1"/>
  <c r="EO54" i="1" a="1"/>
  <c r="EM54" i="1"/>
  <c r="EL54" i="1"/>
  <c r="EL54" i="1" a="1"/>
  <c r="ED54" i="1"/>
  <c r="DT54" i="1"/>
  <c r="DD54" i="1"/>
  <c r="DC54" i="1"/>
  <c r="CG54" i="1"/>
  <c r="CF54" i="1"/>
  <c r="CF54" i="1" a="1"/>
  <c r="CE54" i="1"/>
  <c r="CD54" i="1"/>
  <c r="CA54" i="1"/>
  <c r="BY54" i="1"/>
  <c r="BA54" i="1"/>
  <c r="Z54" i="1"/>
  <c r="X54" i="1"/>
  <c r="T54" i="1"/>
  <c r="EI54" i="1" s="1"/>
  <c r="P54" i="1"/>
  <c r="A54" i="1"/>
  <c r="FW53" i="1"/>
  <c r="FV53" i="1"/>
  <c r="FS53" i="1"/>
  <c r="FQ53" i="1"/>
  <c r="FG53" i="1"/>
  <c r="FF53" i="1"/>
  <c r="FE53" i="1"/>
  <c r="FD53" i="1"/>
  <c r="FC53" i="1"/>
  <c r="FB53" i="1"/>
  <c r="FA53" i="1"/>
  <c r="EZ53" i="1"/>
  <c r="EY53" i="1"/>
  <c r="EX53" i="1"/>
  <c r="EW53" i="1"/>
  <c r="EV53" i="1"/>
  <c r="EU53" i="1"/>
  <c r="ET53" i="1"/>
  <c r="ES53" i="1"/>
  <c r="EP53" i="1"/>
  <c r="EO53" i="1"/>
  <c r="EO53" i="1" a="1"/>
  <c r="EM53" i="1"/>
  <c r="EL53" i="1"/>
  <c r="EL53" i="1" a="1"/>
  <c r="EI53" i="1"/>
  <c r="EE53" i="1"/>
  <c r="DT53" i="1"/>
  <c r="DD53" i="1"/>
  <c r="DC53" i="1"/>
  <c r="CG53" i="1"/>
  <c r="CF53" i="1"/>
  <c r="CF53" i="1" a="1"/>
  <c r="CE53" i="1"/>
  <c r="CD53" i="1"/>
  <c r="CA53" i="1"/>
  <c r="BY53" i="1"/>
  <c r="BA53" i="1"/>
  <c r="Z53" i="1"/>
  <c r="X53" i="1"/>
  <c r="T53" i="1"/>
  <c r="EG53" i="1" s="1"/>
  <c r="P53" i="1"/>
  <c r="A53" i="1"/>
  <c r="FW52" i="1"/>
  <c r="FV52" i="1"/>
  <c r="FS52" i="1"/>
  <c r="FQ52" i="1"/>
  <c r="FE52" i="1"/>
  <c r="FD52" i="1"/>
  <c r="FC52" i="1"/>
  <c r="FB52" i="1"/>
  <c r="FA52" i="1"/>
  <c r="EZ52" i="1"/>
  <c r="EY52" i="1"/>
  <c r="EX52" i="1"/>
  <c r="EW52" i="1"/>
  <c r="EV52" i="1"/>
  <c r="EU52" i="1"/>
  <c r="ET52" i="1"/>
  <c r="ES52" i="1"/>
  <c r="EP52" i="1"/>
  <c r="EO52" i="1"/>
  <c r="EO52" i="1" a="1"/>
  <c r="EM52" i="1"/>
  <c r="EL52" i="1"/>
  <c r="EL52" i="1" a="1"/>
  <c r="EI52" i="1"/>
  <c r="DT52" i="1"/>
  <c r="DD52" i="1"/>
  <c r="DC52" i="1"/>
  <c r="CG52" i="1"/>
  <c r="CF52" i="1"/>
  <c r="CF52" i="1" a="1"/>
  <c r="CE52" i="1"/>
  <c r="CD52" i="1"/>
  <c r="CA52" i="1"/>
  <c r="BY52" i="1"/>
  <c r="BA52" i="1"/>
  <c r="Z52" i="1"/>
  <c r="X52" i="1"/>
  <c r="T52" i="1"/>
  <c r="EG52" i="1" s="1"/>
  <c r="P52" i="1"/>
  <c r="A52" i="1"/>
  <c r="FW51" i="1"/>
  <c r="FV51" i="1"/>
  <c r="FS51" i="1"/>
  <c r="FQ51" i="1"/>
  <c r="FE51" i="1"/>
  <c r="FD51" i="1"/>
  <c r="FC51" i="1"/>
  <c r="FB51" i="1"/>
  <c r="FA51" i="1"/>
  <c r="EZ51" i="1"/>
  <c r="EY51" i="1"/>
  <c r="EX51" i="1"/>
  <c r="EW51" i="1"/>
  <c r="EV51" i="1"/>
  <c r="EU51" i="1"/>
  <c r="ET51" i="1"/>
  <c r="ES51" i="1"/>
  <c r="EP51" i="1"/>
  <c r="EO51" i="1"/>
  <c r="EO51" i="1" a="1"/>
  <c r="EM51" i="1"/>
  <c r="EL51" i="1"/>
  <c r="EL51" i="1" a="1"/>
  <c r="EI51" i="1"/>
  <c r="EE51" i="1"/>
  <c r="DT51" i="1"/>
  <c r="DD51" i="1"/>
  <c r="DC51" i="1"/>
  <c r="CG51" i="1"/>
  <c r="CF51" i="1"/>
  <c r="CF51" i="1" a="1"/>
  <c r="CE51" i="1"/>
  <c r="CD51" i="1"/>
  <c r="CA51" i="1"/>
  <c r="BY51" i="1"/>
  <c r="BA51" i="1"/>
  <c r="Z51" i="1"/>
  <c r="X51" i="1"/>
  <c r="T51" i="1"/>
  <c r="EG51" i="1" s="1"/>
  <c r="P51" i="1"/>
  <c r="A51" i="1"/>
  <c r="FW50" i="1"/>
  <c r="FV50" i="1"/>
  <c r="FS50" i="1"/>
  <c r="FQ50" i="1"/>
  <c r="FF50" i="1"/>
  <c r="FE50" i="1"/>
  <c r="FD50" i="1"/>
  <c r="FC50" i="1"/>
  <c r="FB50" i="1"/>
  <c r="FA50" i="1"/>
  <c r="EZ50" i="1"/>
  <c r="EY50" i="1"/>
  <c r="EX50" i="1"/>
  <c r="EW50" i="1"/>
  <c r="EV50" i="1"/>
  <c r="EU50" i="1"/>
  <c r="ET50" i="1"/>
  <c r="ES50" i="1"/>
  <c r="EP50" i="1"/>
  <c r="EO50" i="1"/>
  <c r="EO50" i="1" a="1"/>
  <c r="EM50" i="1"/>
  <c r="EL50" i="1"/>
  <c r="EL50" i="1" a="1"/>
  <c r="EI50" i="1"/>
  <c r="DT50" i="1"/>
  <c r="DD50" i="1"/>
  <c r="DC50" i="1"/>
  <c r="CG50" i="1"/>
  <c r="CF50" i="1"/>
  <c r="CF50" i="1" a="1"/>
  <c r="CE50" i="1"/>
  <c r="CD50" i="1"/>
  <c r="CA50" i="1"/>
  <c r="BY50" i="1"/>
  <c r="BA50" i="1"/>
  <c r="Z50" i="1"/>
  <c r="X50" i="1"/>
  <c r="T50" i="1"/>
  <c r="EG50" i="1" s="1"/>
  <c r="P50" i="1"/>
  <c r="A50" i="1"/>
  <c r="FW49" i="1"/>
  <c r="FV49" i="1"/>
  <c r="FS49" i="1"/>
  <c r="FQ49" i="1"/>
  <c r="FG49" i="1"/>
  <c r="FF49" i="1"/>
  <c r="FE49" i="1"/>
  <c r="FD49" i="1"/>
  <c r="FC49" i="1"/>
  <c r="FB49" i="1"/>
  <c r="FA49" i="1"/>
  <c r="EZ49" i="1"/>
  <c r="EY49" i="1"/>
  <c r="EX49" i="1"/>
  <c r="EW49" i="1"/>
  <c r="EV49" i="1"/>
  <c r="EU49" i="1"/>
  <c r="ET49" i="1"/>
  <c r="ES49" i="1"/>
  <c r="EP49" i="1"/>
  <c r="EO49" i="1"/>
  <c r="EO49" i="1" a="1"/>
  <c r="EM49" i="1"/>
  <c r="EL49" i="1"/>
  <c r="EL49" i="1" a="1"/>
  <c r="ED49" i="1"/>
  <c r="DT49" i="1"/>
  <c r="DD49" i="1"/>
  <c r="DC49" i="1"/>
  <c r="CG49" i="1"/>
  <c r="CF49" i="1"/>
  <c r="CF49" i="1" a="1"/>
  <c r="CE49" i="1"/>
  <c r="CD49" i="1"/>
  <c r="CA49" i="1"/>
  <c r="BY49" i="1"/>
  <c r="BA49" i="1"/>
  <c r="Z49" i="1"/>
  <c r="X49" i="1"/>
  <c r="T49" i="1"/>
  <c r="EE49" i="1" s="1"/>
  <c r="P49" i="1"/>
  <c r="A49" i="1"/>
  <c r="FW48" i="1"/>
  <c r="FV48" i="1"/>
  <c r="FS48" i="1"/>
  <c r="FQ48" i="1"/>
  <c r="FF48" i="1"/>
  <c r="FE48" i="1"/>
  <c r="FD48" i="1"/>
  <c r="FC48" i="1"/>
  <c r="FB48" i="1"/>
  <c r="FA48" i="1"/>
  <c r="EZ48" i="1"/>
  <c r="EY48" i="1"/>
  <c r="EX48" i="1"/>
  <c r="EW48" i="1"/>
  <c r="EV48" i="1"/>
  <c r="EU48" i="1"/>
  <c r="ET48" i="1"/>
  <c r="ES48" i="1"/>
  <c r="EP48" i="1"/>
  <c r="EO48" i="1"/>
  <c r="EO48" i="1" a="1"/>
  <c r="EM48" i="1"/>
  <c r="EL48" i="1"/>
  <c r="EL48" i="1" a="1"/>
  <c r="EJ48" i="1"/>
  <c r="ED48" i="1"/>
  <c r="DT48" i="1"/>
  <c r="DD48" i="1"/>
  <c r="DC48" i="1"/>
  <c r="CG48" i="1"/>
  <c r="CF48" i="1"/>
  <c r="CF48" i="1" a="1"/>
  <c r="CE48" i="1"/>
  <c r="CD48" i="1"/>
  <c r="CA48" i="1"/>
  <c r="BY48" i="1"/>
  <c r="BA48" i="1"/>
  <c r="Z48" i="1"/>
  <c r="X48" i="1"/>
  <c r="T48" i="1"/>
  <c r="EI48" i="1" s="1"/>
  <c r="P48" i="1"/>
  <c r="A48" i="1"/>
  <c r="FW47" i="1"/>
  <c r="FV47" i="1"/>
  <c r="FS47" i="1"/>
  <c r="FQ47" i="1"/>
  <c r="FF47" i="1"/>
  <c r="FE47" i="1"/>
  <c r="FD47" i="1"/>
  <c r="FC47" i="1"/>
  <c r="FB47" i="1"/>
  <c r="FA47" i="1"/>
  <c r="EZ47" i="1"/>
  <c r="EY47" i="1"/>
  <c r="EX47" i="1"/>
  <c r="EW47" i="1"/>
  <c r="EV47" i="1"/>
  <c r="EU47" i="1"/>
  <c r="ET47" i="1"/>
  <c r="ES47" i="1"/>
  <c r="EP47" i="1"/>
  <c r="EO47" i="1"/>
  <c r="EO47" i="1" a="1"/>
  <c r="EM47" i="1"/>
  <c r="EL47" i="1"/>
  <c r="EL47" i="1" a="1"/>
  <c r="EJ47" i="1"/>
  <c r="EG47" i="1"/>
  <c r="DT47" i="1"/>
  <c r="DD47" i="1"/>
  <c r="DC47" i="1"/>
  <c r="CG47" i="1"/>
  <c r="CF47" i="1"/>
  <c r="CF47" i="1" a="1"/>
  <c r="CE47" i="1"/>
  <c r="CD47" i="1"/>
  <c r="CA47" i="1"/>
  <c r="BY47" i="1"/>
  <c r="BA47" i="1"/>
  <c r="Z47" i="1"/>
  <c r="X47" i="1"/>
  <c r="T47" i="1"/>
  <c r="EI47" i="1" s="1"/>
  <c r="P47" i="1"/>
  <c r="A47" i="1"/>
  <c r="FW46" i="1"/>
  <c r="FV46" i="1"/>
  <c r="FS46" i="1"/>
  <c r="FQ46" i="1"/>
  <c r="FF46" i="1"/>
  <c r="FE46" i="1"/>
  <c r="FD46" i="1"/>
  <c r="FC46" i="1"/>
  <c r="FB46" i="1"/>
  <c r="FA46" i="1"/>
  <c r="EZ46" i="1"/>
  <c r="EY46" i="1"/>
  <c r="EX46" i="1"/>
  <c r="EW46" i="1"/>
  <c r="EV46" i="1"/>
  <c r="EU46" i="1"/>
  <c r="ET46" i="1"/>
  <c r="ES46" i="1"/>
  <c r="EP46" i="1"/>
  <c r="EO46" i="1"/>
  <c r="EO46" i="1" a="1"/>
  <c r="EM46" i="1"/>
  <c r="EL46" i="1"/>
  <c r="EL46" i="1" a="1"/>
  <c r="EJ46" i="1"/>
  <c r="EI46" i="1"/>
  <c r="EG46" i="1"/>
  <c r="EE46" i="1"/>
  <c r="DT46" i="1"/>
  <c r="DD46" i="1"/>
  <c r="DC46" i="1"/>
  <c r="CG46" i="1"/>
  <c r="CF46" i="1"/>
  <c r="CF46" i="1" a="1"/>
  <c r="CE46" i="1"/>
  <c r="CD46" i="1"/>
  <c r="CA46" i="1"/>
  <c r="BY46" i="1"/>
  <c r="BA46" i="1"/>
  <c r="Z46" i="1"/>
  <c r="X46" i="1"/>
  <c r="T46" i="1"/>
  <c r="EF46" i="1" s="1"/>
  <c r="P46" i="1"/>
  <c r="A46" i="1"/>
  <c r="FW45" i="1"/>
  <c r="FV45" i="1"/>
  <c r="FS45" i="1"/>
  <c r="FQ45" i="1"/>
  <c r="FG45" i="1"/>
  <c r="FF45" i="1"/>
  <c r="FE45" i="1"/>
  <c r="FD45" i="1"/>
  <c r="FC45" i="1"/>
  <c r="FB45" i="1"/>
  <c r="FA45" i="1"/>
  <c r="EZ45" i="1"/>
  <c r="EY45" i="1"/>
  <c r="EX45" i="1"/>
  <c r="EW45" i="1"/>
  <c r="EV45" i="1"/>
  <c r="EU45" i="1"/>
  <c r="ET45" i="1"/>
  <c r="ES45" i="1"/>
  <c r="EP45" i="1"/>
  <c r="EO45" i="1"/>
  <c r="EO45" i="1" a="1"/>
  <c r="EM45" i="1"/>
  <c r="EL45" i="1"/>
  <c r="EL45" i="1" a="1"/>
  <c r="EI45" i="1"/>
  <c r="EE45" i="1"/>
  <c r="DT45" i="1"/>
  <c r="DD45" i="1"/>
  <c r="DC45" i="1"/>
  <c r="CG45" i="1"/>
  <c r="CF45" i="1"/>
  <c r="CF45" i="1" a="1"/>
  <c r="CE45" i="1"/>
  <c r="CD45" i="1"/>
  <c r="CA45" i="1"/>
  <c r="BY45" i="1"/>
  <c r="BA45" i="1"/>
  <c r="Z45" i="1"/>
  <c r="X45" i="1"/>
  <c r="T45" i="1"/>
  <c r="EG45" i="1" s="1"/>
  <c r="P45" i="1"/>
  <c r="A45" i="1"/>
  <c r="FW44" i="1"/>
  <c r="FV44" i="1"/>
  <c r="FS44" i="1"/>
  <c r="FQ44" i="1"/>
  <c r="FH44" i="1"/>
  <c r="FG44" i="1"/>
  <c r="FF44" i="1"/>
  <c r="FE44" i="1"/>
  <c r="FD44" i="1"/>
  <c r="FC44" i="1"/>
  <c r="FB44" i="1"/>
  <c r="FA44" i="1"/>
  <c r="EZ44" i="1"/>
  <c r="EY44" i="1"/>
  <c r="EX44" i="1"/>
  <c r="EW44" i="1"/>
  <c r="EV44" i="1"/>
  <c r="EU44" i="1"/>
  <c r="ET44" i="1"/>
  <c r="ES44" i="1"/>
  <c r="EP44" i="1"/>
  <c r="EO44" i="1"/>
  <c r="EO44" i="1" a="1"/>
  <c r="EM44" i="1"/>
  <c r="EL44" i="1"/>
  <c r="EL44" i="1" a="1"/>
  <c r="EG44" i="1"/>
  <c r="EE44" i="1"/>
  <c r="DT44" i="1"/>
  <c r="DD44" i="1"/>
  <c r="DC44" i="1"/>
  <c r="CG44" i="1"/>
  <c r="CF44" i="1"/>
  <c r="CF44" i="1" a="1"/>
  <c r="CE44" i="1"/>
  <c r="CD44" i="1"/>
  <c r="CA44" i="1"/>
  <c r="BY44" i="1"/>
  <c r="BA44" i="1"/>
  <c r="Z44" i="1"/>
  <c r="X44" i="1"/>
  <c r="T44" i="1"/>
  <c r="EJ44" i="1" s="1"/>
  <c r="P44" i="1"/>
  <c r="A44" i="1"/>
  <c r="FW43" i="1"/>
  <c r="FV43" i="1"/>
  <c r="FS43" i="1"/>
  <c r="FQ43" i="1"/>
  <c r="FG43" i="1"/>
  <c r="FF43" i="1"/>
  <c r="FE43" i="1"/>
  <c r="FD43" i="1"/>
  <c r="FC43" i="1"/>
  <c r="FB43" i="1"/>
  <c r="FA43" i="1"/>
  <c r="EZ43" i="1"/>
  <c r="EY43" i="1"/>
  <c r="EX43" i="1"/>
  <c r="EW43" i="1"/>
  <c r="EV43" i="1"/>
  <c r="EU43" i="1"/>
  <c r="ET43" i="1"/>
  <c r="ES43" i="1"/>
  <c r="EP43" i="1"/>
  <c r="EO43" i="1"/>
  <c r="EO43" i="1" a="1"/>
  <c r="EM43" i="1"/>
  <c r="EL43" i="1"/>
  <c r="EL43" i="1" a="1"/>
  <c r="ED43" i="1"/>
  <c r="DT43" i="1"/>
  <c r="DD43" i="1"/>
  <c r="DC43" i="1"/>
  <c r="CG43" i="1"/>
  <c r="CF43" i="1"/>
  <c r="CF43" i="1" a="1"/>
  <c r="CE43" i="1"/>
  <c r="CD43" i="1"/>
  <c r="CA43" i="1"/>
  <c r="BY43" i="1"/>
  <c r="BA43" i="1"/>
  <c r="Z43" i="1"/>
  <c r="X43" i="1"/>
  <c r="T43" i="1"/>
  <c r="EJ43" i="1" s="1"/>
  <c r="P43" i="1"/>
  <c r="A43" i="1"/>
  <c r="FW42" i="1"/>
  <c r="FV42" i="1"/>
  <c r="FS42" i="1"/>
  <c r="FQ42" i="1"/>
  <c r="FG42" i="1"/>
  <c r="FF42" i="1"/>
  <c r="FE42" i="1"/>
  <c r="FD42" i="1"/>
  <c r="FC42" i="1"/>
  <c r="FB42" i="1"/>
  <c r="FA42" i="1"/>
  <c r="EZ42" i="1"/>
  <c r="EY42" i="1"/>
  <c r="EX42" i="1"/>
  <c r="EW42" i="1"/>
  <c r="EV42" i="1"/>
  <c r="EU42" i="1"/>
  <c r="ET42" i="1"/>
  <c r="ES42" i="1"/>
  <c r="EP42" i="1"/>
  <c r="EO42" i="1"/>
  <c r="EO42" i="1" a="1"/>
  <c r="EM42" i="1"/>
  <c r="EL42" i="1"/>
  <c r="EL42" i="1" a="1"/>
  <c r="EJ42" i="1"/>
  <c r="EE42" i="1"/>
  <c r="ED42" i="1"/>
  <c r="DT42" i="1"/>
  <c r="DD42" i="1"/>
  <c r="DC42" i="1"/>
  <c r="CG42" i="1"/>
  <c r="CF42" i="1"/>
  <c r="CF42" i="1" a="1"/>
  <c r="CE42" i="1"/>
  <c r="CD42" i="1"/>
  <c r="CA42" i="1"/>
  <c r="BY42" i="1"/>
  <c r="BA42" i="1"/>
  <c r="Z42" i="1"/>
  <c r="X42" i="1"/>
  <c r="T42" i="1"/>
  <c r="EI42" i="1" s="1"/>
  <c r="P42" i="1"/>
  <c r="A42" i="1"/>
  <c r="FW41" i="1"/>
  <c r="FV41" i="1"/>
  <c r="FS41" i="1"/>
  <c r="FQ41" i="1"/>
  <c r="FG41" i="1"/>
  <c r="FF41" i="1"/>
  <c r="FE41" i="1"/>
  <c r="FD41" i="1"/>
  <c r="FC41" i="1"/>
  <c r="FB41" i="1"/>
  <c r="FA41" i="1"/>
  <c r="EZ41" i="1"/>
  <c r="EY41" i="1"/>
  <c r="EX41" i="1"/>
  <c r="EW41" i="1"/>
  <c r="EV41" i="1"/>
  <c r="EU41" i="1"/>
  <c r="ET41" i="1"/>
  <c r="ES41" i="1"/>
  <c r="EP41" i="1"/>
  <c r="EO41" i="1"/>
  <c r="EO41" i="1" a="1"/>
  <c r="EM41" i="1"/>
  <c r="EL41" i="1"/>
  <c r="EL41" i="1" a="1"/>
  <c r="DT41" i="1"/>
  <c r="DD41" i="1"/>
  <c r="DC41" i="1"/>
  <c r="CG41" i="1"/>
  <c r="CF41" i="1"/>
  <c r="CF41" i="1" a="1"/>
  <c r="CE41" i="1"/>
  <c r="CD41" i="1"/>
  <c r="CA41" i="1"/>
  <c r="BY41" i="1"/>
  <c r="BA41" i="1"/>
  <c r="Z41" i="1"/>
  <c r="X41" i="1"/>
  <c r="T41" i="1"/>
  <c r="EJ41" i="1" s="1"/>
  <c r="P41" i="1"/>
  <c r="A41" i="1"/>
  <c r="FW40" i="1"/>
  <c r="FV40" i="1"/>
  <c r="FS40" i="1"/>
  <c r="FQ40" i="1"/>
  <c r="FH40" i="1"/>
  <c r="FG40" i="1"/>
  <c r="FF40" i="1"/>
  <c r="FE40" i="1"/>
  <c r="FD40" i="1"/>
  <c r="FC40" i="1"/>
  <c r="FB40" i="1"/>
  <c r="FA40" i="1"/>
  <c r="EZ40" i="1"/>
  <c r="EY40" i="1"/>
  <c r="EX40" i="1"/>
  <c r="EW40" i="1"/>
  <c r="EV40" i="1"/>
  <c r="EU40" i="1"/>
  <c r="ET40" i="1"/>
  <c r="ES40" i="1"/>
  <c r="EP40" i="1"/>
  <c r="EO40" i="1"/>
  <c r="EO40" i="1" a="1"/>
  <c r="EM40" i="1"/>
  <c r="EL40" i="1"/>
  <c r="EL40" i="1" a="1"/>
  <c r="DT40" i="1"/>
  <c r="DD40" i="1"/>
  <c r="DC40" i="1"/>
  <c r="CG40" i="1"/>
  <c r="CF40" i="1"/>
  <c r="CF40" i="1" a="1"/>
  <c r="CE40" i="1"/>
  <c r="CD40" i="1"/>
  <c r="CA40" i="1"/>
  <c r="BY40" i="1"/>
  <c r="BA40" i="1"/>
  <c r="Z40" i="1"/>
  <c r="X40" i="1"/>
  <c r="T40" i="1"/>
  <c r="EG40" i="1" s="1"/>
  <c r="P40" i="1"/>
  <c r="A40" i="1"/>
  <c r="FW39" i="1"/>
  <c r="FV39" i="1"/>
  <c r="FS39" i="1"/>
  <c r="FQ39" i="1"/>
  <c r="FG39" i="1"/>
  <c r="FF39" i="1"/>
  <c r="FE39" i="1"/>
  <c r="FD39" i="1"/>
  <c r="FC39" i="1"/>
  <c r="FB39" i="1"/>
  <c r="FA39" i="1"/>
  <c r="EZ39" i="1"/>
  <c r="EY39" i="1"/>
  <c r="EX39" i="1"/>
  <c r="EW39" i="1"/>
  <c r="EV39" i="1"/>
  <c r="EU39" i="1"/>
  <c r="ET39" i="1"/>
  <c r="ES39" i="1"/>
  <c r="EP39" i="1"/>
  <c r="EO39" i="1"/>
  <c r="EO39" i="1" a="1"/>
  <c r="EM39" i="1"/>
  <c r="EL39" i="1"/>
  <c r="EL39" i="1" a="1"/>
  <c r="EG39" i="1"/>
  <c r="EE39" i="1"/>
  <c r="DT39" i="1"/>
  <c r="DD39" i="1"/>
  <c r="DC39" i="1"/>
  <c r="CG39" i="1"/>
  <c r="CF39" i="1"/>
  <c r="CF39" i="1" a="1"/>
  <c r="CE39" i="1"/>
  <c r="CD39" i="1"/>
  <c r="CA39" i="1"/>
  <c r="BY39" i="1"/>
  <c r="BA39" i="1"/>
  <c r="Z39" i="1"/>
  <c r="X39" i="1"/>
  <c r="T39" i="1"/>
  <c r="EF39" i="1" s="1"/>
  <c r="P39" i="1"/>
  <c r="A39" i="1"/>
  <c r="FW38" i="1"/>
  <c r="FV38" i="1"/>
  <c r="FS38" i="1"/>
  <c r="FQ38" i="1"/>
  <c r="FH38" i="1"/>
  <c r="FG38" i="1"/>
  <c r="FF38" i="1"/>
  <c r="FE38" i="1"/>
  <c r="FD38" i="1"/>
  <c r="FC38" i="1"/>
  <c r="FB38" i="1"/>
  <c r="FA38" i="1"/>
  <c r="EZ38" i="1"/>
  <c r="EY38" i="1"/>
  <c r="EX38" i="1"/>
  <c r="EW38" i="1"/>
  <c r="EV38" i="1"/>
  <c r="EU38" i="1"/>
  <c r="ET38" i="1"/>
  <c r="ES38" i="1"/>
  <c r="EP38" i="1"/>
  <c r="EO38" i="1"/>
  <c r="EO38" i="1" a="1"/>
  <c r="EM38" i="1"/>
  <c r="EL38" i="1"/>
  <c r="EL38" i="1" a="1"/>
  <c r="EE38" i="1"/>
  <c r="DT38" i="1"/>
  <c r="DD38" i="1"/>
  <c r="DC38" i="1"/>
  <c r="CG38" i="1"/>
  <c r="CF38" i="1"/>
  <c r="CF38" i="1" a="1"/>
  <c r="CE38" i="1"/>
  <c r="CD38" i="1"/>
  <c r="CA38" i="1"/>
  <c r="BY38" i="1"/>
  <c r="BA38" i="1"/>
  <c r="Z38" i="1"/>
  <c r="X38" i="1"/>
  <c r="T38" i="1"/>
  <c r="ED38" i="1" s="1"/>
  <c r="P38" i="1"/>
  <c r="A38" i="1"/>
  <c r="FW37" i="1"/>
  <c r="FV37" i="1"/>
  <c r="FS37" i="1"/>
  <c r="FQ37" i="1"/>
  <c r="FH37" i="1"/>
  <c r="FG37" i="1"/>
  <c r="FF37" i="1"/>
  <c r="FE37" i="1"/>
  <c r="FD37" i="1"/>
  <c r="FC37" i="1"/>
  <c r="FB37" i="1"/>
  <c r="FA37" i="1"/>
  <c r="EZ37" i="1"/>
  <c r="EY37" i="1"/>
  <c r="EX37" i="1"/>
  <c r="EW37" i="1"/>
  <c r="EV37" i="1"/>
  <c r="EU37" i="1"/>
  <c r="ET37" i="1"/>
  <c r="ES37" i="1"/>
  <c r="EP37" i="1"/>
  <c r="EO37" i="1"/>
  <c r="EO37" i="1" a="1"/>
  <c r="EM37" i="1"/>
  <c r="EL37" i="1"/>
  <c r="EL37" i="1" a="1"/>
  <c r="DT37" i="1"/>
  <c r="DD37" i="1"/>
  <c r="DC37" i="1"/>
  <c r="CG37" i="1"/>
  <c r="CF37" i="1"/>
  <c r="CF37" i="1" a="1"/>
  <c r="CE37" i="1"/>
  <c r="CD37" i="1"/>
  <c r="CA37" i="1"/>
  <c r="BY37" i="1"/>
  <c r="BA37" i="1"/>
  <c r="Z37" i="1"/>
  <c r="X37" i="1"/>
  <c r="T37" i="1"/>
  <c r="EJ37" i="1" s="1"/>
  <c r="P37" i="1"/>
  <c r="A37" i="1"/>
  <c r="FW36" i="1"/>
  <c r="FV36" i="1"/>
  <c r="FS36" i="1"/>
  <c r="FQ36" i="1"/>
  <c r="FH36" i="1"/>
  <c r="FG36" i="1"/>
  <c r="FF36" i="1"/>
  <c r="FE36" i="1"/>
  <c r="FD36" i="1"/>
  <c r="FC36" i="1"/>
  <c r="FB36" i="1"/>
  <c r="FA36" i="1"/>
  <c r="EZ36" i="1"/>
  <c r="EY36" i="1"/>
  <c r="EX36" i="1"/>
  <c r="EW36" i="1"/>
  <c r="EV36" i="1"/>
  <c r="EU36" i="1"/>
  <c r="ET36" i="1"/>
  <c r="ES36" i="1"/>
  <c r="EP36" i="1"/>
  <c r="EO36" i="1"/>
  <c r="EO36" i="1" a="1"/>
  <c r="EM36" i="1"/>
  <c r="EL36" i="1"/>
  <c r="EL36" i="1" a="1"/>
  <c r="DT36" i="1"/>
  <c r="DD36" i="1"/>
  <c r="DC36" i="1"/>
  <c r="CG36" i="1"/>
  <c r="CF36" i="1"/>
  <c r="CF36" i="1" a="1"/>
  <c r="CE36" i="1"/>
  <c r="CD36" i="1"/>
  <c r="CA36" i="1"/>
  <c r="BY36" i="1"/>
  <c r="BA36" i="1"/>
  <c r="Z36" i="1"/>
  <c r="X36" i="1"/>
  <c r="T36" i="1"/>
  <c r="EJ36" i="1" s="1"/>
  <c r="P36" i="1"/>
  <c r="A36" i="1"/>
  <c r="FW35" i="1"/>
  <c r="FV35" i="1"/>
  <c r="FS35" i="1"/>
  <c r="FQ35" i="1"/>
  <c r="FG35" i="1"/>
  <c r="FF35" i="1"/>
  <c r="FE35" i="1"/>
  <c r="FD35" i="1"/>
  <c r="FC35" i="1"/>
  <c r="FB35" i="1"/>
  <c r="FA35" i="1"/>
  <c r="EZ35" i="1"/>
  <c r="EY35" i="1"/>
  <c r="EX35" i="1"/>
  <c r="EW35" i="1"/>
  <c r="EV35" i="1"/>
  <c r="EU35" i="1"/>
  <c r="ET35" i="1"/>
  <c r="ES35" i="1"/>
  <c r="EP35" i="1"/>
  <c r="EO35" i="1"/>
  <c r="EO35" i="1" a="1"/>
  <c r="EM35" i="1"/>
  <c r="EL35" i="1"/>
  <c r="EL35" i="1" a="1"/>
  <c r="EJ35" i="1"/>
  <c r="EE35" i="1"/>
  <c r="DT35" i="1"/>
  <c r="DD35" i="1"/>
  <c r="DC35" i="1"/>
  <c r="CG35" i="1"/>
  <c r="CF35" i="1"/>
  <c r="CF35" i="1" a="1"/>
  <c r="CE35" i="1"/>
  <c r="CD35" i="1"/>
  <c r="CA35" i="1"/>
  <c r="BY35" i="1"/>
  <c r="BA35" i="1"/>
  <c r="Z35" i="1"/>
  <c r="X35" i="1"/>
  <c r="T35" i="1"/>
  <c r="EI35" i="1" s="1"/>
  <c r="P35" i="1"/>
  <c r="A35" i="1"/>
  <c r="FW34" i="1"/>
  <c r="FV34" i="1"/>
  <c r="FS34" i="1"/>
  <c r="FQ34" i="1"/>
  <c r="FG34" i="1"/>
  <c r="FF34" i="1"/>
  <c r="FE34" i="1"/>
  <c r="FD34" i="1"/>
  <c r="FC34" i="1"/>
  <c r="FB34" i="1"/>
  <c r="FA34" i="1"/>
  <c r="EZ34" i="1"/>
  <c r="EY34" i="1"/>
  <c r="EX34" i="1"/>
  <c r="EW34" i="1"/>
  <c r="EV34" i="1"/>
  <c r="EU34" i="1"/>
  <c r="ET34" i="1"/>
  <c r="ES34" i="1"/>
  <c r="EP34" i="1"/>
  <c r="EO34" i="1"/>
  <c r="EO34" i="1" a="1"/>
  <c r="EM34" i="1"/>
  <c r="EL34" i="1"/>
  <c r="EL34" i="1" a="1"/>
  <c r="EJ34" i="1"/>
  <c r="EI34" i="1"/>
  <c r="ED34" i="1"/>
  <c r="DT34" i="1"/>
  <c r="DD34" i="1"/>
  <c r="DC34" i="1"/>
  <c r="CG34" i="1"/>
  <c r="CF34" i="1"/>
  <c r="CF34" i="1" a="1"/>
  <c r="CE34" i="1"/>
  <c r="CD34" i="1"/>
  <c r="CA34" i="1"/>
  <c r="BY34" i="1"/>
  <c r="BA34" i="1"/>
  <c r="Z34" i="1"/>
  <c r="X34" i="1"/>
  <c r="T34" i="1"/>
  <c r="EG34" i="1" s="1"/>
  <c r="P34" i="1"/>
  <c r="A34" i="1"/>
  <c r="FW33" i="1"/>
  <c r="FV33" i="1"/>
  <c r="FS33" i="1"/>
  <c r="FQ33" i="1"/>
  <c r="FG33" i="1"/>
  <c r="FF33" i="1"/>
  <c r="FE33" i="1"/>
  <c r="FD33" i="1"/>
  <c r="FC33" i="1"/>
  <c r="FB33" i="1"/>
  <c r="FA33" i="1"/>
  <c r="EZ33" i="1"/>
  <c r="EY33" i="1"/>
  <c r="EX33" i="1"/>
  <c r="EW33" i="1"/>
  <c r="EV33" i="1"/>
  <c r="EU33" i="1"/>
  <c r="ET33" i="1"/>
  <c r="ES33" i="1"/>
  <c r="EP33" i="1"/>
  <c r="EO33" i="1"/>
  <c r="EO33" i="1" a="1"/>
  <c r="EM33" i="1"/>
  <c r="EL33" i="1"/>
  <c r="EL33" i="1" a="1"/>
  <c r="DT33" i="1"/>
  <c r="DD33" i="1"/>
  <c r="DC33" i="1"/>
  <c r="CG33" i="1"/>
  <c r="CF33" i="1"/>
  <c r="CF33" i="1" a="1"/>
  <c r="CE33" i="1"/>
  <c r="CD33" i="1"/>
  <c r="CA33" i="1"/>
  <c r="BY33" i="1"/>
  <c r="BA33" i="1"/>
  <c r="Z33" i="1"/>
  <c r="X33" i="1"/>
  <c r="T33" i="1"/>
  <c r="EG33" i="1" s="1"/>
  <c r="P33" i="1"/>
  <c r="A33" i="1"/>
  <c r="FW32" i="1"/>
  <c r="FV32" i="1"/>
  <c r="FS32" i="1"/>
  <c r="FQ32" i="1"/>
  <c r="FG32" i="1"/>
  <c r="FF32" i="1"/>
  <c r="FE32" i="1"/>
  <c r="FD32" i="1"/>
  <c r="FC32" i="1"/>
  <c r="FB32" i="1"/>
  <c r="FA32" i="1"/>
  <c r="EZ32" i="1"/>
  <c r="EY32" i="1"/>
  <c r="EX32" i="1"/>
  <c r="EW32" i="1"/>
  <c r="EV32" i="1"/>
  <c r="EU32" i="1"/>
  <c r="ET32" i="1"/>
  <c r="ES32" i="1"/>
  <c r="EP32" i="1"/>
  <c r="EO32" i="1"/>
  <c r="EO32" i="1" a="1"/>
  <c r="EM32" i="1"/>
  <c r="EL32" i="1"/>
  <c r="EL32" i="1" a="1"/>
  <c r="EE32" i="1"/>
  <c r="ED32" i="1"/>
  <c r="DT32" i="1"/>
  <c r="DD32" i="1"/>
  <c r="DC32" i="1"/>
  <c r="CG32" i="1"/>
  <c r="CF32" i="1"/>
  <c r="CF32" i="1" a="1"/>
  <c r="CE32" i="1"/>
  <c r="CD32" i="1"/>
  <c r="CA32" i="1"/>
  <c r="BY32" i="1"/>
  <c r="BA32" i="1"/>
  <c r="Z32" i="1"/>
  <c r="X32" i="1"/>
  <c r="T32" i="1"/>
  <c r="EI32" i="1" s="1"/>
  <c r="P32" i="1"/>
  <c r="A32" i="1"/>
  <c r="FW31" i="1"/>
  <c r="FV31" i="1"/>
  <c r="FS31" i="1"/>
  <c r="FQ31" i="1"/>
  <c r="FG31" i="1"/>
  <c r="FF31" i="1"/>
  <c r="FE31" i="1"/>
  <c r="FD31" i="1"/>
  <c r="FC31" i="1"/>
  <c r="FB31" i="1"/>
  <c r="FA31" i="1"/>
  <c r="EZ31" i="1"/>
  <c r="EY31" i="1"/>
  <c r="EX31" i="1"/>
  <c r="EW31" i="1"/>
  <c r="EV31" i="1"/>
  <c r="EU31" i="1"/>
  <c r="ET31" i="1"/>
  <c r="ES31" i="1"/>
  <c r="EP31" i="1"/>
  <c r="EO31" i="1"/>
  <c r="EO31" i="1" a="1"/>
  <c r="EM31" i="1"/>
  <c r="EL31" i="1"/>
  <c r="EL31" i="1" a="1"/>
  <c r="DT31" i="1"/>
  <c r="DD31" i="1"/>
  <c r="DC31" i="1"/>
  <c r="CG31" i="1"/>
  <c r="CF31" i="1"/>
  <c r="CF31" i="1" a="1"/>
  <c r="CE31" i="1"/>
  <c r="CD31" i="1"/>
  <c r="CA31" i="1"/>
  <c r="BY31" i="1"/>
  <c r="BA31" i="1"/>
  <c r="Z31" i="1"/>
  <c r="X31" i="1"/>
  <c r="T31" i="1"/>
  <c r="EI31" i="1" s="1"/>
  <c r="P31" i="1"/>
  <c r="A31" i="1"/>
  <c r="FW30" i="1"/>
  <c r="FV30" i="1"/>
  <c r="FS30" i="1"/>
  <c r="FQ30" i="1"/>
  <c r="FH30" i="1"/>
  <c r="FG30" i="1"/>
  <c r="FF30" i="1"/>
  <c r="FE30" i="1"/>
  <c r="FD30" i="1"/>
  <c r="FC30" i="1"/>
  <c r="FB30" i="1"/>
  <c r="FA30" i="1"/>
  <c r="EZ30" i="1"/>
  <c r="EY30" i="1"/>
  <c r="EX30" i="1"/>
  <c r="EW30" i="1"/>
  <c r="EV30" i="1"/>
  <c r="EU30" i="1"/>
  <c r="ET30" i="1"/>
  <c r="ES30" i="1"/>
  <c r="EP30" i="1"/>
  <c r="EO30" i="1"/>
  <c r="EO30" i="1" a="1"/>
  <c r="EM30" i="1"/>
  <c r="EL30" i="1"/>
  <c r="EL30" i="1" a="1"/>
  <c r="DT30" i="1"/>
  <c r="DD30" i="1"/>
  <c r="DC30" i="1"/>
  <c r="CG30" i="1"/>
  <c r="CF30" i="1"/>
  <c r="CF30" i="1" a="1"/>
  <c r="CE30" i="1"/>
  <c r="CD30" i="1"/>
  <c r="CA30" i="1"/>
  <c r="BY30" i="1"/>
  <c r="BA30" i="1"/>
  <c r="Z30" i="1"/>
  <c r="X30" i="1"/>
  <c r="T30" i="1"/>
  <c r="EG30" i="1" s="1"/>
  <c r="P30" i="1"/>
  <c r="A30" i="1"/>
  <c r="FW29" i="1"/>
  <c r="FV29" i="1"/>
  <c r="FS29" i="1"/>
  <c r="FQ29" i="1"/>
  <c r="FH29" i="1"/>
  <c r="FG29" i="1"/>
  <c r="FF29" i="1"/>
  <c r="FE29" i="1"/>
  <c r="FD29" i="1"/>
  <c r="FC29" i="1"/>
  <c r="FB29" i="1"/>
  <c r="FA29" i="1"/>
  <c r="EZ29" i="1"/>
  <c r="EY29" i="1"/>
  <c r="EX29" i="1"/>
  <c r="EW29" i="1"/>
  <c r="EV29" i="1"/>
  <c r="EU29" i="1"/>
  <c r="ET29" i="1"/>
  <c r="ES29" i="1"/>
  <c r="EP29" i="1"/>
  <c r="EO29" i="1"/>
  <c r="EO29" i="1" a="1"/>
  <c r="EM29" i="1"/>
  <c r="EL29" i="1"/>
  <c r="EL29" i="1" a="1"/>
  <c r="DT29" i="1"/>
  <c r="DD29" i="1"/>
  <c r="DC29" i="1"/>
  <c r="CG29" i="1"/>
  <c r="CF29" i="1"/>
  <c r="CF29" i="1" a="1"/>
  <c r="CE29" i="1"/>
  <c r="CD29" i="1"/>
  <c r="CA29" i="1"/>
  <c r="BY29" i="1"/>
  <c r="BA29" i="1"/>
  <c r="Z29" i="1"/>
  <c r="X29" i="1"/>
  <c r="T29" i="1"/>
  <c r="EG29" i="1" s="1"/>
  <c r="P29" i="1"/>
  <c r="A29" i="1"/>
  <c r="FW28" i="1"/>
  <c r="FV28" i="1"/>
  <c r="FS28" i="1"/>
  <c r="FQ28" i="1"/>
  <c r="FH28" i="1"/>
  <c r="FG28" i="1"/>
  <c r="FF28" i="1"/>
  <c r="FE28" i="1"/>
  <c r="FD28" i="1"/>
  <c r="FC28" i="1"/>
  <c r="FB28" i="1"/>
  <c r="FA28" i="1"/>
  <c r="EZ28" i="1"/>
  <c r="EY28" i="1"/>
  <c r="EX28" i="1"/>
  <c r="EW28" i="1"/>
  <c r="EV28" i="1"/>
  <c r="EU28" i="1"/>
  <c r="ET28" i="1"/>
  <c r="ES28" i="1"/>
  <c r="EP28" i="1"/>
  <c r="EO28" i="1"/>
  <c r="EO28" i="1" a="1"/>
  <c r="EM28" i="1"/>
  <c r="EL28" i="1"/>
  <c r="EL28" i="1" a="1"/>
  <c r="EG28" i="1"/>
  <c r="ED28" i="1"/>
  <c r="DT28" i="1"/>
  <c r="DD28" i="1"/>
  <c r="DC28" i="1"/>
  <c r="CJ28" i="1"/>
  <c r="CG28" i="1"/>
  <c r="CF28" i="1"/>
  <c r="CF28" i="1" a="1"/>
  <c r="CE28" i="1"/>
  <c r="CD28" i="1"/>
  <c r="CA28" i="1"/>
  <c r="BY28" i="1"/>
  <c r="BA28" i="1"/>
  <c r="Z28" i="1"/>
  <c r="X28" i="1"/>
  <c r="T28" i="1"/>
  <c r="EE28" i="1" s="1"/>
  <c r="P28" i="1"/>
  <c r="A28" i="1"/>
  <c r="FW27" i="1"/>
  <c r="FV27" i="1"/>
  <c r="FS27" i="1"/>
  <c r="FQ27" i="1"/>
  <c r="FH27" i="1"/>
  <c r="FG27" i="1"/>
  <c r="FF27" i="1"/>
  <c r="FE27" i="1"/>
  <c r="FD27" i="1"/>
  <c r="FC27" i="1"/>
  <c r="FB27" i="1"/>
  <c r="FA27" i="1"/>
  <c r="EZ27" i="1"/>
  <c r="EY27" i="1"/>
  <c r="EX27" i="1"/>
  <c r="EW27" i="1"/>
  <c r="EV27" i="1"/>
  <c r="EU27" i="1"/>
  <c r="ET27" i="1"/>
  <c r="ES27" i="1"/>
  <c r="EP27" i="1"/>
  <c r="EO27" i="1"/>
  <c r="EO27" i="1" a="1"/>
  <c r="EM27" i="1"/>
  <c r="EL27" i="1"/>
  <c r="EL27" i="1" a="1"/>
  <c r="DT27" i="1"/>
  <c r="DD27" i="1"/>
  <c r="DC27" i="1"/>
  <c r="CJ27" i="1"/>
  <c r="CG27" i="1"/>
  <c r="CF27" i="1"/>
  <c r="CF27" i="1" a="1"/>
  <c r="CE27" i="1"/>
  <c r="CD27" i="1"/>
  <c r="CA27" i="1"/>
  <c r="BY27" i="1"/>
  <c r="BA27" i="1"/>
  <c r="Z27" i="1"/>
  <c r="X27" i="1"/>
  <c r="T27" i="1"/>
  <c r="ED27" i="1" s="1"/>
  <c r="P27" i="1"/>
  <c r="A27" i="1"/>
  <c r="FW26" i="1"/>
  <c r="FV26" i="1"/>
  <c r="FS26" i="1"/>
  <c r="FQ26" i="1"/>
  <c r="FG26" i="1"/>
  <c r="FF26" i="1"/>
  <c r="FE26" i="1"/>
  <c r="FD26" i="1"/>
  <c r="FC26" i="1"/>
  <c r="FB26" i="1"/>
  <c r="FA26" i="1"/>
  <c r="EZ26" i="1"/>
  <c r="EY26" i="1"/>
  <c r="EX26" i="1"/>
  <c r="EW26" i="1"/>
  <c r="EV26" i="1"/>
  <c r="EU26" i="1"/>
  <c r="ET26" i="1"/>
  <c r="ES26" i="1"/>
  <c r="EP26" i="1"/>
  <c r="EO26" i="1"/>
  <c r="EO26" i="1" a="1"/>
  <c r="EM26" i="1"/>
  <c r="EL26" i="1"/>
  <c r="EL26" i="1" a="1"/>
  <c r="DT26" i="1"/>
  <c r="DD26" i="1"/>
  <c r="DC26" i="1"/>
  <c r="CL26" i="1"/>
  <c r="CJ26" i="1"/>
  <c r="CG26" i="1"/>
  <c r="CF26" i="1"/>
  <c r="CF26" i="1" a="1"/>
  <c r="CE26" i="1"/>
  <c r="CD26" i="1"/>
  <c r="CA26" i="1"/>
  <c r="BY26" i="1"/>
  <c r="BA26" i="1"/>
  <c r="Z26" i="1"/>
  <c r="X26" i="1"/>
  <c r="T26" i="1"/>
  <c r="EJ26" i="1" s="1"/>
  <c r="P26" i="1"/>
  <c r="A26" i="1"/>
  <c r="FW25" i="1"/>
  <c r="FV25" i="1"/>
  <c r="FS25" i="1"/>
  <c r="FQ25" i="1"/>
  <c r="FH25" i="1"/>
  <c r="FG25" i="1"/>
  <c r="FF25" i="1"/>
  <c r="FE25" i="1"/>
  <c r="FD25" i="1"/>
  <c r="FC25" i="1"/>
  <c r="FB25" i="1"/>
  <c r="FA25" i="1"/>
  <c r="EZ25" i="1"/>
  <c r="EY25" i="1"/>
  <c r="EX25" i="1"/>
  <c r="EW25" i="1"/>
  <c r="EV25" i="1"/>
  <c r="EU25" i="1"/>
  <c r="ET25" i="1"/>
  <c r="ES25" i="1"/>
  <c r="EP25" i="1"/>
  <c r="EO25" i="1"/>
  <c r="EO25" i="1" a="1"/>
  <c r="EM25" i="1"/>
  <c r="EL25" i="1"/>
  <c r="EL25" i="1" a="1"/>
  <c r="EE25" i="1"/>
  <c r="DT25" i="1"/>
  <c r="DD25" i="1"/>
  <c r="DC25" i="1"/>
  <c r="CL25" i="1"/>
  <c r="CJ25" i="1"/>
  <c r="CG25" i="1"/>
  <c r="CF25" i="1"/>
  <c r="CF25" i="1" a="1"/>
  <c r="CE25" i="1"/>
  <c r="CD25" i="1"/>
  <c r="CA25" i="1"/>
  <c r="BY25" i="1"/>
  <c r="BA25" i="1"/>
  <c r="Z25" i="1"/>
  <c r="X25" i="1"/>
  <c r="T25" i="1"/>
  <c r="ED25" i="1" s="1"/>
  <c r="P25" i="1"/>
  <c r="A25" i="1"/>
  <c r="FW24" i="1"/>
  <c r="FV24" i="1"/>
  <c r="FS24" i="1"/>
  <c r="FQ24" i="1"/>
  <c r="FG24" i="1"/>
  <c r="FF24" i="1"/>
  <c r="FE24" i="1"/>
  <c r="FD24" i="1"/>
  <c r="FC24" i="1"/>
  <c r="FB24" i="1"/>
  <c r="FA24" i="1"/>
  <c r="EZ24" i="1"/>
  <c r="EY24" i="1"/>
  <c r="EX24" i="1"/>
  <c r="EW24" i="1"/>
  <c r="EV24" i="1"/>
  <c r="EU24" i="1"/>
  <c r="ET24" i="1"/>
  <c r="ES24" i="1"/>
  <c r="EP24" i="1"/>
  <c r="EO24" i="1"/>
  <c r="EO24" i="1" a="1"/>
  <c r="EM24" i="1"/>
  <c r="EL24" i="1"/>
  <c r="EL24" i="1" a="1"/>
  <c r="DT24" i="1"/>
  <c r="DD24" i="1"/>
  <c r="DC24" i="1"/>
  <c r="CL24" i="1"/>
  <c r="CJ24" i="1"/>
  <c r="CG24" i="1"/>
  <c r="CF24" i="1"/>
  <c r="CF24" i="1" a="1"/>
  <c r="CE24" i="1"/>
  <c r="CD24" i="1"/>
  <c r="CA24" i="1"/>
  <c r="BY24" i="1"/>
  <c r="BA24" i="1"/>
  <c r="Z24" i="1"/>
  <c r="X24" i="1"/>
  <c r="T24" i="1"/>
  <c r="EI24" i="1" s="1"/>
  <c r="P24" i="1"/>
  <c r="A24" i="1"/>
  <c r="FW23" i="1"/>
  <c r="FV23" i="1"/>
  <c r="FS23" i="1"/>
  <c r="FQ23" i="1"/>
  <c r="FF23" i="1"/>
  <c r="FE23" i="1"/>
  <c r="FD23" i="1"/>
  <c r="FC23" i="1"/>
  <c r="FB23" i="1"/>
  <c r="FA23" i="1"/>
  <c r="EZ23" i="1"/>
  <c r="EY23" i="1"/>
  <c r="EX23" i="1"/>
  <c r="EW23" i="1"/>
  <c r="EV23" i="1"/>
  <c r="EU23" i="1"/>
  <c r="ET23" i="1"/>
  <c r="ES23" i="1"/>
  <c r="EP23" i="1"/>
  <c r="EO23" i="1"/>
  <c r="EO23" i="1" a="1"/>
  <c r="EM23" i="1"/>
  <c r="EL23" i="1"/>
  <c r="EL23" i="1" a="1"/>
  <c r="DT23" i="1"/>
  <c r="DD23" i="1"/>
  <c r="DC23" i="1"/>
  <c r="CL23" i="1"/>
  <c r="CJ23" i="1"/>
  <c r="CG23" i="1"/>
  <c r="CF23" i="1"/>
  <c r="CF23" i="1" a="1"/>
  <c r="CE23" i="1"/>
  <c r="CD23" i="1"/>
  <c r="CA23" i="1"/>
  <c r="BY23" i="1"/>
  <c r="BA23" i="1"/>
  <c r="Z23" i="1"/>
  <c r="X23" i="1"/>
  <c r="T23" i="1"/>
  <c r="EI23" i="1" s="1"/>
  <c r="P23" i="1"/>
  <c r="A23" i="1"/>
  <c r="FW22" i="1"/>
  <c r="FV22" i="1"/>
  <c r="FS22" i="1"/>
  <c r="FQ22" i="1"/>
  <c r="FG22" i="1"/>
  <c r="FF22" i="1"/>
  <c r="FE22" i="1"/>
  <c r="FD22" i="1"/>
  <c r="FC22" i="1"/>
  <c r="FB22" i="1"/>
  <c r="FA22" i="1"/>
  <c r="EZ22" i="1"/>
  <c r="EY22" i="1"/>
  <c r="EX22" i="1"/>
  <c r="EW22" i="1"/>
  <c r="EV22" i="1"/>
  <c r="EU22" i="1"/>
  <c r="ET22" i="1"/>
  <c r="ES22" i="1"/>
  <c r="EP22" i="1"/>
  <c r="EO22" i="1"/>
  <c r="EO22" i="1" a="1"/>
  <c r="EM22" i="1"/>
  <c r="EL22" i="1"/>
  <c r="EL22" i="1" a="1"/>
  <c r="DT22" i="1"/>
  <c r="DD22" i="1"/>
  <c r="DC22" i="1"/>
  <c r="CL22" i="1"/>
  <c r="CJ22" i="1"/>
  <c r="CG22" i="1"/>
  <c r="CF22" i="1"/>
  <c r="CF22" i="1" a="1"/>
  <c r="CE22" i="1"/>
  <c r="CD22" i="1"/>
  <c r="CA22" i="1"/>
  <c r="BY22" i="1"/>
  <c r="BA22" i="1"/>
  <c r="Z22" i="1"/>
  <c r="X22" i="1"/>
  <c r="T22" i="1"/>
  <c r="EI22" i="1" s="1"/>
  <c r="P22" i="1"/>
  <c r="A22" i="1"/>
  <c r="FW21" i="1"/>
  <c r="FV21" i="1"/>
  <c r="FS21" i="1"/>
  <c r="FQ21" i="1"/>
  <c r="FH21" i="1"/>
  <c r="FG21" i="1"/>
  <c r="FF21" i="1"/>
  <c r="FE21" i="1"/>
  <c r="FD21" i="1"/>
  <c r="FC21" i="1"/>
  <c r="FB21" i="1"/>
  <c r="FA21" i="1"/>
  <c r="EZ21" i="1"/>
  <c r="EY21" i="1"/>
  <c r="EX21" i="1"/>
  <c r="EW21" i="1"/>
  <c r="EV21" i="1"/>
  <c r="EU21" i="1"/>
  <c r="ET21" i="1"/>
  <c r="ES21" i="1"/>
  <c r="EP21" i="1"/>
  <c r="EO21" i="1"/>
  <c r="EO21" i="1" a="1"/>
  <c r="EM21" i="1"/>
  <c r="EL21" i="1"/>
  <c r="EL21" i="1" a="1"/>
  <c r="DT21" i="1"/>
  <c r="DD21" i="1"/>
  <c r="DC21" i="1"/>
  <c r="CL21" i="1"/>
  <c r="CJ21" i="1"/>
  <c r="CG21" i="1"/>
  <c r="CF21" i="1"/>
  <c r="CF21" i="1" a="1"/>
  <c r="CE21" i="1"/>
  <c r="CD21" i="1"/>
  <c r="CA21" i="1"/>
  <c r="BY21" i="1"/>
  <c r="BA21" i="1"/>
  <c r="Z21" i="1"/>
  <c r="X21" i="1"/>
  <c r="T21" i="1"/>
  <c r="EI21" i="1" s="1"/>
  <c r="P21" i="1"/>
  <c r="N21" i="1"/>
  <c r="A21" i="1"/>
  <c r="FW20" i="1"/>
  <c r="FV20" i="1"/>
  <c r="FS20" i="1"/>
  <c r="FQ20" i="1"/>
  <c r="FD20" i="1"/>
  <c r="FC20" i="1"/>
  <c r="FB20" i="1"/>
  <c r="FA20" i="1"/>
  <c r="EZ20" i="1"/>
  <c r="EY20" i="1"/>
  <c r="EX20" i="1"/>
  <c r="EW20" i="1"/>
  <c r="EV20" i="1"/>
  <c r="EU20" i="1"/>
  <c r="ET20" i="1"/>
  <c r="ES20" i="1"/>
  <c r="EP20" i="1"/>
  <c r="EO20" i="1"/>
  <c r="EO20" i="1" a="1"/>
  <c r="EM20" i="1"/>
  <c r="EL20" i="1"/>
  <c r="EL20" i="1" a="1"/>
  <c r="EJ20" i="1"/>
  <c r="EI20" i="1"/>
  <c r="EG20" i="1"/>
  <c r="DT20" i="1"/>
  <c r="DD20" i="1"/>
  <c r="DC20" i="1"/>
  <c r="CL20" i="1"/>
  <c r="CJ20" i="1"/>
  <c r="CG20" i="1"/>
  <c r="CF20" i="1"/>
  <c r="CF20" i="1" a="1"/>
  <c r="CE20" i="1"/>
  <c r="CD20" i="1"/>
  <c r="CA20" i="1"/>
  <c r="BY20" i="1"/>
  <c r="BA20" i="1"/>
  <c r="Z20" i="1"/>
  <c r="X20" i="1"/>
  <c r="T20" i="1"/>
  <c r="EF20" i="1" s="1"/>
  <c r="P20" i="1"/>
  <c r="N20" i="1"/>
  <c r="A20" i="1"/>
  <c r="FW19" i="1"/>
  <c r="FV19" i="1"/>
  <c r="FS19" i="1"/>
  <c r="FQ19" i="1"/>
  <c r="FI19" i="1"/>
  <c r="FH19" i="1"/>
  <c r="FG19" i="1"/>
  <c r="FF19" i="1"/>
  <c r="FE19" i="1"/>
  <c r="FD19" i="1"/>
  <c r="FC19" i="1"/>
  <c r="FB19" i="1"/>
  <c r="FA19" i="1"/>
  <c r="EZ19" i="1"/>
  <c r="EY19" i="1"/>
  <c r="EX19" i="1"/>
  <c r="EW19" i="1"/>
  <c r="EV19" i="1"/>
  <c r="EU19" i="1"/>
  <c r="ET19" i="1"/>
  <c r="ES19" i="1"/>
  <c r="EP19" i="1"/>
  <c r="EO19" i="1"/>
  <c r="EO19" i="1" a="1"/>
  <c r="EM19" i="1"/>
  <c r="EL19" i="1"/>
  <c r="EL19" i="1" a="1"/>
  <c r="DT19" i="1"/>
  <c r="DD19" i="1"/>
  <c r="DC19" i="1"/>
  <c r="CL19" i="1"/>
  <c r="CJ19" i="1"/>
  <c r="CG19" i="1"/>
  <c r="CF19" i="1"/>
  <c r="CF19" i="1" a="1"/>
  <c r="CE19" i="1"/>
  <c r="CD19" i="1"/>
  <c r="CA19" i="1"/>
  <c r="BY19" i="1"/>
  <c r="BA19" i="1"/>
  <c r="Z19" i="1"/>
  <c r="X19" i="1"/>
  <c r="T19" i="1"/>
  <c r="EJ19" i="1" s="1"/>
  <c r="P19" i="1"/>
  <c r="A19" i="1"/>
  <c r="FW18" i="1"/>
  <c r="FV18" i="1"/>
  <c r="FS18" i="1"/>
  <c r="FQ18" i="1"/>
  <c r="FI18" i="1"/>
  <c r="FH18" i="1"/>
  <c r="FG18" i="1"/>
  <c r="FF18" i="1"/>
  <c r="FE18" i="1"/>
  <c r="FD18" i="1"/>
  <c r="FC18" i="1"/>
  <c r="FB18" i="1"/>
  <c r="FA18" i="1"/>
  <c r="EZ18" i="1"/>
  <c r="EY18" i="1"/>
  <c r="EX18" i="1"/>
  <c r="EW18" i="1"/>
  <c r="EV18" i="1"/>
  <c r="EU18" i="1"/>
  <c r="ET18" i="1"/>
  <c r="ES18" i="1"/>
  <c r="EP18" i="1"/>
  <c r="EO18" i="1"/>
  <c r="EO18" i="1" a="1"/>
  <c r="EM18" i="1"/>
  <c r="EL18" i="1"/>
  <c r="EL18" i="1" a="1"/>
  <c r="EE18" i="1"/>
  <c r="DT18" i="1"/>
  <c r="DD18" i="1"/>
  <c r="DC18" i="1"/>
  <c r="CL18" i="1"/>
  <c r="CJ18" i="1"/>
  <c r="CG18" i="1"/>
  <c r="CF18" i="1"/>
  <c r="CF18" i="1" a="1"/>
  <c r="CE18" i="1"/>
  <c r="CD18" i="1"/>
  <c r="CA18" i="1"/>
  <c r="BY18" i="1"/>
  <c r="BA18" i="1"/>
  <c r="Z18" i="1"/>
  <c r="X18" i="1"/>
  <c r="T18" i="1"/>
  <c r="ED18" i="1" s="1"/>
  <c r="P18" i="1"/>
  <c r="A18" i="1"/>
  <c r="FW17" i="1"/>
  <c r="FV17" i="1"/>
  <c r="FS17" i="1"/>
  <c r="FQ17" i="1"/>
  <c r="FI17" i="1"/>
  <c r="FH17" i="1"/>
  <c r="FG17" i="1"/>
  <c r="FF17" i="1"/>
  <c r="FE17" i="1"/>
  <c r="FD17" i="1"/>
  <c r="FC17" i="1"/>
  <c r="FB17" i="1"/>
  <c r="FA17" i="1"/>
  <c r="EZ17" i="1"/>
  <c r="EY17" i="1"/>
  <c r="EX17" i="1"/>
  <c r="EW17" i="1"/>
  <c r="EV17" i="1"/>
  <c r="EU17" i="1"/>
  <c r="ET17" i="1"/>
  <c r="ES17" i="1"/>
  <c r="EP17" i="1"/>
  <c r="EO17" i="1"/>
  <c r="EO17" i="1" a="1"/>
  <c r="EM17" i="1"/>
  <c r="EL17" i="1"/>
  <c r="EL17" i="1" a="1"/>
  <c r="DT17" i="1"/>
  <c r="DD17" i="1"/>
  <c r="DC17" i="1"/>
  <c r="CL17" i="1"/>
  <c r="CJ17" i="1"/>
  <c r="CG17" i="1"/>
  <c r="CF17" i="1"/>
  <c r="CF17" i="1" a="1"/>
  <c r="CE17" i="1"/>
  <c r="CD17" i="1"/>
  <c r="CA17" i="1"/>
  <c r="BY17" i="1"/>
  <c r="BA17" i="1"/>
  <c r="Z17" i="1"/>
  <c r="X17" i="1"/>
  <c r="T17" i="1"/>
  <c r="EE17" i="1" s="1"/>
  <c r="P17" i="1"/>
  <c r="A17" i="1"/>
  <c r="FW16" i="1"/>
  <c r="FV16" i="1"/>
  <c r="FS16" i="1"/>
  <c r="FQ16" i="1"/>
  <c r="FI16" i="1"/>
  <c r="FH16" i="1"/>
  <c r="FG16" i="1"/>
  <c r="FF16" i="1"/>
  <c r="FE16" i="1"/>
  <c r="FD16" i="1"/>
  <c r="FC16" i="1"/>
  <c r="FB16" i="1"/>
  <c r="FA16" i="1"/>
  <c r="EZ16" i="1"/>
  <c r="EY16" i="1"/>
  <c r="EX16" i="1"/>
  <c r="EW16" i="1"/>
  <c r="EV16" i="1"/>
  <c r="EU16" i="1"/>
  <c r="ET16" i="1"/>
  <c r="ES16" i="1"/>
  <c r="EP16" i="1"/>
  <c r="EO16" i="1"/>
  <c r="EO16" i="1" a="1"/>
  <c r="EM16" i="1"/>
  <c r="EL16" i="1"/>
  <c r="EL16" i="1" a="1"/>
  <c r="DT16" i="1"/>
  <c r="DN18" i="1"/>
  <c r="DL18" i="1"/>
  <c r="DK18" i="1"/>
  <c r="DD16" i="1"/>
  <c r="DC16" i="1"/>
  <c r="CL16" i="1"/>
  <c r="CJ16" i="1"/>
  <c r="CG16" i="1"/>
  <c r="CF16" i="1"/>
  <c r="CF16" i="1" a="1"/>
  <c r="CE16" i="1"/>
  <c r="CD16" i="1"/>
  <c r="CA16" i="1"/>
  <c r="BY16" i="1"/>
  <c r="BA16" i="1"/>
  <c r="Z16" i="1"/>
  <c r="X16" i="1"/>
  <c r="T16" i="1"/>
  <c r="EJ16" i="1" s="1"/>
  <c r="P16" i="1"/>
  <c r="N16" i="1"/>
  <c r="A16" i="1"/>
  <c r="FW15" i="1"/>
  <c r="FV15" i="1"/>
  <c r="FS15" i="1"/>
  <c r="FQ15" i="1"/>
  <c r="FI15" i="1"/>
  <c r="FH15" i="1"/>
  <c r="FG15" i="1"/>
  <c r="FF15" i="1"/>
  <c r="FE15" i="1"/>
  <c r="FD15" i="1"/>
  <c r="FC15" i="1"/>
  <c r="FB15" i="1"/>
  <c r="FA15" i="1"/>
  <c r="EZ15" i="1"/>
  <c r="EY15" i="1"/>
  <c r="EX15" i="1"/>
  <c r="EW15" i="1"/>
  <c r="EV15" i="1"/>
  <c r="EU15" i="1"/>
  <c r="ET15" i="1"/>
  <c r="ES15" i="1"/>
  <c r="EP15" i="1"/>
  <c r="EO15" i="1"/>
  <c r="EO15" i="1" a="1"/>
  <c r="EM15" i="1"/>
  <c r="EL15" i="1"/>
  <c r="EL15" i="1" a="1"/>
  <c r="EG15" i="1"/>
  <c r="EE15" i="1"/>
  <c r="ED15" i="1"/>
  <c r="DT15" i="1"/>
  <c r="DN17" i="1"/>
  <c r="DL17" i="1"/>
  <c r="DK17" i="1"/>
  <c r="DD15" i="1"/>
  <c r="DC15" i="1"/>
  <c r="CL15" i="1"/>
  <c r="CJ15" i="1"/>
  <c r="CG15" i="1"/>
  <c r="CF15" i="1"/>
  <c r="CF15" i="1" a="1"/>
  <c r="CE15" i="1"/>
  <c r="CD15" i="1"/>
  <c r="CA15" i="1"/>
  <c r="BY15" i="1"/>
  <c r="BA15" i="1"/>
  <c r="Z15" i="1"/>
  <c r="X15" i="1"/>
  <c r="T15" i="1"/>
  <c r="EI15" i="1" s="1"/>
  <c r="P15" i="1"/>
  <c r="A15" i="1"/>
  <c r="FW14" i="1"/>
  <c r="FV14" i="1"/>
  <c r="FS14" i="1"/>
  <c r="FQ14" i="1"/>
  <c r="FG14" i="1"/>
  <c r="FF14" i="1"/>
  <c r="FE14" i="1"/>
  <c r="FD14" i="1"/>
  <c r="FC14" i="1"/>
  <c r="FB14" i="1"/>
  <c r="FA14" i="1"/>
  <c r="EZ14" i="1"/>
  <c r="EY14" i="1"/>
  <c r="EX14" i="1"/>
  <c r="EW14" i="1"/>
  <c r="EV14" i="1"/>
  <c r="EU14" i="1"/>
  <c r="ET14" i="1"/>
  <c r="ES14" i="1"/>
  <c r="EP14" i="1"/>
  <c r="EO14" i="1"/>
  <c r="EO14" i="1" a="1"/>
  <c r="EM14" i="1"/>
  <c r="EL14" i="1"/>
  <c r="EL14" i="1" a="1"/>
  <c r="EI14" i="1"/>
  <c r="EG14" i="1"/>
  <c r="EE14" i="1"/>
  <c r="DT14" i="1"/>
  <c r="DN16" i="1"/>
  <c r="DL16" i="1"/>
  <c r="DK16" i="1"/>
  <c r="DD14" i="1"/>
  <c r="DC14" i="1"/>
  <c r="CL14" i="1"/>
  <c r="CJ14" i="1"/>
  <c r="CG14" i="1"/>
  <c r="CF14" i="1"/>
  <c r="CF14" i="1" a="1"/>
  <c r="CE14" i="1"/>
  <c r="CD14" i="1"/>
  <c r="CA14" i="1"/>
  <c r="BY14" i="1"/>
  <c r="BA14" i="1"/>
  <c r="Z14" i="1"/>
  <c r="X14" i="1"/>
  <c r="T14" i="1"/>
  <c r="ED14" i="1" s="1"/>
  <c r="P14" i="1"/>
  <c r="A14" i="1"/>
  <c r="FW13" i="1"/>
  <c r="FV13" i="1"/>
  <c r="FS13" i="1"/>
  <c r="FQ13" i="1"/>
  <c r="FI13" i="1"/>
  <c r="FH13" i="1"/>
  <c r="FG13" i="1"/>
  <c r="FF13" i="1"/>
  <c r="FE13" i="1"/>
  <c r="FD13" i="1"/>
  <c r="FC13" i="1"/>
  <c r="FB13" i="1"/>
  <c r="FA13" i="1"/>
  <c r="EZ13" i="1"/>
  <c r="EY13" i="1"/>
  <c r="EX13" i="1"/>
  <c r="EW13" i="1"/>
  <c r="EV13" i="1"/>
  <c r="EU13" i="1"/>
  <c r="ET13" i="1"/>
  <c r="ES13" i="1"/>
  <c r="EP13" i="1"/>
  <c r="EO13" i="1"/>
  <c r="EO13" i="1" a="1"/>
  <c r="EM13" i="1"/>
  <c r="EL13" i="1"/>
  <c r="EL13" i="1" a="1"/>
  <c r="DT13" i="1"/>
  <c r="DN15" i="1"/>
  <c r="DL15" i="1"/>
  <c r="DK15" i="1"/>
  <c r="DD13" i="1"/>
  <c r="DC13" i="1"/>
  <c r="DB13" i="1"/>
  <c r="CL13" i="1"/>
  <c r="CJ13" i="1"/>
  <c r="CG13" i="1"/>
  <c r="CF13" i="1"/>
  <c r="CF13" i="1" a="1"/>
  <c r="CE13" i="1"/>
  <c r="CD13" i="1"/>
  <c r="CA13" i="1"/>
  <c r="BZ13" i="1"/>
  <c r="CB13" i="1" s="1"/>
  <c r="L13" i="48" s="1"/>
  <c r="N13" i="48" s="1"/>
  <c r="BY13" i="1"/>
  <c r="BR13" i="1"/>
  <c r="BQ13" i="1"/>
  <c r="BP13" i="1"/>
  <c r="BO13" i="1"/>
  <c r="BN13" i="1"/>
  <c r="BM13" i="1"/>
  <c r="BL13" i="1"/>
  <c r="BK13" i="1"/>
  <c r="BJ13" i="1"/>
  <c r="BI13" i="1"/>
  <c r="BH13" i="1"/>
  <c r="EA13" i="1" s="1"/>
  <c r="BG13" i="1"/>
  <c r="BF13" i="1"/>
  <c r="BE13" i="1"/>
  <c r="BD13" i="1"/>
  <c r="DW13" i="1" s="1"/>
  <c r="BC13" i="1"/>
  <c r="BB13" i="1"/>
  <c r="DU13" i="1" s="1"/>
  <c r="BA13" i="1"/>
  <c r="Z13" i="1"/>
  <c r="X13" i="1"/>
  <c r="T13" i="1"/>
  <c r="EJ13" i="1" s="1"/>
  <c r="P13" i="1"/>
  <c r="A13" i="1"/>
  <c r="FW12" i="1"/>
  <c r="FV12" i="1"/>
  <c r="FS12" i="1"/>
  <c r="FQ12" i="1"/>
  <c r="FH12" i="1"/>
  <c r="FG12" i="1"/>
  <c r="FF12" i="1"/>
  <c r="FE12" i="1"/>
  <c r="FD12" i="1"/>
  <c r="FC12" i="1"/>
  <c r="FB12" i="1"/>
  <c r="FA12" i="1"/>
  <c r="EZ12" i="1"/>
  <c r="EY12" i="1"/>
  <c r="EX12" i="1"/>
  <c r="EW12" i="1"/>
  <c r="EV12" i="1"/>
  <c r="EU12" i="1"/>
  <c r="ET12" i="1"/>
  <c r="ES12" i="1"/>
  <c r="EP12" i="1"/>
  <c r="EO12" i="1"/>
  <c r="EO12" i="1" a="1"/>
  <c r="EM12" i="1"/>
  <c r="EL12" i="1"/>
  <c r="EL12" i="1" a="1"/>
  <c r="EF12" i="1"/>
  <c r="EE12" i="1"/>
  <c r="ED12" i="1"/>
  <c r="DT12" i="1"/>
  <c r="DN14" i="1"/>
  <c r="DL14" i="1"/>
  <c r="DK14" i="1"/>
  <c r="DD12" i="1"/>
  <c r="DC12" i="1"/>
  <c r="DB12" i="1"/>
  <c r="DA12" i="1"/>
  <c r="CL12" i="1"/>
  <c r="CJ12" i="1"/>
  <c r="CG12" i="1"/>
  <c r="CF12" i="1"/>
  <c r="CF12" i="1" a="1"/>
  <c r="CE12" i="1"/>
  <c r="CD12" i="1"/>
  <c r="CA12" i="1"/>
  <c r="BY12" i="1"/>
  <c r="BA12" i="1"/>
  <c r="Z12" i="1"/>
  <c r="X12" i="1"/>
  <c r="T12" i="1"/>
  <c r="EJ12" i="1" s="1"/>
  <c r="P12" i="1"/>
  <c r="A12" i="1"/>
  <c r="FW11" i="1"/>
  <c r="FV11" i="1"/>
  <c r="FS11" i="1"/>
  <c r="FQ11" i="1"/>
  <c r="FH11" i="1"/>
  <c r="FG11" i="1"/>
  <c r="FF11" i="1"/>
  <c r="FE11" i="1"/>
  <c r="FD11" i="1"/>
  <c r="FC11" i="1"/>
  <c r="FB11" i="1"/>
  <c r="FA11" i="1"/>
  <c r="EZ11" i="1"/>
  <c r="EY11" i="1"/>
  <c r="EX11" i="1"/>
  <c r="EW11" i="1"/>
  <c r="EV11" i="1"/>
  <c r="EU11" i="1"/>
  <c r="ET11" i="1"/>
  <c r="ES11" i="1"/>
  <c r="EP11" i="1"/>
  <c r="EO11" i="1"/>
  <c r="EO11" i="1" a="1"/>
  <c r="EM11" i="1"/>
  <c r="EL11" i="1"/>
  <c r="EL11" i="1" a="1"/>
  <c r="DT11" i="1"/>
  <c r="DQ11" i="1"/>
  <c r="DN13" i="1"/>
  <c r="DL13" i="1"/>
  <c r="DK13" i="1"/>
  <c r="DD11" i="1"/>
  <c r="DC11" i="1"/>
  <c r="DB11" i="1"/>
  <c r="DA11" i="1"/>
  <c r="CL11" i="1"/>
  <c r="CJ11" i="1"/>
  <c r="CG11" i="1"/>
  <c r="CF11" i="1"/>
  <c r="CF11" i="1" a="1"/>
  <c r="CE11" i="1"/>
  <c r="CD11" i="1"/>
  <c r="CA11" i="1"/>
  <c r="BY11" i="1"/>
  <c r="BA11" i="1"/>
  <c r="Z11" i="1"/>
  <c r="X11" i="1"/>
  <c r="T11" i="1"/>
  <c r="EJ11" i="1" s="1"/>
  <c r="P11" i="1"/>
  <c r="N11" i="1"/>
  <c r="A11" i="1"/>
  <c r="FW10" i="1"/>
  <c r="FV10" i="1"/>
  <c r="FS10" i="1"/>
  <c r="FQ10" i="1"/>
  <c r="FH10" i="1"/>
  <c r="FG10" i="1"/>
  <c r="FF10" i="1"/>
  <c r="FE10" i="1"/>
  <c r="FD10" i="1"/>
  <c r="FC10" i="1"/>
  <c r="FB10" i="1"/>
  <c r="FA10" i="1"/>
  <c r="EZ10" i="1"/>
  <c r="EY10" i="1"/>
  <c r="EX10" i="1"/>
  <c r="EW10" i="1"/>
  <c r="EV10" i="1"/>
  <c r="EU10" i="1"/>
  <c r="ET10" i="1"/>
  <c r="ES10" i="1"/>
  <c r="EP10" i="1"/>
  <c r="EO10" i="1"/>
  <c r="EO10" i="1" a="1"/>
  <c r="EM10" i="1"/>
  <c r="EL10" i="1"/>
  <c r="EL10" i="1" a="1"/>
  <c r="DT10" i="1"/>
  <c r="DQ10" i="1"/>
  <c r="DL12" i="1"/>
  <c r="DK12" i="1"/>
  <c r="DD10" i="1"/>
  <c r="DC10" i="1"/>
  <c r="DB10" i="1"/>
  <c r="CL10" i="1"/>
  <c r="CJ10" i="1"/>
  <c r="CG10" i="1"/>
  <c r="CF10" i="1"/>
  <c r="CF10" i="1" a="1"/>
  <c r="CE10" i="1"/>
  <c r="CD10" i="1"/>
  <c r="CA10" i="1"/>
  <c r="BY10" i="1"/>
  <c r="BA10" i="1"/>
  <c r="Z10" i="1"/>
  <c r="X10" i="1"/>
  <c r="T10" i="1"/>
  <c r="EI10" i="1" s="1"/>
  <c r="P10" i="1"/>
  <c r="A10" i="1"/>
  <c r="FW9" i="1"/>
  <c r="FV9" i="1"/>
  <c r="FS9" i="1"/>
  <c r="FQ9" i="1"/>
  <c r="FI9" i="1"/>
  <c r="FH9" i="1"/>
  <c r="FG9" i="1"/>
  <c r="FF9" i="1"/>
  <c r="FE9" i="1"/>
  <c r="FD9" i="1"/>
  <c r="FC9" i="1"/>
  <c r="FB9" i="1"/>
  <c r="FA9" i="1"/>
  <c r="EZ9" i="1"/>
  <c r="EY9" i="1"/>
  <c r="EX9" i="1"/>
  <c r="EW9" i="1"/>
  <c r="EV9" i="1"/>
  <c r="EU9" i="1"/>
  <c r="ET9" i="1"/>
  <c r="ES9" i="1"/>
  <c r="EP9" i="1"/>
  <c r="EO9" i="1"/>
  <c r="EO9" i="1" a="1"/>
  <c r="EM9" i="1"/>
  <c r="EL9" i="1"/>
  <c r="EL9" i="1" a="1"/>
  <c r="EI9" i="1"/>
  <c r="EG9" i="1"/>
  <c r="EE9" i="1"/>
  <c r="ED9" i="1"/>
  <c r="DT9" i="1"/>
  <c r="DQ9" i="1"/>
  <c r="DN11" i="1"/>
  <c r="DL11" i="1"/>
  <c r="DK11" i="1"/>
  <c r="DD9" i="1"/>
  <c r="DC9" i="1"/>
  <c r="DB9" i="1"/>
  <c r="CL9" i="1"/>
  <c r="CJ9" i="1"/>
  <c r="CG9" i="1"/>
  <c r="CF9" i="1"/>
  <c r="CF9" i="1" a="1"/>
  <c r="CE9" i="1"/>
  <c r="CD9" i="1"/>
  <c r="CA9" i="1"/>
  <c r="BY9" i="1"/>
  <c r="BA9" i="1"/>
  <c r="Z9" i="1"/>
  <c r="X9" i="1"/>
  <c r="T9" i="1"/>
  <c r="P9" i="1"/>
  <c r="A9" i="1"/>
  <c r="FW8" i="1"/>
  <c r="FV8" i="1"/>
  <c r="FS8" i="1"/>
  <c r="FQ8" i="1"/>
  <c r="FI8" i="1"/>
  <c r="FH8" i="1"/>
  <c r="FG8" i="1"/>
  <c r="FF8" i="1"/>
  <c r="FE8" i="1"/>
  <c r="FD8" i="1"/>
  <c r="FC8" i="1"/>
  <c r="FB8" i="1"/>
  <c r="FA8" i="1"/>
  <c r="EZ8" i="1"/>
  <c r="EY8" i="1"/>
  <c r="EX8" i="1"/>
  <c r="EW8" i="1"/>
  <c r="EV8" i="1"/>
  <c r="EU8" i="1"/>
  <c r="ET8" i="1"/>
  <c r="ES8" i="1"/>
  <c r="EP8" i="1"/>
  <c r="EO8" i="1"/>
  <c r="EO8" i="1" a="1"/>
  <c r="EM8" i="1"/>
  <c r="EL8" i="1"/>
  <c r="EL8" i="1" a="1"/>
  <c r="DT8" i="1"/>
  <c r="DQ8" i="1"/>
  <c r="DN10" i="1"/>
  <c r="DL10" i="1"/>
  <c r="DK10" i="1"/>
  <c r="DD8" i="1"/>
  <c r="DC8" i="1"/>
  <c r="DB8" i="1"/>
  <c r="DA8" i="1"/>
  <c r="CW8" i="1"/>
  <c r="CL8" i="1"/>
  <c r="CJ8" i="1"/>
  <c r="CG8" i="1"/>
  <c r="CF8" i="1"/>
  <c r="CF8" i="1" a="1"/>
  <c r="CE8" i="1"/>
  <c r="CD8" i="1"/>
  <c r="CA8" i="1"/>
  <c r="BZ8" i="1"/>
  <c r="CB8" i="1" s="1"/>
  <c r="L8" i="48" s="1"/>
  <c r="N8" i="48" s="1"/>
  <c r="BY8" i="1"/>
  <c r="BR8" i="1"/>
  <c r="BQ8" i="1"/>
  <c r="BP8" i="1"/>
  <c r="BO8" i="1"/>
  <c r="BN8" i="1"/>
  <c r="BM8" i="1"/>
  <c r="BL8" i="1"/>
  <c r="BK8" i="1"/>
  <c r="BJ8" i="1"/>
  <c r="BI8" i="1"/>
  <c r="BH8" i="1"/>
  <c r="BG8" i="1"/>
  <c r="DZ8" i="1" s="1"/>
  <c r="BF8" i="1"/>
  <c r="BE8" i="1"/>
  <c r="DX8" i="1" s="1"/>
  <c r="BD8" i="1"/>
  <c r="DW8" i="1" s="1"/>
  <c r="BC8" i="1"/>
  <c r="DV8" i="1" s="1"/>
  <c r="BB8" i="1"/>
  <c r="BA8" i="1"/>
  <c r="Z8" i="1"/>
  <c r="X8" i="1"/>
  <c r="T8" i="1"/>
  <c r="CR9" i="1" s="1"/>
  <c r="P8" i="1"/>
  <c r="A8" i="1"/>
  <c r="FW7" i="1"/>
  <c r="FV7" i="1"/>
  <c r="FS7" i="1"/>
  <c r="FQ7" i="1"/>
  <c r="FO7" i="1"/>
  <c r="FN7" i="1"/>
  <c r="FM7" i="1"/>
  <c r="FL7" i="1"/>
  <c r="FK7" i="1"/>
  <c r="FJ7" i="1"/>
  <c r="FI7" i="1"/>
  <c r="FH7" i="1"/>
  <c r="FG7" i="1"/>
  <c r="FF7" i="1"/>
  <c r="FE7" i="1"/>
  <c r="FD7" i="1"/>
  <c r="FC7" i="1"/>
  <c r="FB7" i="1"/>
  <c r="FA7" i="1"/>
  <c r="EZ7" i="1"/>
  <c r="EY7" i="1"/>
  <c r="EX7" i="1"/>
  <c r="EW7" i="1"/>
  <c r="EV7" i="1"/>
  <c r="EU7" i="1"/>
  <c r="ET7" i="1"/>
  <c r="ES7" i="1"/>
  <c r="EP7" i="1"/>
  <c r="EO7" i="1"/>
  <c r="EO7" i="1" a="1"/>
  <c r="EM7" i="1"/>
  <c r="EL7" i="1"/>
  <c r="EL7" i="1" a="1"/>
  <c r="DT7" i="1"/>
  <c r="DQ7" i="1"/>
  <c r="DN9" i="1"/>
  <c r="DL9" i="1"/>
  <c r="DK9" i="1"/>
  <c r="DD7" i="1"/>
  <c r="DC7" i="1"/>
  <c r="DB7" i="1"/>
  <c r="DA7" i="1"/>
  <c r="CW7" i="1"/>
  <c r="CW9" i="1" s="1"/>
  <c r="CV7" i="1"/>
  <c r="CR7" i="1"/>
  <c r="CJ7" i="1"/>
  <c r="CG7" i="1"/>
  <c r="CF7" i="1"/>
  <c r="CF7" i="1" a="1"/>
  <c r="CE7" i="1"/>
  <c r="CD7" i="1"/>
  <c r="CA7" i="1"/>
  <c r="BY7" i="1"/>
  <c r="BA7" i="1"/>
  <c r="Z7" i="1"/>
  <c r="X7" i="1"/>
  <c r="T7" i="1"/>
  <c r="EJ7" i="1" s="1"/>
  <c r="P7" i="1"/>
  <c r="N7" i="1"/>
  <c r="FO6" i="1"/>
  <c r="FN6" i="1"/>
  <c r="FM6" i="1"/>
  <c r="FL6" i="1"/>
  <c r="FK6" i="1"/>
  <c r="FJ6" i="1"/>
  <c r="FI6" i="1"/>
  <c r="FH6" i="1"/>
  <c r="FG6" i="1"/>
  <c r="FF6" i="1"/>
  <c r="FE6" i="1"/>
  <c r="FD6" i="1"/>
  <c r="FC6" i="1"/>
  <c r="FB6" i="1"/>
  <c r="FA6" i="1"/>
  <c r="EZ6" i="1"/>
  <c r="EY6" i="1"/>
  <c r="EX6" i="1"/>
  <c r="EW6" i="1"/>
  <c r="EV6" i="1"/>
  <c r="EU6" i="1"/>
  <c r="ET6" i="1"/>
  <c r="DF6" i="1"/>
  <c r="DH6" i="1" s="1"/>
  <c r="DD6" i="1"/>
  <c r="BY6" i="1"/>
  <c r="BX6" i="1"/>
  <c r="BW6" i="1"/>
  <c r="BV6" i="1"/>
  <c r="BU6" i="1"/>
  <c r="BT6" i="1"/>
  <c r="BS6" i="1"/>
  <c r="BR6" i="1"/>
  <c r="BQ6" i="1"/>
  <c r="BP6" i="1"/>
  <c r="BO6" i="1"/>
  <c r="BN6" i="1"/>
  <c r="BM6" i="1"/>
  <c r="BL6" i="1"/>
  <c r="BK6" i="1"/>
  <c r="BJ6" i="1"/>
  <c r="BI6" i="1"/>
  <c r="BH6" i="1"/>
  <c r="BG6" i="1"/>
  <c r="BF6" i="1"/>
  <c r="BE6" i="1"/>
  <c r="BD6" i="1"/>
  <c r="BC6" i="1"/>
  <c r="BB6" i="1"/>
  <c r="AY6" i="1"/>
  <c r="F9" i="31" s="1"/>
  <c r="AX6" i="1"/>
  <c r="AW6" i="1"/>
  <c r="AV6" i="1"/>
  <c r="AU6" i="1"/>
  <c r="AT6" i="1"/>
  <c r="AS6" i="1"/>
  <c r="AR6" i="1"/>
  <c r="AQ6" i="1"/>
  <c r="AP6" i="1"/>
  <c r="AO6" i="1"/>
  <c r="AN6" i="1"/>
  <c r="AM6" i="1"/>
  <c r="AL6" i="1"/>
  <c r="AK6" i="1"/>
  <c r="AJ6" i="1"/>
  <c r="AI6" i="1"/>
  <c r="AH6" i="1"/>
  <c r="AG6" i="1"/>
  <c r="AF6" i="1"/>
  <c r="AE6" i="1"/>
  <c r="AD6" i="1"/>
  <c r="AC6" i="1"/>
  <c r="DF5" i="1"/>
  <c r="DH5" i="1" s="1"/>
  <c r="DD5" i="1"/>
  <c r="DC5" i="1"/>
  <c r="AU5" i="1"/>
  <c r="AT5" i="1"/>
  <c r="X5" i="1"/>
  <c r="P5" i="1"/>
  <c r="N5" i="1"/>
  <c r="F19" i="31" s="1"/>
  <c r="E5" i="1"/>
  <c r="D5" i="1"/>
  <c r="AQ4" i="1"/>
  <c r="AO4" i="1"/>
  <c r="AM4" i="1"/>
  <c r="AK4" i="1"/>
  <c r="AG4" i="1"/>
  <c r="FR3" i="1"/>
  <c r="R14" i="31" s="1"/>
  <c r="DH3" i="1"/>
  <c r="DD3" i="1"/>
  <c r="AU3" i="1"/>
  <c r="AT3" i="1"/>
  <c r="AQ3" i="1"/>
  <c r="AO3" i="1"/>
  <c r="AM3" i="1"/>
  <c r="AK3" i="1"/>
  <c r="AG3" i="1"/>
  <c r="AB3" i="1"/>
  <c r="S3" i="1"/>
  <c r="Q3" i="1"/>
  <c r="O3" i="1"/>
  <c r="AQ2" i="1"/>
  <c r="AO2" i="1"/>
  <c r="AM2" i="1"/>
  <c r="AK2" i="1"/>
  <c r="AG2" i="1"/>
  <c r="O2" i="1"/>
  <c r="O4" i="1" s="1"/>
  <c r="G26" i="31"/>
  <c r="F26" i="31"/>
  <c r="G22" i="31"/>
  <c r="F22" i="31"/>
  <c r="G21" i="31"/>
  <c r="G20" i="31"/>
  <c r="F20" i="31"/>
  <c r="G19" i="31"/>
  <c r="S11" i="31"/>
  <c r="S10" i="31"/>
  <c r="S9" i="31"/>
  <c r="G9" i="31"/>
  <c r="R10" i="31" l="1"/>
  <c r="EK13" i="30"/>
  <c r="EK5" i="30" s="1"/>
  <c r="EH15" i="30"/>
  <c r="EI22" i="30"/>
  <c r="EH22" i="30"/>
  <c r="EI15" i="30"/>
  <c r="EI5" i="30" s="1"/>
  <c r="EH26" i="30"/>
  <c r="EH17" i="30"/>
  <c r="EI26" i="30"/>
  <c r="EH29" i="30"/>
  <c r="EI12" i="30"/>
  <c r="EI17" i="30"/>
  <c r="EH23" i="30"/>
  <c r="EJ26" i="30"/>
  <c r="EI29" i="30"/>
  <c r="EJ12" i="30"/>
  <c r="CP7" i="30"/>
  <c r="CP8" i="30"/>
  <c r="CR7" i="30"/>
  <c r="CP9" i="30"/>
  <c r="G29" i="31" s="1"/>
  <c r="CR8" i="30"/>
  <c r="CR9" i="30"/>
  <c r="EH24" i="30"/>
  <c r="EI24" i="30"/>
  <c r="EI16" i="30"/>
  <c r="EH18" i="30"/>
  <c r="EI8" i="30"/>
  <c r="EH31" i="30"/>
  <c r="EJ8" i="30"/>
  <c r="EH28" i="30"/>
  <c r="EI31" i="30"/>
  <c r="EI28" i="30"/>
  <c r="CP12" i="30"/>
  <c r="EE8" i="1"/>
  <c r="ED13" i="1"/>
  <c r="EG17" i="1"/>
  <c r="ED19" i="1"/>
  <c r="ED24" i="1"/>
  <c r="EE27" i="1"/>
  <c r="EI29" i="1"/>
  <c r="EI30" i="1"/>
  <c r="EI40" i="1"/>
  <c r="EG49" i="1"/>
  <c r="EG66" i="1"/>
  <c r="EF72" i="1"/>
  <c r="EG94" i="1"/>
  <c r="EF8" i="1"/>
  <c r="EE13" i="1"/>
  <c r="EI17" i="1"/>
  <c r="EG18" i="1"/>
  <c r="EE19" i="1"/>
  <c r="EE24" i="1"/>
  <c r="EF25" i="1"/>
  <c r="EE26" i="1"/>
  <c r="EG27" i="1"/>
  <c r="EI28" i="1"/>
  <c r="EJ29" i="1"/>
  <c r="EJ30" i="1"/>
  <c r="ED36" i="1"/>
  <c r="EE37" i="1"/>
  <c r="EG38" i="1"/>
  <c r="EI39" i="1"/>
  <c r="EJ40" i="1"/>
  <c r="EE48" i="1"/>
  <c r="EI49" i="1"/>
  <c r="EE56" i="1"/>
  <c r="EF60" i="1"/>
  <c r="EI66" i="1"/>
  <c r="EG72" i="1"/>
  <c r="EG81" i="1"/>
  <c r="EF90" i="1"/>
  <c r="EI94" i="1"/>
  <c r="EG103" i="1"/>
  <c r="EF87" i="1"/>
  <c r="EF43" i="1"/>
  <c r="EI87" i="1"/>
  <c r="EG8" i="1"/>
  <c r="EF13" i="1"/>
  <c r="EI18" i="1"/>
  <c r="EF19" i="1"/>
  <c r="ED23" i="1"/>
  <c r="EG24" i="1"/>
  <c r="EG25" i="1"/>
  <c r="EF26" i="1"/>
  <c r="EI27" i="1"/>
  <c r="ED35" i="1"/>
  <c r="EE36" i="1"/>
  <c r="EF37" i="1"/>
  <c r="EI38" i="1"/>
  <c r="EJ39" i="1"/>
  <c r="ED47" i="1"/>
  <c r="EF48" i="1"/>
  <c r="ED52" i="1"/>
  <c r="EG56" i="1"/>
  <c r="EG60" i="1"/>
  <c r="EJ61" i="1"/>
  <c r="EF65" i="1"/>
  <c r="EE71" i="1"/>
  <c r="EI72" i="1"/>
  <c r="ED76" i="1"/>
  <c r="ED80" i="1"/>
  <c r="EI81" i="1"/>
  <c r="ED89" i="1"/>
  <c r="EG90" i="1"/>
  <c r="ED97" i="1"/>
  <c r="EG98" i="1"/>
  <c r="ED102" i="1"/>
  <c r="EI103" i="1"/>
  <c r="ED106" i="1"/>
  <c r="EJ8" i="1"/>
  <c r="EE11" i="1"/>
  <c r="EG13" i="1"/>
  <c r="EG19" i="1"/>
  <c r="ED21" i="1"/>
  <c r="ED22" i="1"/>
  <c r="EE23" i="1"/>
  <c r="EI25" i="1"/>
  <c r="EG26" i="1"/>
  <c r="EF36" i="1"/>
  <c r="EG37" i="1"/>
  <c r="EE47" i="1"/>
  <c r="EG48" i="1"/>
  <c r="EE52" i="1"/>
  <c r="ED59" i="1"/>
  <c r="EI60" i="1"/>
  <c r="ED64" i="1"/>
  <c r="EG65" i="1"/>
  <c r="EJ72" i="1"/>
  <c r="EI90" i="1"/>
  <c r="EE93" i="1"/>
  <c r="EE97" i="1"/>
  <c r="EE102" i="1"/>
  <c r="EE106" i="1"/>
  <c r="CP9" i="1"/>
  <c r="CP12" i="1" s="1"/>
  <c r="EF100" i="1"/>
  <c r="EF11" i="1"/>
  <c r="EI13" i="1"/>
  <c r="EI19" i="1"/>
  <c r="ED20" i="1"/>
  <c r="EE21" i="1"/>
  <c r="EE22" i="1"/>
  <c r="EG23" i="1"/>
  <c r="EJ25" i="1"/>
  <c r="EE34" i="1"/>
  <c r="EF35" i="1"/>
  <c r="EG36" i="1"/>
  <c r="ED46" i="1"/>
  <c r="EF47" i="1"/>
  <c r="ED55" i="1"/>
  <c r="EE59" i="1"/>
  <c r="EJ60" i="1"/>
  <c r="EE64" i="1"/>
  <c r="EI65" i="1"/>
  <c r="ED69" i="1"/>
  <c r="EG71" i="1"/>
  <c r="EF76" i="1"/>
  <c r="EG80" i="1"/>
  <c r="ED88" i="1"/>
  <c r="EF89" i="1"/>
  <c r="EJ90" i="1"/>
  <c r="EF93" i="1"/>
  <c r="EF97" i="1"/>
  <c r="EF102" i="1"/>
  <c r="EF106" i="1"/>
  <c r="EG75" i="1"/>
  <c r="EG11" i="1"/>
  <c r="EE20" i="1"/>
  <c r="EG21" i="1"/>
  <c r="EG22" i="1"/>
  <c r="EF34" i="1"/>
  <c r="EG35" i="1"/>
  <c r="EI36" i="1"/>
  <c r="EE55" i="1"/>
  <c r="EG59" i="1"/>
  <c r="EF64" i="1"/>
  <c r="EE69" i="1"/>
  <c r="EG76" i="1"/>
  <c r="ED84" i="1"/>
  <c r="EE88" i="1"/>
  <c r="EG89" i="1"/>
  <c r="EG93" i="1"/>
  <c r="EG97" i="1"/>
  <c r="ED101" i="1"/>
  <c r="EG102" i="1"/>
  <c r="ED105" i="1"/>
  <c r="EG106" i="1"/>
  <c r="ED33" i="1"/>
  <c r="EG69" i="1"/>
  <c r="ED75" i="1"/>
  <c r="EI76" i="1"/>
  <c r="ED79" i="1"/>
  <c r="EE84" i="1"/>
  <c r="ED87" i="1"/>
  <c r="EF88" i="1"/>
  <c r="EI89" i="1"/>
  <c r="EE101" i="1"/>
  <c r="EE105" i="1"/>
  <c r="EE33" i="1"/>
  <c r="ED44" i="1"/>
  <c r="ED45" i="1"/>
  <c r="ED51" i="1"/>
  <c r="ED58" i="1"/>
  <c r="ED63" i="1"/>
  <c r="EE75" i="1"/>
  <c r="EE79" i="1"/>
  <c r="EE87" i="1"/>
  <c r="EE96" i="1"/>
  <c r="EI33" i="1"/>
  <c r="EE43" i="1"/>
  <c r="EF44" i="1"/>
  <c r="EE68" i="1"/>
  <c r="EE74" i="1"/>
  <c r="EI79" i="1"/>
  <c r="EG87" i="1"/>
  <c r="EE92" i="1"/>
  <c r="EE100" i="1"/>
  <c r="EF74" i="1"/>
  <c r="EG12" i="1"/>
  <c r="EG32" i="1"/>
  <c r="EF42" i="1"/>
  <c r="EG43" i="1"/>
  <c r="EI44" i="1"/>
  <c r="ED50" i="1"/>
  <c r="EE54" i="1"/>
  <c r="ED62" i="1"/>
  <c r="EE67" i="1"/>
  <c r="ED70" i="1"/>
  <c r="EG74" i="1"/>
  <c r="EE78" i="1"/>
  <c r="ED82" i="1"/>
  <c r="EF83" i="1"/>
  <c r="EG100" i="1"/>
  <c r="ED10" i="1"/>
  <c r="EI12" i="1"/>
  <c r="ED29" i="1"/>
  <c r="ED30" i="1"/>
  <c r="ED31" i="1"/>
  <c r="ED40" i="1"/>
  <c r="EE41" i="1"/>
  <c r="EG42" i="1"/>
  <c r="EI43" i="1"/>
  <c r="EE50" i="1"/>
  <c r="EG54" i="1"/>
  <c r="ED57" i="1"/>
  <c r="EE62" i="1"/>
  <c r="EF67" i="1"/>
  <c r="EE70" i="1"/>
  <c r="ED73" i="1"/>
  <c r="EI74" i="1"/>
  <c r="EF78" i="1"/>
  <c r="EE82" i="1"/>
  <c r="EG83" i="1"/>
  <c r="EE86" i="1"/>
  <c r="EF95" i="1"/>
  <c r="EI100" i="1"/>
  <c r="EG104" i="1"/>
  <c r="EE10" i="1"/>
  <c r="EE16" i="1"/>
  <c r="EE29" i="1"/>
  <c r="EE30" i="1"/>
  <c r="EE31" i="1"/>
  <c r="ED39" i="1"/>
  <c r="EE40" i="1"/>
  <c r="EF41" i="1"/>
  <c r="ED53" i="1"/>
  <c r="EE57" i="1"/>
  <c r="ED61" i="1"/>
  <c r="EG67" i="1"/>
  <c r="EF70" i="1"/>
  <c r="EE73" i="1"/>
  <c r="EF82" i="1"/>
  <c r="EE91" i="1"/>
  <c r="EG95" i="1"/>
  <c r="EG10" i="1"/>
  <c r="EF16" i="1"/>
  <c r="ED17" i="1"/>
  <c r="EF29" i="1"/>
  <c r="EF30" i="1"/>
  <c r="EG31" i="1"/>
  <c r="EF40" i="1"/>
  <c r="EG41" i="1"/>
  <c r="EG57" i="1"/>
  <c r="EG73" i="1"/>
  <c r="EG16" i="1"/>
  <c r="CP8" i="1"/>
  <c r="CP13" i="1" s="1"/>
  <c r="EE7" i="1"/>
  <c r="EG7" i="1"/>
  <c r="EF7" i="1"/>
  <c r="BR35" i="30"/>
  <c r="BR36" i="30" s="1"/>
  <c r="Z2" i="30"/>
  <c r="DQ12" i="1"/>
  <c r="P4" i="1"/>
  <c r="F21" i="31"/>
  <c r="F29" i="31"/>
  <c r="CP7" i="1"/>
  <c r="J16" i="48"/>
  <c r="U4" i="1"/>
  <c r="S4" i="1"/>
  <c r="CH16" i="1" s="1"/>
  <c r="Y2" i="1"/>
  <c r="DL19" i="1"/>
  <c r="DK19" i="1"/>
  <c r="BL35" i="30"/>
  <c r="BL36" i="30" s="1"/>
  <c r="BM35" i="30"/>
  <c r="BM66" i="30" s="1"/>
  <c r="BN35" i="30"/>
  <c r="BN36" i="30" s="1"/>
  <c r="BO35" i="30"/>
  <c r="BO66" i="30" s="1"/>
  <c r="BP35" i="30"/>
  <c r="BP66" i="30" s="1"/>
  <c r="BQ35" i="30"/>
  <c r="BQ66" i="30" s="1"/>
  <c r="C19" i="20"/>
  <c r="G7" i="20"/>
  <c r="M25" i="20"/>
  <c r="M26" i="20"/>
  <c r="M27" i="20"/>
  <c r="M28" i="20"/>
  <c r="C22" i="33"/>
  <c r="G7" i="33"/>
  <c r="BL40" i="30"/>
  <c r="BJ34" i="30"/>
  <c r="BJ32" i="30" s="1"/>
  <c r="BM40" i="30"/>
  <c r="BK34" i="30"/>
  <c r="BK32" i="30" s="1"/>
  <c r="BN40" i="30"/>
  <c r="BL34" i="30"/>
  <c r="BL32" i="30" s="1"/>
  <c r="BJ35" i="30"/>
  <c r="BO40" i="30"/>
  <c r="BM34" i="30"/>
  <c r="BM32" i="30" s="1"/>
  <c r="BK35" i="30"/>
  <c r="BP40" i="30"/>
  <c r="BN34" i="30"/>
  <c r="BN32" i="30" s="1"/>
  <c r="BQ40" i="30"/>
  <c r="BO34" i="30"/>
  <c r="BO32" i="30" s="1"/>
  <c r="BP34" i="30"/>
  <c r="BP32" i="30" s="1"/>
  <c r="BQ34" i="30"/>
  <c r="BQ32" i="30" s="1"/>
  <c r="BH40" i="30"/>
  <c r="DA9" i="1"/>
  <c r="EL70" i="1"/>
  <c r="EN4" i="1" s="1"/>
  <c r="FE70" i="1"/>
  <c r="FD70" i="1"/>
  <c r="FC70" i="1"/>
  <c r="FB70" i="1"/>
  <c r="FA70" i="1"/>
  <c r="EZ70" i="1"/>
  <c r="FG70" i="1"/>
  <c r="FF70" i="1"/>
  <c r="EY70" i="1"/>
  <c r="EU70" i="1"/>
  <c r="EQ70" i="1"/>
  <c r="EQ4" i="1" s="1"/>
  <c r="CE70" i="1"/>
  <c r="CA110" i="1"/>
  <c r="CA116" i="1" s="1"/>
  <c r="Z70" i="1"/>
  <c r="Y3" i="1"/>
  <c r="F23" i="31" s="1"/>
  <c r="F24" i="31" s="1"/>
  <c r="K4" i="19"/>
  <c r="ED8" i="1"/>
  <c r="EA8" i="1"/>
  <c r="DU8" i="1"/>
  <c r="DY8" i="1"/>
  <c r="DZ13" i="1"/>
  <c r="DX13" i="1"/>
  <c r="DY13" i="1"/>
  <c r="DV13" i="1"/>
  <c r="CN8" i="30" l="1"/>
  <c r="CN13" i="30" s="1"/>
  <c r="EK3" i="30"/>
  <c r="EI3" i="30"/>
  <c r="CP10" i="30"/>
  <c r="CN9" i="30" s="1"/>
  <c r="CN12" i="30" s="1"/>
  <c r="G28" i="31"/>
  <c r="CP13" i="30"/>
  <c r="CP14" i="30"/>
  <c r="CN7" i="30"/>
  <c r="CN14" i="30" s="1"/>
  <c r="BP36" i="30"/>
  <c r="BP37" i="30" s="1"/>
  <c r="BP38" i="30" s="1"/>
  <c r="BP33" i="30" s="1"/>
  <c r="EG5" i="1"/>
  <c r="F34" i="31" s="1"/>
  <c r="EE3" i="1"/>
  <c r="EG3" i="1"/>
  <c r="BN66" i="30"/>
  <c r="BN67" i="30" s="1"/>
  <c r="BN68" i="30" s="1"/>
  <c r="EE5" i="1"/>
  <c r="F33" i="31" s="1"/>
  <c r="BO36" i="30"/>
  <c r="BO37" i="30" s="1"/>
  <c r="BO38" i="30" s="1"/>
  <c r="BO33" i="30" s="1"/>
  <c r="BL66" i="30"/>
  <c r="BL67" i="30" s="1"/>
  <c r="BL68" i="30" s="1"/>
  <c r="B3" i="48"/>
  <c r="CH31" i="30"/>
  <c r="AA31" i="30" s="1"/>
  <c r="CH24" i="30"/>
  <c r="AA24" i="30" s="1"/>
  <c r="CH7" i="30"/>
  <c r="CH30" i="30"/>
  <c r="AA30" i="30" s="1"/>
  <c r="CH26" i="30"/>
  <c r="AA26" i="30" s="1"/>
  <c r="CH22" i="30"/>
  <c r="AA22" i="30" s="1"/>
  <c r="CH21" i="30"/>
  <c r="AA21" i="30" s="1"/>
  <c r="CH20" i="30"/>
  <c r="AA20" i="30" s="1"/>
  <c r="CH19" i="30"/>
  <c r="AA19" i="30" s="1"/>
  <c r="CH18" i="30"/>
  <c r="AA18" i="30" s="1"/>
  <c r="CH29" i="30"/>
  <c r="AA29" i="30" s="1"/>
  <c r="CH12" i="30"/>
  <c r="AA12" i="30" s="1"/>
  <c r="CH25" i="30"/>
  <c r="AA25" i="30" s="1"/>
  <c r="CH13" i="30"/>
  <c r="AA13" i="30" s="1"/>
  <c r="CH11" i="30"/>
  <c r="AA11" i="30" s="1"/>
  <c r="CH9" i="30"/>
  <c r="AA9" i="30" s="1"/>
  <c r="CH10" i="30"/>
  <c r="AA10" i="30" s="1"/>
  <c r="CH8" i="30"/>
  <c r="AA8" i="30" s="1"/>
  <c r="CH17" i="30"/>
  <c r="AA17" i="30" s="1"/>
  <c r="CH16" i="30"/>
  <c r="AA16" i="30" s="1"/>
  <c r="CH15" i="30"/>
  <c r="AA15" i="30" s="1"/>
  <c r="CH14" i="30"/>
  <c r="AA14" i="30" s="1"/>
  <c r="CH28" i="30"/>
  <c r="AA28" i="30" s="1"/>
  <c r="CH27" i="30"/>
  <c r="AA27" i="30" s="1"/>
  <c r="CH23" i="30"/>
  <c r="AA23" i="30" s="1"/>
  <c r="CH92" i="1"/>
  <c r="CH76" i="1"/>
  <c r="CH60" i="1"/>
  <c r="CH44" i="1"/>
  <c r="CH28" i="1"/>
  <c r="CH12" i="1"/>
  <c r="CH53" i="1"/>
  <c r="CH91" i="1"/>
  <c r="CH75" i="1"/>
  <c r="CH59" i="1"/>
  <c r="CH43" i="1"/>
  <c r="CH27" i="1"/>
  <c r="CH11" i="1"/>
  <c r="CH105" i="1"/>
  <c r="CH73" i="1"/>
  <c r="CH41" i="1"/>
  <c r="CH25" i="1"/>
  <c r="CH86" i="1"/>
  <c r="CH106" i="1"/>
  <c r="CH90" i="1"/>
  <c r="CH74" i="1"/>
  <c r="CH58" i="1"/>
  <c r="CH42" i="1"/>
  <c r="CH26" i="1"/>
  <c r="CH10" i="1"/>
  <c r="CH89" i="1"/>
  <c r="CH57" i="1"/>
  <c r="CH9" i="1"/>
  <c r="CH7" i="1"/>
  <c r="CH37" i="1"/>
  <c r="CH104" i="1"/>
  <c r="CH88" i="1"/>
  <c r="CH72" i="1"/>
  <c r="CH56" i="1"/>
  <c r="CH40" i="1"/>
  <c r="CH24" i="1"/>
  <c r="CH8" i="1"/>
  <c r="M8" i="48" s="1"/>
  <c r="CH103" i="1"/>
  <c r="CH70" i="1"/>
  <c r="CH85" i="1"/>
  <c r="CH100" i="1"/>
  <c r="CH84" i="1"/>
  <c r="CH68" i="1"/>
  <c r="CH52" i="1"/>
  <c r="CH36" i="1"/>
  <c r="CH20" i="1"/>
  <c r="CH55" i="1"/>
  <c r="CH101" i="1"/>
  <c r="CH99" i="1"/>
  <c r="CH83" i="1"/>
  <c r="CH67" i="1"/>
  <c r="CH51" i="1"/>
  <c r="CH35" i="1"/>
  <c r="CH19" i="1"/>
  <c r="CH98" i="1"/>
  <c r="CH66" i="1"/>
  <c r="CH50" i="1"/>
  <c r="CH18" i="1"/>
  <c r="CH71" i="1"/>
  <c r="CH54" i="1"/>
  <c r="CH69" i="1"/>
  <c r="CH82" i="1"/>
  <c r="CH34" i="1"/>
  <c r="CH97" i="1"/>
  <c r="CH81" i="1"/>
  <c r="CH65" i="1"/>
  <c r="CH49" i="1"/>
  <c r="CH33" i="1"/>
  <c r="CH17" i="1"/>
  <c r="CH96" i="1"/>
  <c r="CH64" i="1"/>
  <c r="CH48" i="1"/>
  <c r="CH32" i="1"/>
  <c r="CH87" i="1"/>
  <c r="CH38" i="1"/>
  <c r="CH80" i="1"/>
  <c r="CH22" i="1"/>
  <c r="CH95" i="1"/>
  <c r="CH79" i="1"/>
  <c r="CH63" i="1"/>
  <c r="CH47" i="1"/>
  <c r="CH31" i="1"/>
  <c r="CH15" i="1"/>
  <c r="CH39" i="1"/>
  <c r="CH94" i="1"/>
  <c r="CH78" i="1"/>
  <c r="CH62" i="1"/>
  <c r="CH46" i="1"/>
  <c r="CH30" i="1"/>
  <c r="CH14" i="1"/>
  <c r="CH23" i="1"/>
  <c r="CH102" i="1"/>
  <c r="CH21" i="1"/>
  <c r="CH93" i="1"/>
  <c r="CH77" i="1"/>
  <c r="CH61" i="1"/>
  <c r="CH45" i="1"/>
  <c r="CH29" i="1"/>
  <c r="CH13" i="1"/>
  <c r="M13" i="48" s="1"/>
  <c r="J5" i="48"/>
  <c r="J4" i="48"/>
  <c r="R16" i="48"/>
  <c r="M16" i="48"/>
  <c r="AA16" i="1"/>
  <c r="CP14" i="1"/>
  <c r="CN7" i="1"/>
  <c r="CN14" i="1" s="1"/>
  <c r="CP10" i="1"/>
  <c r="F28" i="31"/>
  <c r="BM36" i="30"/>
  <c r="BM37" i="30" s="1"/>
  <c r="BM38" i="30" s="1"/>
  <c r="BM33" i="30" s="1"/>
  <c r="BQ36" i="30"/>
  <c r="BQ37" i="30" s="1"/>
  <c r="BQ38" i="30" s="1"/>
  <c r="BQ33" i="30" s="1"/>
  <c r="BM67" i="30"/>
  <c r="BM68" i="30" s="1"/>
  <c r="BN37" i="30"/>
  <c r="BN38" i="30" s="1"/>
  <c r="BN33" i="30" s="1"/>
  <c r="BP67" i="30"/>
  <c r="BP68" i="30" s="1"/>
  <c r="BJ66" i="30"/>
  <c r="BJ67" i="30" s="1"/>
  <c r="BJ68" i="30" s="1"/>
  <c r="BJ36" i="30"/>
  <c r="BJ37" i="30" s="1"/>
  <c r="BJ38" i="30" s="1"/>
  <c r="BJ33" i="30" s="1"/>
  <c r="BQ67" i="30"/>
  <c r="BQ68" i="30" s="1"/>
  <c r="BO67" i="30"/>
  <c r="BO68" i="30" s="1"/>
  <c r="BK66" i="30"/>
  <c r="BK67" i="30" s="1"/>
  <c r="BK68" i="30" s="1"/>
  <c r="BK36" i="30"/>
  <c r="BK37" i="30" s="1"/>
  <c r="BK38" i="30" s="1"/>
  <c r="BK33" i="30" s="1"/>
  <c r="BL37" i="30"/>
  <c r="BL38" i="30" s="1"/>
  <c r="BL33" i="30" s="1"/>
  <c r="ES70" i="1"/>
  <c r="EV70" i="1"/>
  <c r="ET70" i="1"/>
  <c r="EW70" i="1"/>
  <c r="EX70" i="1"/>
  <c r="DN19" i="1"/>
  <c r="CE114" i="1"/>
  <c r="CE110" i="1"/>
  <c r="CL27" i="1" s="1"/>
  <c r="CV9" i="1"/>
  <c r="CV8" i="1"/>
  <c r="CE109" i="1"/>
  <c r="CL28" i="1" s="1"/>
  <c r="CR8" i="1"/>
  <c r="DA13" i="1"/>
  <c r="DA10" i="1"/>
  <c r="CR10" i="1"/>
  <c r="CE3" i="1"/>
  <c r="DN20" i="1"/>
  <c r="CL7" i="1"/>
  <c r="Z2" i="1"/>
  <c r="Z3" i="1"/>
  <c r="EB13" i="1"/>
  <c r="EB8" i="1"/>
  <c r="EI8" i="1" s="1"/>
  <c r="M78" i="48" l="1"/>
  <c r="AA78" i="1"/>
  <c r="M96" i="48"/>
  <c r="AA96" i="1"/>
  <c r="M19" i="48"/>
  <c r="AA19" i="1"/>
  <c r="M103" i="48"/>
  <c r="AA103" i="1"/>
  <c r="M58" i="48"/>
  <c r="AA58" i="1"/>
  <c r="M12" i="48"/>
  <c r="AA12" i="1"/>
  <c r="BD11" i="30"/>
  <c r="BZ11" i="30"/>
  <c r="CB11" i="30" s="1"/>
  <c r="BC11" i="30"/>
  <c r="BB11" i="30"/>
  <c r="BH11" i="30"/>
  <c r="BG11" i="30"/>
  <c r="BF11" i="30"/>
  <c r="BE11" i="30"/>
  <c r="M94" i="48"/>
  <c r="AA94" i="1"/>
  <c r="M17" i="48"/>
  <c r="AA17" i="1"/>
  <c r="M35" i="48"/>
  <c r="AA35" i="1"/>
  <c r="M74" i="48"/>
  <c r="AA74" i="1"/>
  <c r="M28" i="48"/>
  <c r="AA28" i="1"/>
  <c r="BB13" i="30"/>
  <c r="BF13" i="30"/>
  <c r="BE13" i="30"/>
  <c r="BZ13" i="30"/>
  <c r="CB13" i="30" s="1"/>
  <c r="BD13" i="30"/>
  <c r="BC13" i="30"/>
  <c r="BG13" i="30"/>
  <c r="M39" i="48"/>
  <c r="AA39" i="1"/>
  <c r="M33" i="48"/>
  <c r="AA33" i="1"/>
  <c r="M51" i="48"/>
  <c r="AA51" i="1"/>
  <c r="M24" i="48"/>
  <c r="AA24" i="1"/>
  <c r="M90" i="48"/>
  <c r="AA90" i="1"/>
  <c r="M44" i="48"/>
  <c r="AA44" i="1"/>
  <c r="BG25" i="30"/>
  <c r="BB25" i="30"/>
  <c r="BF25" i="30"/>
  <c r="BE25" i="30"/>
  <c r="BD25" i="30"/>
  <c r="BC25" i="30"/>
  <c r="BZ25" i="30"/>
  <c r="CB25" i="30" s="1"/>
  <c r="M15" i="48"/>
  <c r="AA15" i="1"/>
  <c r="M49" i="48"/>
  <c r="AA49" i="1"/>
  <c r="M67" i="48"/>
  <c r="AA67" i="1"/>
  <c r="M40" i="48"/>
  <c r="AA40" i="1"/>
  <c r="M106" i="48"/>
  <c r="AA106" i="1"/>
  <c r="M60" i="48"/>
  <c r="AA60" i="1"/>
  <c r="BH12" i="30"/>
  <c r="BF12" i="30"/>
  <c r="BZ12" i="30"/>
  <c r="CB12" i="30" s="1"/>
  <c r="BC12" i="30"/>
  <c r="BG12" i="30"/>
  <c r="BE12" i="30"/>
  <c r="BD12" i="30"/>
  <c r="BB12" i="30"/>
  <c r="M29" i="48"/>
  <c r="AA29" i="1"/>
  <c r="M31" i="48"/>
  <c r="AA31" i="1"/>
  <c r="M65" i="48"/>
  <c r="AA65" i="1"/>
  <c r="M83" i="48"/>
  <c r="AA83" i="1"/>
  <c r="M56" i="48"/>
  <c r="AA56" i="1"/>
  <c r="M86" i="48"/>
  <c r="AA86" i="1"/>
  <c r="M76" i="48"/>
  <c r="AA76" i="1"/>
  <c r="BB29" i="30"/>
  <c r="BF29" i="30"/>
  <c r="BE29" i="30"/>
  <c r="BD29" i="30"/>
  <c r="BZ29" i="30"/>
  <c r="CB29" i="30" s="1"/>
  <c r="BC29" i="30"/>
  <c r="BG29" i="30"/>
  <c r="M45" i="48"/>
  <c r="AA45" i="1"/>
  <c r="M47" i="48"/>
  <c r="AA47" i="1"/>
  <c r="M81" i="48"/>
  <c r="AA81" i="1"/>
  <c r="M99" i="48"/>
  <c r="AA99" i="1"/>
  <c r="M72" i="48"/>
  <c r="AA72" i="1"/>
  <c r="M25" i="48"/>
  <c r="AA25" i="1"/>
  <c r="M92" i="48"/>
  <c r="AA92" i="1"/>
  <c r="BE18" i="30"/>
  <c r="BD18" i="30"/>
  <c r="BZ18" i="30"/>
  <c r="CB18" i="30" s="1"/>
  <c r="BC18" i="30"/>
  <c r="BG18" i="30"/>
  <c r="BF18" i="30"/>
  <c r="BB18" i="30"/>
  <c r="M61" i="48"/>
  <c r="AA61" i="1"/>
  <c r="M63" i="48"/>
  <c r="AA63" i="1"/>
  <c r="M97" i="48"/>
  <c r="AA97" i="1"/>
  <c r="M101" i="48"/>
  <c r="AA101" i="1"/>
  <c r="M88" i="48"/>
  <c r="AA88" i="1"/>
  <c r="M41" i="48"/>
  <c r="AA41" i="1"/>
  <c r="BH23" i="30"/>
  <c r="BG23" i="30"/>
  <c r="BF23" i="30"/>
  <c r="BE23" i="30"/>
  <c r="BC23" i="30"/>
  <c r="BZ23" i="30"/>
  <c r="CB23" i="30" s="1"/>
  <c r="BD23" i="30"/>
  <c r="BB23" i="30"/>
  <c r="BZ19" i="30"/>
  <c r="CB19" i="30" s="1"/>
  <c r="BC19" i="30"/>
  <c r="BB19" i="30"/>
  <c r="BG19" i="30"/>
  <c r="BF19" i="30"/>
  <c r="BE19" i="30"/>
  <c r="BD19" i="30"/>
  <c r="M77" i="48"/>
  <c r="AA77" i="1"/>
  <c r="M79" i="48"/>
  <c r="AA79" i="1"/>
  <c r="M34" i="48"/>
  <c r="AA34" i="1"/>
  <c r="M55" i="48"/>
  <c r="AA55" i="1"/>
  <c r="M104" i="48"/>
  <c r="AA104" i="1"/>
  <c r="M73" i="48"/>
  <c r="AA73" i="1"/>
  <c r="BG27" i="30"/>
  <c r="BE27" i="30"/>
  <c r="BD27" i="30"/>
  <c r="BZ27" i="30"/>
  <c r="CB27" i="30" s="1"/>
  <c r="BC27" i="30"/>
  <c r="BB27" i="30"/>
  <c r="BF27" i="30"/>
  <c r="BC20" i="30"/>
  <c r="BB20" i="30"/>
  <c r="BZ20" i="30"/>
  <c r="CB20" i="30" s="1"/>
  <c r="BG20" i="30"/>
  <c r="BF20" i="30"/>
  <c r="BE20" i="30"/>
  <c r="BD20" i="30"/>
  <c r="M93" i="48"/>
  <c r="AA93" i="1"/>
  <c r="M95" i="48"/>
  <c r="AA95" i="1"/>
  <c r="M82" i="48"/>
  <c r="AA82" i="1"/>
  <c r="M20" i="48"/>
  <c r="AA20" i="1"/>
  <c r="M37" i="48"/>
  <c r="AA37" i="1"/>
  <c r="M105" i="48"/>
  <c r="AA105" i="1"/>
  <c r="BB28" i="30"/>
  <c r="BF28" i="30"/>
  <c r="BE28" i="30"/>
  <c r="BD28" i="30"/>
  <c r="BZ28" i="30"/>
  <c r="CB28" i="30" s="1"/>
  <c r="BC28" i="30"/>
  <c r="BG28" i="30"/>
  <c r="BG21" i="30"/>
  <c r="BF21" i="30"/>
  <c r="BE21" i="30"/>
  <c r="BD21" i="30"/>
  <c r="BZ21" i="30"/>
  <c r="CB21" i="30" s="1"/>
  <c r="BC21" i="30"/>
  <c r="BB21" i="30"/>
  <c r="M21" i="48"/>
  <c r="AA21" i="1"/>
  <c r="M22" i="48"/>
  <c r="AA22" i="1"/>
  <c r="M69" i="48"/>
  <c r="AA69" i="1"/>
  <c r="M36" i="48"/>
  <c r="AA36" i="1"/>
  <c r="M7" i="48"/>
  <c r="AA7" i="1"/>
  <c r="CH108" i="1"/>
  <c r="CH4" i="1"/>
  <c r="CH3" i="1"/>
  <c r="M11" i="48"/>
  <c r="AA11" i="1"/>
  <c r="BG14" i="30"/>
  <c r="BZ14" i="30"/>
  <c r="CB14" i="30" s="1"/>
  <c r="BB14" i="30"/>
  <c r="BF14" i="30"/>
  <c r="BE14" i="30"/>
  <c r="BD14" i="30"/>
  <c r="BC14" i="30"/>
  <c r="BH22" i="30"/>
  <c r="BG22" i="30"/>
  <c r="BF22" i="30"/>
  <c r="BE22" i="30"/>
  <c r="BD22" i="30"/>
  <c r="BZ22" i="30"/>
  <c r="CB22" i="30" s="1"/>
  <c r="BB22" i="30"/>
  <c r="BC22" i="30"/>
  <c r="M102" i="48"/>
  <c r="AA102" i="1"/>
  <c r="M80" i="48"/>
  <c r="AA80" i="1"/>
  <c r="M54" i="48"/>
  <c r="AA54" i="1"/>
  <c r="M52" i="48"/>
  <c r="AA52" i="1"/>
  <c r="M9" i="48"/>
  <c r="AA9" i="1"/>
  <c r="M27" i="48"/>
  <c r="AA27" i="1"/>
  <c r="BF15" i="30"/>
  <c r="BE15" i="30"/>
  <c r="BD15" i="30"/>
  <c r="BC15" i="30"/>
  <c r="BZ15" i="30"/>
  <c r="CB15" i="30" s="1"/>
  <c r="BB15" i="30"/>
  <c r="BD26" i="30"/>
  <c r="BC26" i="30"/>
  <c r="BZ26" i="30"/>
  <c r="CB26" i="30" s="1"/>
  <c r="BB26" i="30"/>
  <c r="BG26" i="30"/>
  <c r="BF26" i="30"/>
  <c r="BE26" i="30"/>
  <c r="CN9" i="1"/>
  <c r="CN12" i="1" s="1"/>
  <c r="CN8" i="1"/>
  <c r="CN13" i="1" s="1"/>
  <c r="M23" i="48"/>
  <c r="AA23" i="1"/>
  <c r="M38" i="48"/>
  <c r="AA38" i="1"/>
  <c r="M71" i="48"/>
  <c r="AA71" i="1"/>
  <c r="M68" i="48"/>
  <c r="AA68" i="1"/>
  <c r="M57" i="48"/>
  <c r="AA57" i="1"/>
  <c r="M43" i="48"/>
  <c r="AA43" i="1"/>
  <c r="BF16" i="30"/>
  <c r="BD16" i="30"/>
  <c r="BE16" i="30"/>
  <c r="BC16" i="30"/>
  <c r="BB16" i="30"/>
  <c r="BZ16" i="30"/>
  <c r="CB16" i="30" s="1"/>
  <c r="BD30" i="30"/>
  <c r="BZ30" i="30"/>
  <c r="CB30" i="30" s="1"/>
  <c r="BC30" i="30"/>
  <c r="BB30" i="30"/>
  <c r="BG30" i="30"/>
  <c r="BF30" i="30"/>
  <c r="BE30" i="30"/>
  <c r="M14" i="48"/>
  <c r="AA14" i="1"/>
  <c r="M87" i="48"/>
  <c r="AA87" i="1"/>
  <c r="M18" i="48"/>
  <c r="AA18" i="1"/>
  <c r="M84" i="48"/>
  <c r="AA84" i="1"/>
  <c r="M89" i="48"/>
  <c r="AA89" i="1"/>
  <c r="M59" i="48"/>
  <c r="AA59" i="1"/>
  <c r="BI17" i="30"/>
  <c r="BH17" i="30"/>
  <c r="BG17" i="30"/>
  <c r="BE17" i="30"/>
  <c r="BD17" i="30"/>
  <c r="BB17" i="30"/>
  <c r="BF17" i="30"/>
  <c r="BC17" i="30"/>
  <c r="BZ17" i="30"/>
  <c r="CB17" i="30" s="1"/>
  <c r="AA7" i="30"/>
  <c r="CH3" i="30"/>
  <c r="CH4" i="30"/>
  <c r="M30" i="48"/>
  <c r="AA30" i="1"/>
  <c r="M32" i="48"/>
  <c r="AA32" i="1"/>
  <c r="M50" i="48"/>
  <c r="AA50" i="1"/>
  <c r="M100" i="48"/>
  <c r="AA100" i="1"/>
  <c r="M10" i="48"/>
  <c r="AA10" i="1"/>
  <c r="M75" i="48"/>
  <c r="AA75" i="1"/>
  <c r="BB8" i="30"/>
  <c r="BF8" i="30"/>
  <c r="BE8" i="30"/>
  <c r="BZ8" i="30"/>
  <c r="CB8" i="30" s="1"/>
  <c r="BD8" i="30"/>
  <c r="BC8" i="30"/>
  <c r="BH8" i="30"/>
  <c r="BG8" i="30"/>
  <c r="BG24" i="30"/>
  <c r="BE24" i="30"/>
  <c r="BF24" i="30"/>
  <c r="BD24" i="30"/>
  <c r="BC24" i="30"/>
  <c r="BB24" i="30"/>
  <c r="BZ24" i="30"/>
  <c r="CB24" i="30" s="1"/>
  <c r="BK16" i="1"/>
  <c r="BI16" i="1"/>
  <c r="BB16" i="1"/>
  <c r="BO16" i="1"/>
  <c r="BN16" i="1"/>
  <c r="BM16" i="1"/>
  <c r="BL16" i="1"/>
  <c r="BC16" i="1"/>
  <c r="BZ16" i="1"/>
  <c r="CB16" i="1" s="1"/>
  <c r="BQ16" i="1"/>
  <c r="BP16" i="1"/>
  <c r="BJ16" i="1"/>
  <c r="BH16" i="1"/>
  <c r="BG16" i="1"/>
  <c r="BF16" i="1"/>
  <c r="BE16" i="1"/>
  <c r="BD16" i="1"/>
  <c r="M46" i="48"/>
  <c r="AA46" i="1"/>
  <c r="M48" i="48"/>
  <c r="AA48" i="1"/>
  <c r="M66" i="48"/>
  <c r="AA66" i="1"/>
  <c r="M85" i="48"/>
  <c r="AA85" i="1"/>
  <c r="M26" i="48"/>
  <c r="AA26" i="1"/>
  <c r="M91" i="48"/>
  <c r="AA91" i="1"/>
  <c r="BG10" i="30"/>
  <c r="BD10" i="30"/>
  <c r="BF10" i="30"/>
  <c r="BE10" i="30"/>
  <c r="BC10" i="30"/>
  <c r="BB10" i="30"/>
  <c r="BZ10" i="30"/>
  <c r="CB10" i="30" s="1"/>
  <c r="BE31" i="30"/>
  <c r="BD31" i="30"/>
  <c r="BC31" i="30"/>
  <c r="BZ31" i="30"/>
  <c r="CB31" i="30" s="1"/>
  <c r="BB31" i="30"/>
  <c r="BF31" i="30"/>
  <c r="M62" i="48"/>
  <c r="AA62" i="1"/>
  <c r="M64" i="48"/>
  <c r="AA64" i="1"/>
  <c r="M98" i="48"/>
  <c r="AA98" i="1"/>
  <c r="M70" i="48"/>
  <c r="AA70" i="1"/>
  <c r="M42" i="48"/>
  <c r="AA42" i="1"/>
  <c r="M53" i="48"/>
  <c r="AA53" i="1"/>
  <c r="BF9" i="30"/>
  <c r="BE9" i="30"/>
  <c r="BZ9" i="30"/>
  <c r="CB9" i="30" s="1"/>
  <c r="BD9" i="30"/>
  <c r="BB9" i="30"/>
  <c r="BG9" i="30"/>
  <c r="BC9" i="30"/>
  <c r="FV70" i="1"/>
  <c r="FS70" i="1"/>
  <c r="FS3" i="1" s="1"/>
  <c r="R15" i="31" s="1"/>
  <c r="FV3" i="1"/>
  <c r="R9" i="31" s="1"/>
  <c r="FW70" i="1"/>
  <c r="FW3" i="1" s="1"/>
  <c r="R11" i="31" s="1"/>
  <c r="BH50" i="30" l="1"/>
  <c r="EJ16" i="30"/>
  <c r="BC23" i="1"/>
  <c r="BZ23" i="1"/>
  <c r="CB23" i="1" s="1"/>
  <c r="BJ23" i="1"/>
  <c r="BG23" i="1"/>
  <c r="BF23" i="1"/>
  <c r="BE23" i="1"/>
  <c r="BD23" i="1"/>
  <c r="BO23" i="1"/>
  <c r="BM23" i="1"/>
  <c r="BL23" i="1"/>
  <c r="BK23" i="1"/>
  <c r="BI23" i="1"/>
  <c r="BH23" i="1"/>
  <c r="BB23" i="1"/>
  <c r="BN23" i="1"/>
  <c r="BO88" i="1"/>
  <c r="BN88" i="1"/>
  <c r="BL88" i="1"/>
  <c r="BD88" i="1"/>
  <c r="BC88" i="1"/>
  <c r="BB88" i="1"/>
  <c r="BZ88" i="1"/>
  <c r="CB88" i="1" s="1"/>
  <c r="BM88" i="1"/>
  <c r="BK88" i="1"/>
  <c r="BJ88" i="1"/>
  <c r="BI88" i="1"/>
  <c r="BH88" i="1"/>
  <c r="BG88" i="1"/>
  <c r="BF88" i="1"/>
  <c r="BE88" i="1"/>
  <c r="BC31" i="1"/>
  <c r="BJ31" i="1"/>
  <c r="BG31" i="1"/>
  <c r="BF31" i="1"/>
  <c r="BE31" i="1"/>
  <c r="BD31" i="1"/>
  <c r="BN31" i="1"/>
  <c r="BM31" i="1"/>
  <c r="BL31" i="1"/>
  <c r="BK31" i="1"/>
  <c r="BI31" i="1"/>
  <c r="BH31" i="1"/>
  <c r="BB31" i="1"/>
  <c r="BZ31" i="1"/>
  <c r="CB31" i="1" s="1"/>
  <c r="BP31" i="1"/>
  <c r="BO31" i="1"/>
  <c r="BH40" i="1"/>
  <c r="BD40" i="1"/>
  <c r="BK40" i="1"/>
  <c r="BJ40" i="1"/>
  <c r="BI40" i="1"/>
  <c r="BQ40" i="1"/>
  <c r="BP40" i="1"/>
  <c r="BE40" i="1"/>
  <c r="BB40" i="1"/>
  <c r="BZ40" i="1"/>
  <c r="CB40" i="1" s="1"/>
  <c r="BO40" i="1"/>
  <c r="BN40" i="1"/>
  <c r="BM40" i="1"/>
  <c r="BL40" i="1"/>
  <c r="BG40" i="1"/>
  <c r="BF40" i="1"/>
  <c r="BC40" i="1"/>
  <c r="BD48" i="1"/>
  <c r="BC48" i="1"/>
  <c r="BH48" i="1"/>
  <c r="BG48" i="1"/>
  <c r="BF48" i="1"/>
  <c r="BE48" i="1"/>
  <c r="BM48" i="1"/>
  <c r="BL48" i="1"/>
  <c r="BK48" i="1"/>
  <c r="BJ48" i="1"/>
  <c r="BZ48" i="1"/>
  <c r="CB48" i="1" s="1"/>
  <c r="BO48" i="1"/>
  <c r="BN48" i="1"/>
  <c r="BI48" i="1"/>
  <c r="BB48" i="1"/>
  <c r="EH8" i="30"/>
  <c r="DM13" i="30"/>
  <c r="CQ7" i="30"/>
  <c r="CZ10" i="30"/>
  <c r="CK13" i="30"/>
  <c r="BZ84" i="1"/>
  <c r="CB84" i="1" s="1"/>
  <c r="BN84" i="1"/>
  <c r="BL84" i="1"/>
  <c r="BD84" i="1"/>
  <c r="BC84" i="1"/>
  <c r="BB84" i="1"/>
  <c r="BM84" i="1"/>
  <c r="BK84" i="1"/>
  <c r="BJ84" i="1"/>
  <c r="BI84" i="1"/>
  <c r="BH84" i="1"/>
  <c r="BG84" i="1"/>
  <c r="BF84" i="1"/>
  <c r="BE84" i="1"/>
  <c r="BM27" i="1"/>
  <c r="BK27" i="1"/>
  <c r="BD27" i="1"/>
  <c r="BQ27" i="1"/>
  <c r="BP27" i="1"/>
  <c r="BO27" i="1"/>
  <c r="BN27" i="1"/>
  <c r="BG27" i="1"/>
  <c r="BF27" i="1"/>
  <c r="BE27" i="1"/>
  <c r="BC27" i="1"/>
  <c r="BB27" i="1"/>
  <c r="BZ27" i="1"/>
  <c r="CB27" i="1" s="1"/>
  <c r="BL27" i="1"/>
  <c r="BJ27" i="1"/>
  <c r="BI27" i="1"/>
  <c r="BH27" i="1"/>
  <c r="BO7" i="1"/>
  <c r="BX7" i="1"/>
  <c r="BH7" i="1"/>
  <c r="BT7" i="1"/>
  <c r="BD7" i="1"/>
  <c r="BS7" i="1"/>
  <c r="BC7" i="1"/>
  <c r="BQ7" i="1"/>
  <c r="BR7" i="1"/>
  <c r="BB7" i="1"/>
  <c r="BW7" i="1"/>
  <c r="BV7" i="1"/>
  <c r="BN7" i="1"/>
  <c r="BP7" i="1"/>
  <c r="BM7" i="1"/>
  <c r="BL7" i="1"/>
  <c r="BK7" i="1"/>
  <c r="BJ7" i="1"/>
  <c r="BI7" i="1"/>
  <c r="BU7" i="1"/>
  <c r="BG7" i="1"/>
  <c r="BF7" i="1"/>
  <c r="BE7" i="1"/>
  <c r="BZ7" i="1"/>
  <c r="AB4" i="1"/>
  <c r="AD3" i="1" s="1"/>
  <c r="BG95" i="1"/>
  <c r="DZ95" i="1" s="1"/>
  <c r="BF95" i="1"/>
  <c r="BE95" i="1"/>
  <c r="BC95" i="1"/>
  <c r="BK95" i="1"/>
  <c r="BJ95" i="1"/>
  <c r="BI95" i="1"/>
  <c r="BH95" i="1"/>
  <c r="BB95" i="1"/>
  <c r="BZ95" i="1"/>
  <c r="CB95" i="1" s="1"/>
  <c r="BN95" i="1"/>
  <c r="BM95" i="1"/>
  <c r="BL95" i="1"/>
  <c r="BD95" i="1"/>
  <c r="BJ92" i="1"/>
  <c r="BI92" i="1"/>
  <c r="BH92" i="1"/>
  <c r="BF92" i="1"/>
  <c r="BN92" i="1"/>
  <c r="BM92" i="1"/>
  <c r="BL92" i="1"/>
  <c r="BK92" i="1"/>
  <c r="BZ92" i="1"/>
  <c r="CB92" i="1" s="1"/>
  <c r="BG92" i="1"/>
  <c r="BE92" i="1"/>
  <c r="BD92" i="1"/>
  <c r="BC92" i="1"/>
  <c r="BB92" i="1"/>
  <c r="CK9" i="30"/>
  <c r="EJ29" i="30"/>
  <c r="BD90" i="1"/>
  <c r="BC90" i="1"/>
  <c r="BB90" i="1"/>
  <c r="BH90" i="1"/>
  <c r="BG90" i="1"/>
  <c r="BF90" i="1"/>
  <c r="BE90" i="1"/>
  <c r="BZ90" i="1"/>
  <c r="CB90" i="1" s="1"/>
  <c r="BO90" i="1"/>
  <c r="BN90" i="1"/>
  <c r="BM90" i="1"/>
  <c r="BL90" i="1"/>
  <c r="BK90" i="1"/>
  <c r="BJ90" i="1"/>
  <c r="BI90" i="1"/>
  <c r="BF42" i="1"/>
  <c r="BZ42" i="1"/>
  <c r="CB42" i="1" s="1"/>
  <c r="BB42" i="1"/>
  <c r="BI42" i="1"/>
  <c r="BH42" i="1"/>
  <c r="BG42" i="1"/>
  <c r="BE42" i="1"/>
  <c r="BD42" i="1"/>
  <c r="BC42" i="1"/>
  <c r="BP42" i="1"/>
  <c r="BN42" i="1"/>
  <c r="BM42" i="1"/>
  <c r="BL42" i="1"/>
  <c r="BK42" i="1"/>
  <c r="BJ42" i="1"/>
  <c r="BO42" i="1"/>
  <c r="EJ10" i="30"/>
  <c r="CK30" i="30"/>
  <c r="DM17" i="30"/>
  <c r="BK101" i="1"/>
  <c r="BJ101" i="1"/>
  <c r="BI101" i="1"/>
  <c r="BG101" i="1"/>
  <c r="BN101" i="1"/>
  <c r="BM101" i="1"/>
  <c r="BL101" i="1"/>
  <c r="BB101" i="1"/>
  <c r="BZ101" i="1"/>
  <c r="CB101" i="1" s="1"/>
  <c r="BH101" i="1"/>
  <c r="BF101" i="1"/>
  <c r="BE101" i="1"/>
  <c r="BD101" i="1"/>
  <c r="BC101" i="1"/>
  <c r="BI29" i="1"/>
  <c r="BG29" i="1"/>
  <c r="BP29" i="1"/>
  <c r="BM29" i="1"/>
  <c r="BL29" i="1"/>
  <c r="BK29" i="1"/>
  <c r="BJ29" i="1"/>
  <c r="BZ29" i="1"/>
  <c r="CB29" i="1" s="1"/>
  <c r="BO29" i="1"/>
  <c r="BN29" i="1"/>
  <c r="BH29" i="1"/>
  <c r="BF29" i="1"/>
  <c r="BE29" i="1"/>
  <c r="BD29" i="1"/>
  <c r="BC29" i="1"/>
  <c r="BB29" i="1"/>
  <c r="BQ29" i="1"/>
  <c r="BK67" i="1"/>
  <c r="BJ67" i="1"/>
  <c r="BI67" i="1"/>
  <c r="BG67" i="1"/>
  <c r="BO67" i="1"/>
  <c r="BN67" i="1"/>
  <c r="BM67" i="1"/>
  <c r="BL67" i="1"/>
  <c r="BH67" i="1"/>
  <c r="BF67" i="1"/>
  <c r="BE67" i="1"/>
  <c r="BD67" i="1"/>
  <c r="BC67" i="1"/>
  <c r="BB67" i="1"/>
  <c r="BZ67" i="1"/>
  <c r="CB67" i="1" s="1"/>
  <c r="BI28" i="1"/>
  <c r="BB28" i="1"/>
  <c r="BO28" i="1"/>
  <c r="BN28" i="1"/>
  <c r="BK28" i="1"/>
  <c r="BM28" i="1"/>
  <c r="BL28" i="1"/>
  <c r="BQ28" i="1"/>
  <c r="BP28" i="1"/>
  <c r="BJ28" i="1"/>
  <c r="BH28" i="1"/>
  <c r="BG28" i="1"/>
  <c r="BE28" i="1"/>
  <c r="BD28" i="1"/>
  <c r="BC28" i="1"/>
  <c r="BF28" i="1"/>
  <c r="BZ28" i="1"/>
  <c r="CB28" i="1" s="1"/>
  <c r="CK14" i="30"/>
  <c r="CQ8" i="30"/>
  <c r="BJ9" i="1"/>
  <c r="BH9" i="1"/>
  <c r="BQ9" i="1"/>
  <c r="BM9" i="1"/>
  <c r="BL9" i="1"/>
  <c r="BK9" i="1"/>
  <c r="BE9" i="1"/>
  <c r="BD9" i="1"/>
  <c r="BC9" i="1"/>
  <c r="BB9" i="1"/>
  <c r="BZ9" i="1"/>
  <c r="CB9" i="1" s="1"/>
  <c r="BR9" i="1"/>
  <c r="BP9" i="1"/>
  <c r="BO9" i="1"/>
  <c r="BN9" i="1"/>
  <c r="BI9" i="1"/>
  <c r="BG9" i="1"/>
  <c r="BF9" i="1"/>
  <c r="BJ36" i="1"/>
  <c r="BD36" i="1"/>
  <c r="BC36" i="1"/>
  <c r="BZ36" i="1"/>
  <c r="CB36" i="1" s="1"/>
  <c r="BB36" i="1"/>
  <c r="BL36" i="1"/>
  <c r="BI36" i="1"/>
  <c r="BH36" i="1"/>
  <c r="BG36" i="1"/>
  <c r="BF36" i="1"/>
  <c r="BE36" i="1"/>
  <c r="BK36" i="1"/>
  <c r="BQ36" i="1"/>
  <c r="BP36" i="1"/>
  <c r="BO36" i="1"/>
  <c r="BN36" i="1"/>
  <c r="BM36" i="1"/>
  <c r="BN93" i="1"/>
  <c r="BM93" i="1"/>
  <c r="BK93" i="1"/>
  <c r="BC93" i="1"/>
  <c r="BB93" i="1"/>
  <c r="BZ93" i="1"/>
  <c r="CB93" i="1" s="1"/>
  <c r="BL93" i="1"/>
  <c r="BJ93" i="1"/>
  <c r="BI93" i="1"/>
  <c r="BH93" i="1"/>
  <c r="BG93" i="1"/>
  <c r="BF93" i="1"/>
  <c r="BE93" i="1"/>
  <c r="BD93" i="1"/>
  <c r="BZ73" i="1"/>
  <c r="CB73" i="1" s="1"/>
  <c r="BO73" i="1"/>
  <c r="BM73" i="1"/>
  <c r="BE73" i="1"/>
  <c r="BD73" i="1"/>
  <c r="BC73" i="1"/>
  <c r="BB73" i="1"/>
  <c r="BN73" i="1"/>
  <c r="BL73" i="1"/>
  <c r="BK73" i="1"/>
  <c r="BJ73" i="1"/>
  <c r="BI73" i="1"/>
  <c r="BH73" i="1"/>
  <c r="BG73" i="1"/>
  <c r="BF73" i="1"/>
  <c r="BC25" i="1"/>
  <c r="BQ25" i="1"/>
  <c r="BJ25" i="1"/>
  <c r="BG25" i="1"/>
  <c r="BF25" i="1"/>
  <c r="BZ25" i="1"/>
  <c r="CB25" i="1" s="1"/>
  <c r="BE25" i="1"/>
  <c r="BD25" i="1"/>
  <c r="BP25" i="1"/>
  <c r="BO25" i="1"/>
  <c r="BN25" i="1"/>
  <c r="BM25" i="1"/>
  <c r="BL25" i="1"/>
  <c r="BK25" i="1"/>
  <c r="BI25" i="1"/>
  <c r="BH25" i="1"/>
  <c r="BB25" i="1"/>
  <c r="BZ24" i="1"/>
  <c r="CB24" i="1" s="1"/>
  <c r="BB24" i="1"/>
  <c r="BK24" i="1"/>
  <c r="BH24" i="1"/>
  <c r="BG24" i="1"/>
  <c r="BD24" i="1"/>
  <c r="BF24" i="1"/>
  <c r="BE24" i="1"/>
  <c r="BM24" i="1"/>
  <c r="BL24" i="1"/>
  <c r="BJ24" i="1"/>
  <c r="BI24" i="1"/>
  <c r="BC24" i="1"/>
  <c r="BP24" i="1"/>
  <c r="BO24" i="1"/>
  <c r="BN24" i="1"/>
  <c r="BB46" i="1"/>
  <c r="BZ46" i="1"/>
  <c r="CB46" i="1" s="1"/>
  <c r="BN46" i="1"/>
  <c r="BE46" i="1"/>
  <c r="BD46" i="1"/>
  <c r="BC46" i="1"/>
  <c r="BL46" i="1"/>
  <c r="BK46" i="1"/>
  <c r="BJ46" i="1"/>
  <c r="BO46" i="1"/>
  <c r="BM46" i="1"/>
  <c r="BI46" i="1"/>
  <c r="BH46" i="1"/>
  <c r="BG46" i="1"/>
  <c r="BF46" i="1"/>
  <c r="BP18" i="1"/>
  <c r="BN18" i="1"/>
  <c r="BG18" i="1"/>
  <c r="BD18" i="1"/>
  <c r="BZ18" i="1"/>
  <c r="CB18" i="1" s="1"/>
  <c r="BC18" i="1"/>
  <c r="BB18" i="1"/>
  <c r="BQ18" i="1"/>
  <c r="BI18" i="1"/>
  <c r="BF18" i="1"/>
  <c r="BE18" i="1"/>
  <c r="BO18" i="1"/>
  <c r="BM18" i="1"/>
  <c r="BH18" i="1"/>
  <c r="BL18" i="1"/>
  <c r="BK18" i="1"/>
  <c r="BJ18" i="1"/>
  <c r="BM70" i="1"/>
  <c r="BQ70" i="1"/>
  <c r="BP70" i="1"/>
  <c r="BK70" i="1"/>
  <c r="BB70" i="1"/>
  <c r="BC70" i="1"/>
  <c r="BD70" i="1"/>
  <c r="BI70" i="1"/>
  <c r="BN70" i="1"/>
  <c r="BJ70" i="1"/>
  <c r="BL70" i="1"/>
  <c r="BO70" i="1"/>
  <c r="BZ70" i="1"/>
  <c r="CB70" i="1" s="1"/>
  <c r="BE70" i="1"/>
  <c r="BF70" i="1"/>
  <c r="BG70" i="1"/>
  <c r="BH70" i="1"/>
  <c r="EJ17" i="30"/>
  <c r="BH55" i="30"/>
  <c r="CK18" i="30"/>
  <c r="BO97" i="1"/>
  <c r="BN97" i="1"/>
  <c r="BM97" i="1"/>
  <c r="BK97" i="1"/>
  <c r="BC97" i="1"/>
  <c r="BB97" i="1"/>
  <c r="BZ97" i="1"/>
  <c r="CB97" i="1" s="1"/>
  <c r="BL97" i="1"/>
  <c r="BJ97" i="1"/>
  <c r="BI97" i="1"/>
  <c r="BH97" i="1"/>
  <c r="BG97" i="1"/>
  <c r="BF97" i="1"/>
  <c r="BE97" i="1"/>
  <c r="BD97" i="1"/>
  <c r="BE49" i="1"/>
  <c r="BD49" i="1"/>
  <c r="BI49" i="1"/>
  <c r="BH49" i="1"/>
  <c r="BG49" i="1"/>
  <c r="BF49" i="1"/>
  <c r="BZ49" i="1"/>
  <c r="CB49" i="1" s="1"/>
  <c r="BK49" i="1"/>
  <c r="BC49" i="1"/>
  <c r="BB49" i="1"/>
  <c r="BP49" i="1"/>
  <c r="BO49" i="1"/>
  <c r="BN49" i="1"/>
  <c r="BM49" i="1"/>
  <c r="BL49" i="1"/>
  <c r="BJ49" i="1"/>
  <c r="BD74" i="1"/>
  <c r="BC74" i="1"/>
  <c r="BB74" i="1"/>
  <c r="BH74" i="1"/>
  <c r="BG74" i="1"/>
  <c r="BF74" i="1"/>
  <c r="BE74" i="1"/>
  <c r="BM74" i="1"/>
  <c r="BL74" i="1"/>
  <c r="BK74" i="1"/>
  <c r="BJ74" i="1"/>
  <c r="BI74" i="1"/>
  <c r="BZ74" i="1"/>
  <c r="CB74" i="1" s="1"/>
  <c r="BO74" i="1"/>
  <c r="BN74" i="1"/>
  <c r="BJ12" i="1"/>
  <c r="BZ12" i="1"/>
  <c r="CB12" i="1" s="1"/>
  <c r="BC12" i="1"/>
  <c r="BP12" i="1"/>
  <c r="BO12" i="1"/>
  <c r="BL12" i="1"/>
  <c r="BN12" i="1"/>
  <c r="BM12" i="1"/>
  <c r="BI12" i="1"/>
  <c r="BH12" i="1"/>
  <c r="BQ12" i="1"/>
  <c r="BK12" i="1"/>
  <c r="BF12" i="1"/>
  <c r="BE12" i="1"/>
  <c r="BD12" i="1"/>
  <c r="BB12" i="1"/>
  <c r="BG12" i="1"/>
  <c r="DU16" i="1"/>
  <c r="BB7" i="30"/>
  <c r="BB46" i="30" s="1"/>
  <c r="AB4" i="30"/>
  <c r="AD3" i="30" s="1"/>
  <c r="BF7" i="30"/>
  <c r="BF62" i="30" s="1"/>
  <c r="BE7" i="30"/>
  <c r="BE53" i="30" s="1"/>
  <c r="BD7" i="30"/>
  <c r="BD59" i="30" s="1"/>
  <c r="BC7" i="30"/>
  <c r="BC62" i="30" s="1"/>
  <c r="BG7" i="30"/>
  <c r="BG55" i="30" s="1"/>
  <c r="BZ7" i="30"/>
  <c r="DW16" i="1"/>
  <c r="BE75" i="1"/>
  <c r="BD75" i="1"/>
  <c r="BC75" i="1"/>
  <c r="BZ75" i="1"/>
  <c r="CB75" i="1" s="1"/>
  <c r="BI75" i="1"/>
  <c r="BH75" i="1"/>
  <c r="BG75" i="1"/>
  <c r="BF75" i="1"/>
  <c r="BO75" i="1"/>
  <c r="BN75" i="1"/>
  <c r="BM75" i="1"/>
  <c r="BL75" i="1"/>
  <c r="BK75" i="1"/>
  <c r="BJ75" i="1"/>
  <c r="BB75" i="1"/>
  <c r="BO87" i="1"/>
  <c r="BN87" i="1"/>
  <c r="BM87" i="1"/>
  <c r="BK87" i="1"/>
  <c r="BC87" i="1"/>
  <c r="BB87" i="1"/>
  <c r="BZ87" i="1"/>
  <c r="CB87" i="1" s="1"/>
  <c r="BE87" i="1"/>
  <c r="BD87" i="1"/>
  <c r="BL87" i="1"/>
  <c r="BJ87" i="1"/>
  <c r="BI87" i="1"/>
  <c r="BH87" i="1"/>
  <c r="BG87" i="1"/>
  <c r="BF87" i="1"/>
  <c r="BN52" i="1"/>
  <c r="BM52" i="1"/>
  <c r="BJ52" i="1"/>
  <c r="BB52" i="1"/>
  <c r="BZ52" i="1"/>
  <c r="CB52" i="1" s="1"/>
  <c r="BL52" i="1"/>
  <c r="BK52" i="1"/>
  <c r="BI52" i="1"/>
  <c r="BE52" i="1"/>
  <c r="BC52" i="1"/>
  <c r="BH52" i="1"/>
  <c r="BG52" i="1"/>
  <c r="BF52" i="1"/>
  <c r="BD52" i="1"/>
  <c r="BO69" i="1"/>
  <c r="BN69" i="1"/>
  <c r="BM69" i="1"/>
  <c r="BK69" i="1"/>
  <c r="BC69" i="1"/>
  <c r="BB69" i="1"/>
  <c r="BZ69" i="1"/>
  <c r="CB69" i="1" s="1"/>
  <c r="BF69" i="1"/>
  <c r="BE69" i="1"/>
  <c r="BD69" i="1"/>
  <c r="BL69" i="1"/>
  <c r="BJ69" i="1"/>
  <c r="BI69" i="1"/>
  <c r="BH69" i="1"/>
  <c r="BG69" i="1"/>
  <c r="BF104" i="1"/>
  <c r="BE104" i="1"/>
  <c r="BD104" i="1"/>
  <c r="BB104" i="1"/>
  <c r="BJ104" i="1"/>
  <c r="BI104" i="1"/>
  <c r="BH104" i="1"/>
  <c r="BG104" i="1"/>
  <c r="BZ104" i="1"/>
  <c r="CB104" i="1" s="1"/>
  <c r="BN104" i="1"/>
  <c r="BM104" i="1"/>
  <c r="BL104" i="1"/>
  <c r="BK104" i="1"/>
  <c r="BC104" i="1"/>
  <c r="EJ19" i="30"/>
  <c r="BO72" i="1"/>
  <c r="BN72" i="1"/>
  <c r="BL72" i="1"/>
  <c r="BD72" i="1"/>
  <c r="BC72" i="1"/>
  <c r="BB72" i="1"/>
  <c r="BZ72" i="1"/>
  <c r="CB72" i="1" s="1"/>
  <c r="BG72" i="1"/>
  <c r="BF72" i="1"/>
  <c r="BE72" i="1"/>
  <c r="BM72" i="1"/>
  <c r="BK72" i="1"/>
  <c r="BJ72" i="1"/>
  <c r="BI72" i="1"/>
  <c r="BH72" i="1"/>
  <c r="BI51" i="1"/>
  <c r="BH51" i="1"/>
  <c r="BE51" i="1"/>
  <c r="BM51" i="1"/>
  <c r="BL51" i="1"/>
  <c r="BK51" i="1"/>
  <c r="BJ51" i="1"/>
  <c r="BG51" i="1"/>
  <c r="BD51" i="1"/>
  <c r="BC51" i="1"/>
  <c r="BB51" i="1"/>
  <c r="BZ51" i="1"/>
  <c r="CB51" i="1" s="1"/>
  <c r="BN51" i="1"/>
  <c r="BF51" i="1"/>
  <c r="BN62" i="1"/>
  <c r="BM62" i="1"/>
  <c r="BL62" i="1"/>
  <c r="BJ62" i="1"/>
  <c r="BB62" i="1"/>
  <c r="BZ62" i="1"/>
  <c r="CB62" i="1" s="1"/>
  <c r="BO62" i="1"/>
  <c r="BH62" i="1"/>
  <c r="BF62" i="1"/>
  <c r="BE62" i="1"/>
  <c r="BD62" i="1"/>
  <c r="BC62" i="1"/>
  <c r="BK62" i="1"/>
  <c r="BI62" i="1"/>
  <c r="BG62" i="1"/>
  <c r="BC53" i="1"/>
  <c r="BZ53" i="1"/>
  <c r="CB53" i="1" s="1"/>
  <c r="BB53" i="1"/>
  <c r="BO53" i="1"/>
  <c r="BG53" i="1"/>
  <c r="BF53" i="1"/>
  <c r="BE53" i="1"/>
  <c r="BD53" i="1"/>
  <c r="BK53" i="1"/>
  <c r="BJ53" i="1"/>
  <c r="BI53" i="1"/>
  <c r="BH53" i="1"/>
  <c r="BP53" i="1"/>
  <c r="BN53" i="1"/>
  <c r="BM53" i="1"/>
  <c r="BL53" i="1"/>
  <c r="BZ98" i="1"/>
  <c r="CB98" i="1" s="1"/>
  <c r="BN98" i="1"/>
  <c r="BL98" i="1"/>
  <c r="BD98" i="1"/>
  <c r="BC98" i="1"/>
  <c r="BB98" i="1"/>
  <c r="BE98" i="1"/>
  <c r="BM98" i="1"/>
  <c r="BK98" i="1"/>
  <c r="BJ98" i="1"/>
  <c r="BI98" i="1"/>
  <c r="BH98" i="1"/>
  <c r="BG98" i="1"/>
  <c r="BF98" i="1"/>
  <c r="DX16" i="1"/>
  <c r="CK25" i="30"/>
  <c r="EJ24" i="30"/>
  <c r="BE43" i="1"/>
  <c r="BD43" i="1"/>
  <c r="BH43" i="1"/>
  <c r="BG43" i="1"/>
  <c r="BF43" i="1"/>
  <c r="BN43" i="1"/>
  <c r="BM43" i="1"/>
  <c r="BL43" i="1"/>
  <c r="BZ43" i="1"/>
  <c r="CB43" i="1" s="1"/>
  <c r="BP43" i="1"/>
  <c r="BO43" i="1"/>
  <c r="BK43" i="1"/>
  <c r="BJ43" i="1"/>
  <c r="BI43" i="1"/>
  <c r="BC43" i="1"/>
  <c r="BB43" i="1"/>
  <c r="BZ63" i="1"/>
  <c r="CB63" i="1" s="1"/>
  <c r="BO63" i="1"/>
  <c r="BM63" i="1"/>
  <c r="BE63" i="1"/>
  <c r="BD63" i="1"/>
  <c r="BC63" i="1"/>
  <c r="BB63" i="1"/>
  <c r="BL63" i="1"/>
  <c r="BK63" i="1"/>
  <c r="BJ63" i="1"/>
  <c r="BI63" i="1"/>
  <c r="BH63" i="1"/>
  <c r="BG63" i="1"/>
  <c r="BN63" i="1"/>
  <c r="BF63" i="1"/>
  <c r="BH76" i="1"/>
  <c r="BG76" i="1"/>
  <c r="BF76" i="1"/>
  <c r="BD76" i="1"/>
  <c r="BL76" i="1"/>
  <c r="BK76" i="1"/>
  <c r="BJ76" i="1"/>
  <c r="BI76" i="1"/>
  <c r="BZ76" i="1"/>
  <c r="CB76" i="1" s="1"/>
  <c r="BO76" i="1"/>
  <c r="BN76" i="1"/>
  <c r="BM76" i="1"/>
  <c r="BE76" i="1"/>
  <c r="BC76" i="1"/>
  <c r="BB76" i="1"/>
  <c r="BQ15" i="1"/>
  <c r="BJ15" i="1"/>
  <c r="BG15" i="1"/>
  <c r="BF15" i="1"/>
  <c r="BZ15" i="1"/>
  <c r="CB15" i="1" s="1"/>
  <c r="BE15" i="1"/>
  <c r="BC15" i="1"/>
  <c r="BD15" i="1"/>
  <c r="BB15" i="1"/>
  <c r="BP15" i="1"/>
  <c r="BO15" i="1"/>
  <c r="BN15" i="1"/>
  <c r="BM15" i="1"/>
  <c r="BL15" i="1"/>
  <c r="BK15" i="1"/>
  <c r="BI15" i="1"/>
  <c r="BH15" i="1"/>
  <c r="BD35" i="1"/>
  <c r="BC35" i="1"/>
  <c r="BL35" i="1"/>
  <c r="BJ35" i="1"/>
  <c r="BI35" i="1"/>
  <c r="BH35" i="1"/>
  <c r="BE35" i="1"/>
  <c r="BG35" i="1"/>
  <c r="BF35" i="1"/>
  <c r="BZ35" i="1"/>
  <c r="CB35" i="1" s="1"/>
  <c r="BP35" i="1"/>
  <c r="BO35" i="1"/>
  <c r="BN35" i="1"/>
  <c r="BM35" i="1"/>
  <c r="BK35" i="1"/>
  <c r="BB35" i="1"/>
  <c r="BF58" i="1"/>
  <c r="BE58" i="1"/>
  <c r="BB58" i="1"/>
  <c r="BJ58" i="1"/>
  <c r="BI58" i="1"/>
  <c r="BH58" i="1"/>
  <c r="BG58" i="1"/>
  <c r="BO58" i="1"/>
  <c r="BN58" i="1"/>
  <c r="BM58" i="1"/>
  <c r="BL58" i="1"/>
  <c r="BC58" i="1"/>
  <c r="BZ58" i="1"/>
  <c r="CB58" i="1" s="1"/>
  <c r="BK58" i="1"/>
  <c r="BD58" i="1"/>
  <c r="BE14" i="1"/>
  <c r="BN14" i="1"/>
  <c r="BK14" i="1"/>
  <c r="BJ14" i="1"/>
  <c r="BG14" i="1"/>
  <c r="BI14" i="1"/>
  <c r="BH14" i="1"/>
  <c r="BZ14" i="1"/>
  <c r="CB14" i="1" s="1"/>
  <c r="BP14" i="1"/>
  <c r="BO14" i="1"/>
  <c r="BM14" i="1"/>
  <c r="BL14" i="1"/>
  <c r="BF14" i="1"/>
  <c r="BD14" i="1"/>
  <c r="BC14" i="1"/>
  <c r="BB14" i="1"/>
  <c r="BZ22" i="1"/>
  <c r="CB22" i="1" s="1"/>
  <c r="BB22" i="1"/>
  <c r="BK22" i="1"/>
  <c r="BH22" i="1"/>
  <c r="BG22" i="1"/>
  <c r="BD22" i="1"/>
  <c r="BF22" i="1"/>
  <c r="BE22" i="1"/>
  <c r="BN22" i="1"/>
  <c r="BM22" i="1"/>
  <c r="BL22" i="1"/>
  <c r="BJ22" i="1"/>
  <c r="BI22" i="1"/>
  <c r="BC22" i="1"/>
  <c r="BP22" i="1"/>
  <c r="BO22" i="1"/>
  <c r="BK55" i="1"/>
  <c r="BJ55" i="1"/>
  <c r="BG55" i="1"/>
  <c r="BO55" i="1"/>
  <c r="BN55" i="1"/>
  <c r="BM55" i="1"/>
  <c r="BL55" i="1"/>
  <c r="BZ55" i="1"/>
  <c r="CB55" i="1" s="1"/>
  <c r="BI55" i="1"/>
  <c r="BH55" i="1"/>
  <c r="BD55" i="1"/>
  <c r="BB55" i="1"/>
  <c r="BF55" i="1"/>
  <c r="BE55" i="1"/>
  <c r="BC55" i="1"/>
  <c r="BE99" i="1"/>
  <c r="BD99" i="1"/>
  <c r="BC99" i="1"/>
  <c r="BI99" i="1"/>
  <c r="BH99" i="1"/>
  <c r="BG99" i="1"/>
  <c r="BF99" i="1"/>
  <c r="BZ99" i="1"/>
  <c r="CB99" i="1" s="1"/>
  <c r="BN99" i="1"/>
  <c r="BM99" i="1"/>
  <c r="BL99" i="1"/>
  <c r="BK99" i="1"/>
  <c r="BJ99" i="1"/>
  <c r="BB99" i="1"/>
  <c r="BE33" i="1"/>
  <c r="BD33" i="1"/>
  <c r="BC33" i="1"/>
  <c r="BL33" i="1"/>
  <c r="BJ33" i="1"/>
  <c r="BI33" i="1"/>
  <c r="BH33" i="1"/>
  <c r="BG33" i="1"/>
  <c r="BF33" i="1"/>
  <c r="BP33" i="1"/>
  <c r="BO33" i="1"/>
  <c r="BN33" i="1"/>
  <c r="BM33" i="1"/>
  <c r="BK33" i="1"/>
  <c r="BB33" i="1"/>
  <c r="BZ33" i="1"/>
  <c r="CB33" i="1" s="1"/>
  <c r="BL68" i="1"/>
  <c r="BK68" i="1"/>
  <c r="BJ68" i="1"/>
  <c r="BH68" i="1"/>
  <c r="BO68" i="1"/>
  <c r="BN68" i="1"/>
  <c r="BM68" i="1"/>
  <c r="BZ68" i="1"/>
  <c r="CB68" i="1" s="1"/>
  <c r="BI68" i="1"/>
  <c r="BG68" i="1"/>
  <c r="BF68" i="1"/>
  <c r="BE68" i="1"/>
  <c r="BC68" i="1"/>
  <c r="BB68" i="1"/>
  <c r="BD68" i="1"/>
  <c r="DY16" i="1"/>
  <c r="BD54" i="1"/>
  <c r="BC54" i="1"/>
  <c r="BH54" i="1"/>
  <c r="BG54" i="1"/>
  <c r="BF54" i="1"/>
  <c r="BE54" i="1"/>
  <c r="BM54" i="1"/>
  <c r="BK54" i="1"/>
  <c r="BI54" i="1"/>
  <c r="BB54" i="1"/>
  <c r="BZ54" i="1"/>
  <c r="CB54" i="1" s="1"/>
  <c r="BL54" i="1"/>
  <c r="BJ54" i="1"/>
  <c r="BD64" i="1"/>
  <c r="BC64" i="1"/>
  <c r="BB64" i="1"/>
  <c r="BZ64" i="1"/>
  <c r="CB64" i="1" s="1"/>
  <c r="BH64" i="1"/>
  <c r="BG64" i="1"/>
  <c r="BF64" i="1"/>
  <c r="BE64" i="1"/>
  <c r="BI64" i="1"/>
  <c r="BN64" i="1"/>
  <c r="BM64" i="1"/>
  <c r="BL64" i="1"/>
  <c r="BK64" i="1"/>
  <c r="BJ64" i="1"/>
  <c r="DZ16" i="1"/>
  <c r="BZ57" i="1"/>
  <c r="CB57" i="1" s="1"/>
  <c r="BM57" i="1"/>
  <c r="BE57" i="1"/>
  <c r="BD57" i="1"/>
  <c r="BC57" i="1"/>
  <c r="BB57" i="1"/>
  <c r="BK57" i="1"/>
  <c r="BI57" i="1"/>
  <c r="BG57" i="1"/>
  <c r="BF57" i="1"/>
  <c r="BN57" i="1"/>
  <c r="BL57" i="1"/>
  <c r="BJ57" i="1"/>
  <c r="BH57" i="1"/>
  <c r="CK31" i="30"/>
  <c r="EJ23" i="30"/>
  <c r="BM61" i="1"/>
  <c r="BL61" i="1"/>
  <c r="BK61" i="1"/>
  <c r="BI61" i="1"/>
  <c r="BZ61" i="1"/>
  <c r="CB61" i="1" s="1"/>
  <c r="CK17" i="1" s="1"/>
  <c r="BO61" i="1"/>
  <c r="BN61" i="1"/>
  <c r="BF61" i="1"/>
  <c r="BE61" i="1"/>
  <c r="BD61" i="1"/>
  <c r="BC61" i="1"/>
  <c r="BB61" i="1"/>
  <c r="BJ61" i="1"/>
  <c r="BH61" i="1"/>
  <c r="BG61" i="1"/>
  <c r="BJ86" i="1"/>
  <c r="BI86" i="1"/>
  <c r="BH86" i="1"/>
  <c r="BF86" i="1"/>
  <c r="BN86" i="1"/>
  <c r="BM86" i="1"/>
  <c r="BL86" i="1"/>
  <c r="BK86" i="1"/>
  <c r="BG86" i="1"/>
  <c r="BE86" i="1"/>
  <c r="BD86" i="1"/>
  <c r="BC86" i="1"/>
  <c r="BB86" i="1"/>
  <c r="BZ86" i="1"/>
  <c r="CB86" i="1" s="1"/>
  <c r="EJ25" i="30"/>
  <c r="BB17" i="1"/>
  <c r="BK17" i="1"/>
  <c r="BH17" i="1"/>
  <c r="BG17" i="1"/>
  <c r="BF17" i="1"/>
  <c r="BD17" i="1"/>
  <c r="BE17" i="1"/>
  <c r="BC17" i="1"/>
  <c r="BQ17" i="1"/>
  <c r="BP17" i="1"/>
  <c r="BO17" i="1"/>
  <c r="BN17" i="1"/>
  <c r="BZ17" i="1"/>
  <c r="CB17" i="1" s="1"/>
  <c r="BM17" i="1"/>
  <c r="BL17" i="1"/>
  <c r="BJ17" i="1"/>
  <c r="BI17" i="1"/>
  <c r="BZ103" i="1"/>
  <c r="CB103" i="1" s="1"/>
  <c r="BM103" i="1"/>
  <c r="BE103" i="1"/>
  <c r="BD103" i="1"/>
  <c r="BC103" i="1"/>
  <c r="BB103" i="1"/>
  <c r="BI103" i="1"/>
  <c r="BH103" i="1"/>
  <c r="BG103" i="1"/>
  <c r="BF103" i="1"/>
  <c r="BN103" i="1"/>
  <c r="BL103" i="1"/>
  <c r="BK103" i="1"/>
  <c r="BJ103" i="1"/>
  <c r="BL10" i="1"/>
  <c r="BE10" i="1"/>
  <c r="BQ10" i="1"/>
  <c r="BN10" i="1"/>
  <c r="BP10" i="1"/>
  <c r="BO10" i="1"/>
  <c r="BZ10" i="1"/>
  <c r="CB10" i="1" s="1"/>
  <c r="BI10" i="1"/>
  <c r="BH10" i="1"/>
  <c r="BG10" i="1"/>
  <c r="BF10" i="1"/>
  <c r="BD10" i="1"/>
  <c r="BM10" i="1"/>
  <c r="BJ10" i="1"/>
  <c r="BC10" i="1"/>
  <c r="BB10" i="1"/>
  <c r="BK10" i="1"/>
  <c r="BE91" i="1"/>
  <c r="BD91" i="1"/>
  <c r="BC91" i="1"/>
  <c r="BI91" i="1"/>
  <c r="BH91" i="1"/>
  <c r="BG91" i="1"/>
  <c r="BF91" i="1"/>
  <c r="BK91" i="1"/>
  <c r="BJ91" i="1"/>
  <c r="BB91" i="1"/>
  <c r="BZ91" i="1"/>
  <c r="CB91" i="1" s="1"/>
  <c r="BN91" i="1"/>
  <c r="BM91" i="1"/>
  <c r="BL91" i="1"/>
  <c r="EA16" i="1"/>
  <c r="BH100" i="1"/>
  <c r="BG100" i="1"/>
  <c r="BF100" i="1"/>
  <c r="BD100" i="1"/>
  <c r="BL100" i="1"/>
  <c r="BK100" i="1"/>
  <c r="BJ100" i="1"/>
  <c r="BI100" i="1"/>
  <c r="BN100" i="1"/>
  <c r="BM100" i="1"/>
  <c r="BE100" i="1"/>
  <c r="BC100" i="1"/>
  <c r="BB100" i="1"/>
  <c r="BZ100" i="1"/>
  <c r="CB100" i="1" s="1"/>
  <c r="BF80" i="1"/>
  <c r="BE80" i="1"/>
  <c r="BD80" i="1"/>
  <c r="BZ80" i="1"/>
  <c r="CB80" i="1" s="1"/>
  <c r="BB80" i="1"/>
  <c r="BJ80" i="1"/>
  <c r="BI80" i="1"/>
  <c r="BH80" i="1"/>
  <c r="BG80" i="1"/>
  <c r="BM80" i="1"/>
  <c r="BL80" i="1"/>
  <c r="BK80" i="1"/>
  <c r="BC80" i="1"/>
  <c r="BP80" i="1"/>
  <c r="BO80" i="1"/>
  <c r="BN80" i="1"/>
  <c r="BE21" i="1"/>
  <c r="BN21" i="1"/>
  <c r="BK21" i="1"/>
  <c r="BJ21" i="1"/>
  <c r="BG21" i="1"/>
  <c r="BI21" i="1"/>
  <c r="BH21" i="1"/>
  <c r="BC21" i="1"/>
  <c r="BB21" i="1"/>
  <c r="BZ21" i="1"/>
  <c r="CB21" i="1" s="1"/>
  <c r="BQ21" i="1"/>
  <c r="BP21" i="1"/>
  <c r="BO21" i="1"/>
  <c r="BM21" i="1"/>
  <c r="BL21" i="1"/>
  <c r="BF21" i="1"/>
  <c r="BD21" i="1"/>
  <c r="BK105" i="1"/>
  <c r="BJ105" i="1"/>
  <c r="BI105" i="1"/>
  <c r="BG105" i="1"/>
  <c r="BN105" i="1"/>
  <c r="BM105" i="1"/>
  <c r="BL105" i="1"/>
  <c r="BZ105" i="1"/>
  <c r="CB105" i="1" s="1"/>
  <c r="BH105" i="1"/>
  <c r="BF105" i="1"/>
  <c r="BE105" i="1"/>
  <c r="BD105" i="1"/>
  <c r="BC105" i="1"/>
  <c r="BB105" i="1"/>
  <c r="CK7" i="30"/>
  <c r="BF34" i="1"/>
  <c r="BE34" i="1"/>
  <c r="BD34" i="1"/>
  <c r="BM34" i="1"/>
  <c r="BK34" i="1"/>
  <c r="BJ34" i="1"/>
  <c r="BI34" i="1"/>
  <c r="BH34" i="1"/>
  <c r="BG34" i="1"/>
  <c r="BB34" i="1"/>
  <c r="BZ34" i="1"/>
  <c r="CB34" i="1" s="1"/>
  <c r="BP34" i="1"/>
  <c r="BO34" i="1"/>
  <c r="BN34" i="1"/>
  <c r="BL34" i="1"/>
  <c r="BC34" i="1"/>
  <c r="BG81" i="1"/>
  <c r="BF81" i="1"/>
  <c r="BE81" i="1"/>
  <c r="BC81" i="1"/>
  <c r="BK81" i="1"/>
  <c r="BJ81" i="1"/>
  <c r="BI81" i="1"/>
  <c r="BH81" i="1"/>
  <c r="BZ81" i="1"/>
  <c r="CB81" i="1" s="1"/>
  <c r="BO81" i="1"/>
  <c r="BN81" i="1"/>
  <c r="BM81" i="1"/>
  <c r="BL81" i="1"/>
  <c r="BD81" i="1"/>
  <c r="BB81" i="1"/>
  <c r="CK12" i="30"/>
  <c r="BI39" i="1"/>
  <c r="BE39" i="1"/>
  <c r="BL39" i="1"/>
  <c r="BK39" i="1"/>
  <c r="BJ39" i="1"/>
  <c r="BN39" i="1"/>
  <c r="BM39" i="1"/>
  <c r="BH39" i="1"/>
  <c r="BZ39" i="1"/>
  <c r="CB39" i="1" s="1"/>
  <c r="BP39" i="1"/>
  <c r="BO39" i="1"/>
  <c r="BG39" i="1"/>
  <c r="BF39" i="1"/>
  <c r="BD39" i="1"/>
  <c r="BC39" i="1"/>
  <c r="BB39" i="1"/>
  <c r="BN56" i="1"/>
  <c r="BM56" i="1"/>
  <c r="BJ56" i="1"/>
  <c r="BB56" i="1"/>
  <c r="BZ56" i="1"/>
  <c r="CB56" i="1" s="1"/>
  <c r="BO56" i="1"/>
  <c r="BF56" i="1"/>
  <c r="BE56" i="1"/>
  <c r="BD56" i="1"/>
  <c r="BC56" i="1"/>
  <c r="BL56" i="1"/>
  <c r="BK56" i="1"/>
  <c r="BI56" i="1"/>
  <c r="BH56" i="1"/>
  <c r="BG56" i="1"/>
  <c r="BD94" i="1"/>
  <c r="BC94" i="1"/>
  <c r="BB94" i="1"/>
  <c r="BH94" i="1"/>
  <c r="BG94" i="1"/>
  <c r="BF94" i="1"/>
  <c r="BE94" i="1"/>
  <c r="BO94" i="1"/>
  <c r="BN94" i="1"/>
  <c r="BM94" i="1"/>
  <c r="BL94" i="1"/>
  <c r="BK94" i="1"/>
  <c r="BJ94" i="1"/>
  <c r="BI94" i="1"/>
  <c r="BZ94" i="1"/>
  <c r="CB94" i="1" s="1"/>
  <c r="BJ19" i="1"/>
  <c r="BZ19" i="1"/>
  <c r="CB19" i="1" s="1"/>
  <c r="BC19" i="1"/>
  <c r="BP19" i="1"/>
  <c r="BO19" i="1"/>
  <c r="BL19" i="1"/>
  <c r="BN19" i="1"/>
  <c r="BM19" i="1"/>
  <c r="BK19" i="1"/>
  <c r="BD19" i="1"/>
  <c r="BI19" i="1"/>
  <c r="BH19" i="1"/>
  <c r="BG19" i="1"/>
  <c r="BE19" i="1"/>
  <c r="BB19" i="1"/>
  <c r="BQ19" i="1"/>
  <c r="BF19" i="1"/>
  <c r="BF50" i="1"/>
  <c r="BE50" i="1"/>
  <c r="BB50" i="1"/>
  <c r="BJ50" i="1"/>
  <c r="BI50" i="1"/>
  <c r="BH50" i="1"/>
  <c r="BG50" i="1"/>
  <c r="BL50" i="1"/>
  <c r="BK50" i="1"/>
  <c r="BD50" i="1"/>
  <c r="BC50" i="1"/>
  <c r="BZ50" i="1"/>
  <c r="CB50" i="1" s="1"/>
  <c r="BO50" i="1"/>
  <c r="BN50" i="1"/>
  <c r="BM50" i="1"/>
  <c r="BN102" i="1"/>
  <c r="BM102" i="1"/>
  <c r="BL102" i="1"/>
  <c r="BJ102" i="1"/>
  <c r="BB102" i="1"/>
  <c r="BZ102" i="1"/>
  <c r="CB102" i="1" s="1"/>
  <c r="BK102" i="1"/>
  <c r="BI102" i="1"/>
  <c r="BH102" i="1"/>
  <c r="BG102" i="1"/>
  <c r="BF102" i="1"/>
  <c r="BE102" i="1"/>
  <c r="BD102" i="1"/>
  <c r="BC102" i="1"/>
  <c r="BK37" i="1"/>
  <c r="BG37" i="1"/>
  <c r="BM37" i="1"/>
  <c r="BL37" i="1"/>
  <c r="BB37" i="1"/>
  <c r="BJ37" i="1"/>
  <c r="BH37" i="1"/>
  <c r="BF37" i="1"/>
  <c r="BE37" i="1"/>
  <c r="BD37" i="1"/>
  <c r="BC37" i="1"/>
  <c r="BZ37" i="1"/>
  <c r="CB37" i="1" s="1"/>
  <c r="BQ37" i="1"/>
  <c r="BP37" i="1"/>
  <c r="BO37" i="1"/>
  <c r="BN37" i="1"/>
  <c r="BI37" i="1"/>
  <c r="BC79" i="1"/>
  <c r="BB79" i="1"/>
  <c r="BZ79" i="1"/>
  <c r="CB79" i="1" s="1"/>
  <c r="BO79" i="1"/>
  <c r="BG79" i="1"/>
  <c r="BF79" i="1"/>
  <c r="BE79" i="1"/>
  <c r="BD79" i="1"/>
  <c r="BN79" i="1"/>
  <c r="BM79" i="1"/>
  <c r="BL79" i="1"/>
  <c r="BK79" i="1"/>
  <c r="BJ79" i="1"/>
  <c r="BI79" i="1"/>
  <c r="BH79" i="1"/>
  <c r="BC47" i="1"/>
  <c r="BB47" i="1"/>
  <c r="BO47" i="1"/>
  <c r="BG47" i="1"/>
  <c r="BF47" i="1"/>
  <c r="BE47" i="1"/>
  <c r="BD47" i="1"/>
  <c r="BL47" i="1"/>
  <c r="BJ47" i="1"/>
  <c r="BI47" i="1"/>
  <c r="BH47" i="1"/>
  <c r="BN47" i="1"/>
  <c r="BM47" i="1"/>
  <c r="BK47" i="1"/>
  <c r="BZ47" i="1"/>
  <c r="CB47" i="1" s="1"/>
  <c r="BH45" i="30"/>
  <c r="BL26" i="1"/>
  <c r="BE26" i="1"/>
  <c r="BZ26" i="1"/>
  <c r="CB26" i="1" s="1"/>
  <c r="BB26" i="1"/>
  <c r="BN26" i="1"/>
  <c r="BP26" i="1"/>
  <c r="BO26" i="1"/>
  <c r="BK26" i="1"/>
  <c r="BJ26" i="1"/>
  <c r="BI26" i="1"/>
  <c r="BH26" i="1"/>
  <c r="BG26" i="1"/>
  <c r="BF26" i="1"/>
  <c r="BD26" i="1"/>
  <c r="BC26" i="1"/>
  <c r="BM26" i="1"/>
  <c r="BI35" i="30"/>
  <c r="BI4" i="30"/>
  <c r="BI50" i="30"/>
  <c r="BI34" i="30"/>
  <c r="BI32" i="30" s="1"/>
  <c r="BI3" i="30"/>
  <c r="BM71" i="1"/>
  <c r="BL71" i="1"/>
  <c r="BK71" i="1"/>
  <c r="BI71" i="1"/>
  <c r="BZ71" i="1"/>
  <c r="CB71" i="1" s="1"/>
  <c r="BO71" i="1"/>
  <c r="BN71" i="1"/>
  <c r="BJ71" i="1"/>
  <c r="BH71" i="1"/>
  <c r="BG71" i="1"/>
  <c r="BF71" i="1"/>
  <c r="BE71" i="1"/>
  <c r="BD71" i="1"/>
  <c r="BC71" i="1"/>
  <c r="BB71" i="1"/>
  <c r="BZ11" i="1"/>
  <c r="CB11" i="1" s="1"/>
  <c r="BC11" i="1"/>
  <c r="BL11" i="1"/>
  <c r="BI11" i="1"/>
  <c r="BH11" i="1"/>
  <c r="BG11" i="1"/>
  <c r="BF11" i="1"/>
  <c r="BO11" i="1"/>
  <c r="BQ11" i="1"/>
  <c r="BM11" i="1"/>
  <c r="BK11" i="1"/>
  <c r="BJ11" i="1"/>
  <c r="BE11" i="1"/>
  <c r="BD11" i="1"/>
  <c r="BB11" i="1"/>
  <c r="BP11" i="1"/>
  <c r="BN11" i="1"/>
  <c r="BL60" i="1"/>
  <c r="BK60" i="1"/>
  <c r="BJ60" i="1"/>
  <c r="BH60" i="1"/>
  <c r="BO60" i="1"/>
  <c r="BN60" i="1"/>
  <c r="BM60" i="1"/>
  <c r="BZ60" i="1"/>
  <c r="CB60" i="1" s="1"/>
  <c r="BG60" i="1"/>
  <c r="BE60" i="1"/>
  <c r="BD60" i="1"/>
  <c r="BC60" i="1"/>
  <c r="BB60" i="1"/>
  <c r="BI60" i="1"/>
  <c r="BF60" i="1"/>
  <c r="BJ96" i="1"/>
  <c r="BI96" i="1"/>
  <c r="BH96" i="1"/>
  <c r="BF96" i="1"/>
  <c r="BN96" i="1"/>
  <c r="BM96" i="1"/>
  <c r="BL96" i="1"/>
  <c r="BK96" i="1"/>
  <c r="BZ96" i="1"/>
  <c r="CB96" i="1" s="1"/>
  <c r="BG96" i="1"/>
  <c r="BE96" i="1"/>
  <c r="BD96" i="1"/>
  <c r="BC96" i="1"/>
  <c r="BB96" i="1"/>
  <c r="EJ15" i="30"/>
  <c r="BK83" i="1"/>
  <c r="BJ83" i="1"/>
  <c r="BI83" i="1"/>
  <c r="BG83" i="1"/>
  <c r="BZ83" i="1"/>
  <c r="CB83" i="1" s="1"/>
  <c r="BM83" i="1"/>
  <c r="BL83" i="1"/>
  <c r="BC83" i="1"/>
  <c r="BB83" i="1"/>
  <c r="BH83" i="1"/>
  <c r="BF83" i="1"/>
  <c r="BE83" i="1"/>
  <c r="BD83" i="1"/>
  <c r="CK28" i="30"/>
  <c r="EJ9" i="30"/>
  <c r="AU4" i="30"/>
  <c r="CU8" i="30"/>
  <c r="BE85" i="1"/>
  <c r="BD85" i="1"/>
  <c r="BC85" i="1"/>
  <c r="BI85" i="1"/>
  <c r="BH85" i="1"/>
  <c r="BG85" i="1"/>
  <c r="BF85" i="1"/>
  <c r="BZ85" i="1"/>
  <c r="CB85" i="1" s="1"/>
  <c r="BN85" i="1"/>
  <c r="BM85" i="1"/>
  <c r="BL85" i="1"/>
  <c r="BK85" i="1"/>
  <c r="BJ85" i="1"/>
  <c r="BB85" i="1"/>
  <c r="ED16" i="1"/>
  <c r="L16" i="48"/>
  <c r="N16" i="48" s="1"/>
  <c r="BD32" i="1"/>
  <c r="BZ32" i="1"/>
  <c r="CB32" i="1" s="1"/>
  <c r="BB32" i="1"/>
  <c r="BK32" i="1"/>
  <c r="BH32" i="1"/>
  <c r="BG32" i="1"/>
  <c r="BF32" i="1"/>
  <c r="BE32" i="1"/>
  <c r="BP32" i="1"/>
  <c r="BO32" i="1"/>
  <c r="BN32" i="1"/>
  <c r="BM32" i="1"/>
  <c r="BL32" i="1"/>
  <c r="BJ32" i="1"/>
  <c r="BI32" i="1"/>
  <c r="BC32" i="1"/>
  <c r="BI59" i="1"/>
  <c r="BH59" i="1"/>
  <c r="BG59" i="1"/>
  <c r="BE59" i="1"/>
  <c r="BM59" i="1"/>
  <c r="BL59" i="1"/>
  <c r="BK59" i="1"/>
  <c r="BJ59" i="1"/>
  <c r="BC59" i="1"/>
  <c r="BB59" i="1"/>
  <c r="BZ59" i="1"/>
  <c r="CB59" i="1" s="1"/>
  <c r="BO59" i="1"/>
  <c r="BN59" i="1"/>
  <c r="BF59" i="1"/>
  <c r="BD59" i="1"/>
  <c r="EJ21" i="30"/>
  <c r="BC20" i="1"/>
  <c r="BL20" i="1"/>
  <c r="BI20" i="1"/>
  <c r="BH20" i="1"/>
  <c r="BG20" i="1"/>
  <c r="BE20" i="1"/>
  <c r="BF20" i="1"/>
  <c r="BZ20" i="1"/>
  <c r="CB20" i="1" s="1"/>
  <c r="BK20" i="1"/>
  <c r="BJ20" i="1"/>
  <c r="BD20" i="1"/>
  <c r="BB20" i="1"/>
  <c r="BM20" i="1"/>
  <c r="BI77" i="1"/>
  <c r="BH77" i="1"/>
  <c r="BG77" i="1"/>
  <c r="BE77" i="1"/>
  <c r="BM77" i="1"/>
  <c r="BL77" i="1"/>
  <c r="BK77" i="1"/>
  <c r="BJ77" i="1"/>
  <c r="BB77" i="1"/>
  <c r="BZ77" i="1"/>
  <c r="CB77" i="1" s="1"/>
  <c r="BN77" i="1"/>
  <c r="BF77" i="1"/>
  <c r="BD77" i="1"/>
  <c r="BC77" i="1"/>
  <c r="BH56" i="30"/>
  <c r="BP45" i="1"/>
  <c r="BM45" i="1"/>
  <c r="BD45" i="1"/>
  <c r="BC45" i="1"/>
  <c r="BZ45" i="1"/>
  <c r="CB45" i="1" s="1"/>
  <c r="BB45" i="1"/>
  <c r="BK45" i="1"/>
  <c r="BI45" i="1"/>
  <c r="BH45" i="1"/>
  <c r="BG45" i="1"/>
  <c r="BF45" i="1"/>
  <c r="BE45" i="1"/>
  <c r="BO45" i="1"/>
  <c r="BN45" i="1"/>
  <c r="BL45" i="1"/>
  <c r="BJ45" i="1"/>
  <c r="EJ14" i="30"/>
  <c r="EJ31" i="30"/>
  <c r="CK21" i="30"/>
  <c r="DV16" i="1"/>
  <c r="BH5" i="30"/>
  <c r="BH3" i="30"/>
  <c r="BH4" i="30"/>
  <c r="BH34" i="30"/>
  <c r="BH41" i="30"/>
  <c r="BH35" i="30"/>
  <c r="EJ30" i="30"/>
  <c r="CK27" i="30"/>
  <c r="BJ38" i="1"/>
  <c r="BF38" i="1"/>
  <c r="BM38" i="1"/>
  <c r="BL38" i="1"/>
  <c r="BK38" i="1"/>
  <c r="BE38" i="1"/>
  <c r="BD38" i="1"/>
  <c r="BC38" i="1"/>
  <c r="BQ38" i="1"/>
  <c r="BO38" i="1"/>
  <c r="BN38" i="1"/>
  <c r="BI38" i="1"/>
  <c r="BH38" i="1"/>
  <c r="BG38" i="1"/>
  <c r="BP38" i="1"/>
  <c r="BB38" i="1"/>
  <c r="BZ38" i="1"/>
  <c r="CB38" i="1" s="1"/>
  <c r="BE41" i="1"/>
  <c r="BH41" i="1"/>
  <c r="BG41" i="1"/>
  <c r="BF41" i="1"/>
  <c r="BZ41" i="1"/>
  <c r="CB41" i="1" s="1"/>
  <c r="BJ41" i="1"/>
  <c r="BD41" i="1"/>
  <c r="BC41" i="1"/>
  <c r="BB41" i="1"/>
  <c r="BI41" i="1"/>
  <c r="BP41" i="1"/>
  <c r="BO41" i="1"/>
  <c r="BN41" i="1"/>
  <c r="BM41" i="1"/>
  <c r="BL41" i="1"/>
  <c r="BK41" i="1"/>
  <c r="CK10" i="30"/>
  <c r="BG65" i="1"/>
  <c r="BF65" i="1"/>
  <c r="BE65" i="1"/>
  <c r="BC65" i="1"/>
  <c r="BK65" i="1"/>
  <c r="BJ65" i="1"/>
  <c r="BI65" i="1"/>
  <c r="BH65" i="1"/>
  <c r="BZ65" i="1"/>
  <c r="CB65" i="1" s="1"/>
  <c r="BN65" i="1"/>
  <c r="BL65" i="1"/>
  <c r="BD65" i="1"/>
  <c r="BB65" i="1"/>
  <c r="BO65" i="1"/>
  <c r="BM65" i="1"/>
  <c r="BN106" i="1"/>
  <c r="BM106" i="1"/>
  <c r="BL106" i="1"/>
  <c r="BJ106" i="1"/>
  <c r="BB106" i="1"/>
  <c r="BZ106" i="1"/>
  <c r="CB106" i="1" s="1"/>
  <c r="BH106" i="1"/>
  <c r="BG106" i="1"/>
  <c r="BF106" i="1"/>
  <c r="BE106" i="1"/>
  <c r="BD106" i="1"/>
  <c r="BC106" i="1"/>
  <c r="BK106" i="1"/>
  <c r="BI106" i="1"/>
  <c r="CK29" i="30"/>
  <c r="EJ13" i="30"/>
  <c r="BN78" i="1"/>
  <c r="BM78" i="1"/>
  <c r="BL78" i="1"/>
  <c r="BJ78" i="1"/>
  <c r="BB78" i="1"/>
  <c r="BZ78" i="1"/>
  <c r="CB78" i="1" s="1"/>
  <c r="BK78" i="1"/>
  <c r="BI78" i="1"/>
  <c r="BH78" i="1"/>
  <c r="BG78" i="1"/>
  <c r="BF78" i="1"/>
  <c r="BE78" i="1"/>
  <c r="BD78" i="1"/>
  <c r="BC78" i="1"/>
  <c r="BH66" i="1"/>
  <c r="BG66" i="1"/>
  <c r="BF66" i="1"/>
  <c r="BD66" i="1"/>
  <c r="BL66" i="1"/>
  <c r="BK66" i="1"/>
  <c r="BJ66" i="1"/>
  <c r="BI66" i="1"/>
  <c r="BN66" i="1"/>
  <c r="BM66" i="1"/>
  <c r="BE66" i="1"/>
  <c r="BC66" i="1"/>
  <c r="BB66" i="1"/>
  <c r="BZ66" i="1"/>
  <c r="CB66" i="1" s="1"/>
  <c r="BO66" i="1"/>
  <c r="BD30" i="1"/>
  <c r="BM30" i="1"/>
  <c r="BJ30" i="1"/>
  <c r="BI30" i="1"/>
  <c r="BF30" i="1"/>
  <c r="BH30" i="1"/>
  <c r="BG30" i="1"/>
  <c r="BE30" i="1"/>
  <c r="BC30" i="1"/>
  <c r="BB30" i="1"/>
  <c r="BZ30" i="1"/>
  <c r="CB30" i="1" s="1"/>
  <c r="BQ30" i="1"/>
  <c r="BP30" i="1"/>
  <c r="BO30" i="1"/>
  <c r="BN30" i="1"/>
  <c r="BL30" i="1"/>
  <c r="BK30" i="1"/>
  <c r="BZ89" i="1"/>
  <c r="CB89" i="1" s="1"/>
  <c r="BM89" i="1"/>
  <c r="BE89" i="1"/>
  <c r="BD89" i="1"/>
  <c r="BC89" i="1"/>
  <c r="BB89" i="1"/>
  <c r="BG89" i="1"/>
  <c r="BF89" i="1"/>
  <c r="BN89" i="1"/>
  <c r="BL89" i="1"/>
  <c r="BK89" i="1"/>
  <c r="BJ89" i="1"/>
  <c r="BI89" i="1"/>
  <c r="BH89" i="1"/>
  <c r="CK16" i="30"/>
  <c r="EJ22" i="30"/>
  <c r="BJ82" i="1"/>
  <c r="BI82" i="1"/>
  <c r="BH82" i="1"/>
  <c r="BF82" i="1"/>
  <c r="BN82" i="1"/>
  <c r="BM82" i="1"/>
  <c r="BL82" i="1"/>
  <c r="BK82" i="1"/>
  <c r="BZ82" i="1"/>
  <c r="CB82" i="1" s="1"/>
  <c r="DM17" i="1" s="1"/>
  <c r="BO82" i="1"/>
  <c r="BG82" i="1"/>
  <c r="BE82" i="1"/>
  <c r="BD82" i="1"/>
  <c r="BC82" i="1"/>
  <c r="BB82" i="1"/>
  <c r="EJ27" i="30"/>
  <c r="CK8" i="30"/>
  <c r="BD44" i="1"/>
  <c r="BZ44" i="1"/>
  <c r="CB44" i="1" s="1"/>
  <c r="BC44" i="1"/>
  <c r="BP44" i="1"/>
  <c r="BG44" i="1"/>
  <c r="BF44" i="1"/>
  <c r="BE44" i="1"/>
  <c r="BQ44" i="1"/>
  <c r="BI44" i="1"/>
  <c r="BB44" i="1"/>
  <c r="BK44" i="1"/>
  <c r="BJ44" i="1"/>
  <c r="BH44" i="1"/>
  <c r="BO44" i="1"/>
  <c r="BN44" i="1"/>
  <c r="BM44" i="1"/>
  <c r="BL44" i="1"/>
  <c r="BH44" i="30"/>
  <c r="FQ3" i="1"/>
  <c r="R13" i="31" s="1"/>
  <c r="BF42" i="30" l="1"/>
  <c r="BB58" i="30"/>
  <c r="BG56" i="30"/>
  <c r="BD46" i="30"/>
  <c r="BC55" i="30"/>
  <c r="BC64" i="30"/>
  <c r="BD63" i="30"/>
  <c r="BC41" i="30"/>
  <c r="BG44" i="30"/>
  <c r="BG58" i="30"/>
  <c r="BD48" i="30"/>
  <c r="BC47" i="30"/>
  <c r="BD54" i="30"/>
  <c r="BG47" i="30"/>
  <c r="BC48" i="30"/>
  <c r="BE46" i="30"/>
  <c r="BF43" i="30"/>
  <c r="BG45" i="30"/>
  <c r="BG62" i="30"/>
  <c r="BG43" i="30"/>
  <c r="BG50" i="30"/>
  <c r="BF51" i="30"/>
  <c r="BE54" i="30"/>
  <c r="BF56" i="30"/>
  <c r="BG63" i="30"/>
  <c r="BE57" i="30"/>
  <c r="BE56" i="30"/>
  <c r="BC60" i="30"/>
  <c r="BF44" i="30"/>
  <c r="BG59" i="30"/>
  <c r="BC51" i="30"/>
  <c r="BC63" i="30"/>
  <c r="BG41" i="30"/>
  <c r="BF53" i="30"/>
  <c r="BG57" i="30"/>
  <c r="BC58" i="30"/>
  <c r="BC56" i="30"/>
  <c r="BF64" i="30"/>
  <c r="BE44" i="30"/>
  <c r="BD42" i="30"/>
  <c r="BC46" i="30"/>
  <c r="BB45" i="30"/>
  <c r="BF58" i="30"/>
  <c r="BB55" i="30"/>
  <c r="BB60" i="30"/>
  <c r="BB42" i="30"/>
  <c r="BB54" i="30"/>
  <c r="BB48" i="30"/>
  <c r="BC57" i="30"/>
  <c r="BB64" i="30"/>
  <c r="BF60" i="30"/>
  <c r="BB53" i="30"/>
  <c r="BB41" i="30"/>
  <c r="BB56" i="30"/>
  <c r="BF49" i="30"/>
  <c r="BF57" i="30"/>
  <c r="BB61" i="30"/>
  <c r="BB50" i="30"/>
  <c r="BB57" i="30"/>
  <c r="BF47" i="30"/>
  <c r="BF50" i="30"/>
  <c r="BB62" i="30"/>
  <c r="BF61" i="30"/>
  <c r="BP138" i="1"/>
  <c r="BB47" i="30"/>
  <c r="BD58" i="30"/>
  <c r="BB63" i="30"/>
  <c r="BF45" i="30"/>
  <c r="BB51" i="30"/>
  <c r="BF59" i="30"/>
  <c r="BF41" i="30"/>
  <c r="BB43" i="30"/>
  <c r="BG51" i="30"/>
  <c r="BG46" i="30"/>
  <c r="BC45" i="30"/>
  <c r="BG61" i="30"/>
  <c r="BH2" i="30"/>
  <c r="BH32" i="30" s="1"/>
  <c r="BE58" i="30"/>
  <c r="BD50" i="30"/>
  <c r="BD56" i="30"/>
  <c r="BF63" i="30"/>
  <c r="BE48" i="30"/>
  <c r="BC54" i="30"/>
  <c r="BC53" i="30"/>
  <c r="BG42" i="30"/>
  <c r="BE61" i="30"/>
  <c r="BC52" i="30"/>
  <c r="BC44" i="30"/>
  <c r="BD45" i="30"/>
  <c r="BD53" i="30"/>
  <c r="BD61" i="30"/>
  <c r="BC50" i="30"/>
  <c r="BE43" i="30"/>
  <c r="BI124" i="1"/>
  <c r="BQ138" i="1"/>
  <c r="BD51" i="30"/>
  <c r="BD52" i="30"/>
  <c r="BC59" i="30"/>
  <c r="BD57" i="30"/>
  <c r="BC42" i="30"/>
  <c r="BG52" i="30"/>
  <c r="BI193" i="1"/>
  <c r="BE63" i="30"/>
  <c r="BG53" i="30"/>
  <c r="BG60" i="30"/>
  <c r="BL138" i="1"/>
  <c r="BK168" i="1"/>
  <c r="BL124" i="1"/>
  <c r="BM124" i="1"/>
  <c r="BJ187" i="1"/>
  <c r="BJ124" i="1"/>
  <c r="BH124" i="1"/>
  <c r="BO146" i="1"/>
  <c r="BN186" i="1"/>
  <c r="BN153" i="1"/>
  <c r="DV32" i="1"/>
  <c r="BC140" i="1"/>
  <c r="DW94" i="1"/>
  <c r="BD202" i="1"/>
  <c r="DV44" i="1"/>
  <c r="BC152" i="1"/>
  <c r="BK149" i="1"/>
  <c r="DY82" i="1"/>
  <c r="BF190" i="1"/>
  <c r="DY89" i="1"/>
  <c r="BF197" i="1"/>
  <c r="DV30" i="1"/>
  <c r="BC138" i="1"/>
  <c r="BM174" i="1"/>
  <c r="DZ78" i="1"/>
  <c r="BG186" i="1"/>
  <c r="BK214" i="1"/>
  <c r="DW65" i="1"/>
  <c r="BD173" i="1"/>
  <c r="BI127" i="1"/>
  <c r="BL164" i="1"/>
  <c r="EA44" i="1"/>
  <c r="BH152" i="1"/>
  <c r="BI190" i="1"/>
  <c r="BB197" i="1"/>
  <c r="DU89" i="1"/>
  <c r="DZ30" i="1"/>
  <c r="BG138" i="1"/>
  <c r="BI174" i="1"/>
  <c r="BI186" i="1"/>
  <c r="DW106" i="1"/>
  <c r="BD214" i="1"/>
  <c r="BN173" i="1"/>
  <c r="BO149" i="1"/>
  <c r="EF38" i="1"/>
  <c r="L38" i="48"/>
  <c r="N38" i="48" s="1"/>
  <c r="BJ146" i="1"/>
  <c r="EF45" i="1"/>
  <c r="L45" i="48"/>
  <c r="N45" i="48" s="1"/>
  <c r="BM185" i="1"/>
  <c r="BI128" i="1"/>
  <c r="BK167" i="1"/>
  <c r="DY32" i="1"/>
  <c r="BF140" i="1"/>
  <c r="BL193" i="1"/>
  <c r="BL204" i="1"/>
  <c r="DZ60" i="1"/>
  <c r="BG168" i="1"/>
  <c r="BM119" i="1"/>
  <c r="EA71" i="1"/>
  <c r="BH179" i="1"/>
  <c r="DV26" i="1"/>
  <c r="BC134" i="1"/>
  <c r="BO155" i="1"/>
  <c r="BO187" i="1"/>
  <c r="BJ145" i="1"/>
  <c r="L102" i="48"/>
  <c r="N102" i="48" s="1"/>
  <c r="DZ50" i="1"/>
  <c r="BG158" i="1"/>
  <c r="BK127" i="1"/>
  <c r="BO202" i="1"/>
  <c r="DW56" i="1"/>
  <c r="BD164" i="1"/>
  <c r="DZ39" i="1"/>
  <c r="BG147" i="1"/>
  <c r="BD189" i="1"/>
  <c r="DW81" i="1"/>
  <c r="BL142" i="1"/>
  <c r="DY21" i="1"/>
  <c r="BF129" i="1"/>
  <c r="DY80" i="1"/>
  <c r="BF188" i="1"/>
  <c r="DZ100" i="1"/>
  <c r="BG208" i="1"/>
  <c r="DV91" i="1"/>
  <c r="BC199" i="1"/>
  <c r="BP118" i="1"/>
  <c r="DX103" i="1"/>
  <c r="BE211" i="1"/>
  <c r="DZ17" i="1"/>
  <c r="BG125" i="1"/>
  <c r="BN194" i="1"/>
  <c r="BI169" i="1"/>
  <c r="DZ57" i="1"/>
  <c r="BG165" i="1"/>
  <c r="BL172" i="1"/>
  <c r="EF54" i="1"/>
  <c r="L54" i="48"/>
  <c r="N54" i="48" s="1"/>
  <c r="DV68" i="1"/>
  <c r="BC176" i="1"/>
  <c r="BM141" i="1"/>
  <c r="BK207" i="1"/>
  <c r="DU55" i="1"/>
  <c r="BB163" i="1"/>
  <c r="BI130" i="1"/>
  <c r="DW14" i="1"/>
  <c r="BD122" i="1"/>
  <c r="DU35" i="1"/>
  <c r="BB143" i="1"/>
  <c r="EA15" i="1"/>
  <c r="BH123" i="1"/>
  <c r="BQ123" i="1"/>
  <c r="EA76" i="1"/>
  <c r="BH184" i="1"/>
  <c r="DY43" i="1"/>
  <c r="BF151" i="1"/>
  <c r="BJ206" i="1"/>
  <c r="BJ161" i="1"/>
  <c r="DY62" i="1"/>
  <c r="BF170" i="1"/>
  <c r="BJ159" i="1"/>
  <c r="DZ72" i="1"/>
  <c r="BG180" i="1"/>
  <c r="DZ104" i="1"/>
  <c r="BG212" i="1"/>
  <c r="DX69" i="1"/>
  <c r="BE177" i="1"/>
  <c r="BI160" i="1"/>
  <c r="DW87" i="1"/>
  <c r="BD195" i="1"/>
  <c r="BO183" i="1"/>
  <c r="BC3" i="30"/>
  <c r="BC4" i="30"/>
  <c r="BC35" i="30"/>
  <c r="BC5" i="30"/>
  <c r="BC40" i="30"/>
  <c r="BC34" i="30"/>
  <c r="EA12" i="1"/>
  <c r="BH120" i="1"/>
  <c r="BL182" i="1"/>
  <c r="DV49" i="1"/>
  <c r="BC157" i="1"/>
  <c r="BI205" i="1"/>
  <c r="DU70" i="1"/>
  <c r="BB178" i="1"/>
  <c r="DV18" i="1"/>
  <c r="BC126" i="1"/>
  <c r="DV46" i="1"/>
  <c r="BC154" i="1"/>
  <c r="BM132" i="1"/>
  <c r="BN133" i="1"/>
  <c r="BJ181" i="1"/>
  <c r="BI201" i="1"/>
  <c r="DX36" i="1"/>
  <c r="BE144" i="1"/>
  <c r="BO117" i="1"/>
  <c r="BM136" i="1"/>
  <c r="BO175" i="1"/>
  <c r="BK137" i="1"/>
  <c r="BN209" i="1"/>
  <c r="BO150" i="1"/>
  <c r="BE52" i="30"/>
  <c r="DU90" i="1"/>
  <c r="BB198" i="1"/>
  <c r="DY92" i="1"/>
  <c r="BF200" i="1"/>
  <c r="DV95" i="1"/>
  <c r="BC203" i="1"/>
  <c r="BP196" i="1"/>
  <c r="BP202" i="1"/>
  <c r="BP203" i="1"/>
  <c r="BP186" i="1"/>
  <c r="BP185" i="1"/>
  <c r="BP3" i="1"/>
  <c r="BP204" i="1"/>
  <c r="BP209" i="1"/>
  <c r="BP201" i="1"/>
  <c r="BP191" i="1"/>
  <c r="BP171" i="1"/>
  <c r="BP177" i="1"/>
  <c r="BP167" i="1"/>
  <c r="BP183" i="1"/>
  <c r="BP192" i="1"/>
  <c r="BP172" i="1"/>
  <c r="BP213" i="1"/>
  <c r="BP208" i="1"/>
  <c r="BP190" i="1"/>
  <c r="BP205" i="1"/>
  <c r="BP176" i="1"/>
  <c r="BP180" i="1"/>
  <c r="BP110" i="1"/>
  <c r="BP198" i="1"/>
  <c r="BP199" i="1"/>
  <c r="BP211" i="1"/>
  <c r="BP200" i="1"/>
  <c r="BP175" i="1"/>
  <c r="BP189" i="1"/>
  <c r="BP193" i="1"/>
  <c r="BP206" i="1"/>
  <c r="BP168" i="1"/>
  <c r="BP184" i="1"/>
  <c r="BP173" i="1"/>
  <c r="BP179" i="1"/>
  <c r="BP207" i="1"/>
  <c r="BP187" i="1"/>
  <c r="BP174" i="1"/>
  <c r="BP165" i="1"/>
  <c r="BP115" i="1"/>
  <c r="BP182" i="1"/>
  <c r="BP195" i="1"/>
  <c r="BP214" i="1"/>
  <c r="BP210" i="1"/>
  <c r="BP197" i="1"/>
  <c r="BP166" i="1"/>
  <c r="BP194" i="1"/>
  <c r="BP181" i="1"/>
  <c r="BP121" i="1"/>
  <c r="BP116" i="1"/>
  <c r="BP170" i="1"/>
  <c r="BP212" i="1"/>
  <c r="BP109" i="1"/>
  <c r="BP169" i="1"/>
  <c r="BP4" i="1"/>
  <c r="BI135" i="1"/>
  <c r="BB49" i="30"/>
  <c r="DY48" i="1"/>
  <c r="BF156" i="1"/>
  <c r="BP148" i="1"/>
  <c r="BN139" i="1"/>
  <c r="BM196" i="1"/>
  <c r="BK131" i="1"/>
  <c r="ED41" i="1"/>
  <c r="L41" i="48"/>
  <c r="N41" i="48" s="1"/>
  <c r="BO145" i="1"/>
  <c r="BB174" i="1"/>
  <c r="DU66" i="1"/>
  <c r="BL152" i="1"/>
  <c r="DV66" i="1"/>
  <c r="BC174" i="1"/>
  <c r="BJ190" i="1"/>
  <c r="DV89" i="1"/>
  <c r="BC197" i="1"/>
  <c r="EA30" i="1"/>
  <c r="BH138" i="1"/>
  <c r="BJ174" i="1"/>
  <c r="BK186" i="1"/>
  <c r="BE214" i="1"/>
  <c r="DX106" i="1"/>
  <c r="L65" i="48"/>
  <c r="N65" i="48" s="1"/>
  <c r="BP149" i="1"/>
  <c r="DU38" i="1"/>
  <c r="BB146" i="1"/>
  <c r="DV45" i="1"/>
  <c r="BC153" i="1"/>
  <c r="DX77" i="1"/>
  <c r="BE185" i="1"/>
  <c r="BL128" i="1"/>
  <c r="BL167" i="1"/>
  <c r="DZ32" i="1"/>
  <c r="BG140" i="1"/>
  <c r="BM193" i="1"/>
  <c r="DW83" i="1"/>
  <c r="BD191" i="1"/>
  <c r="BM204" i="1"/>
  <c r="L60" i="48"/>
  <c r="N60" i="48" s="1"/>
  <c r="BQ119" i="1"/>
  <c r="BJ179" i="1"/>
  <c r="DW26" i="1"/>
  <c r="BD134" i="1"/>
  <c r="DU47" i="1"/>
  <c r="BB155" i="1"/>
  <c r="L79" i="48"/>
  <c r="N79" i="48" s="1"/>
  <c r="EF79" i="1"/>
  <c r="DU37" i="1"/>
  <c r="BB145" i="1"/>
  <c r="DU102" i="1"/>
  <c r="BB210" i="1"/>
  <c r="EA50" i="1"/>
  <c r="BH158" i="1"/>
  <c r="BM127" i="1"/>
  <c r="DX94" i="1"/>
  <c r="BE202" i="1"/>
  <c r="DX56" i="1"/>
  <c r="BE164" i="1"/>
  <c r="BO147" i="1"/>
  <c r="BL189" i="1"/>
  <c r="BN142" i="1"/>
  <c r="DU105" i="1"/>
  <c r="BB213" i="1"/>
  <c r="BL129" i="1"/>
  <c r="BN188" i="1"/>
  <c r="BH208" i="1"/>
  <c r="EA100" i="1"/>
  <c r="DW91" i="1"/>
  <c r="BD199" i="1"/>
  <c r="BN118" i="1"/>
  <c r="BM211" i="1"/>
  <c r="EA17" i="1"/>
  <c r="BH125" i="1"/>
  <c r="DY86" i="1"/>
  <c r="BF194" i="1"/>
  <c r="BK169" i="1"/>
  <c r="BI165" i="1"/>
  <c r="BM172" i="1"/>
  <c r="DU54" i="1"/>
  <c r="BB162" i="1"/>
  <c r="DX68" i="1"/>
  <c r="BE176" i="1"/>
  <c r="BN141" i="1"/>
  <c r="BL207" i="1"/>
  <c r="DW55" i="1"/>
  <c r="BD163" i="1"/>
  <c r="BJ130" i="1"/>
  <c r="DY14" i="1"/>
  <c r="BF122" i="1"/>
  <c r="DW58" i="1"/>
  <c r="BD166" i="1"/>
  <c r="BK143" i="1"/>
  <c r="BI123" i="1"/>
  <c r="BE45" i="30"/>
  <c r="DY63" i="1"/>
  <c r="BF171" i="1"/>
  <c r="DZ43" i="1"/>
  <c r="BG151" i="1"/>
  <c r="BK206" i="1"/>
  <c r="BK161" i="1"/>
  <c r="EA62" i="1"/>
  <c r="BH170" i="1"/>
  <c r="BK159" i="1"/>
  <c r="L72" i="48"/>
  <c r="N72" i="48" s="1"/>
  <c r="EA104" i="1"/>
  <c r="BH212" i="1"/>
  <c r="DY69" i="1"/>
  <c r="BF177" i="1"/>
  <c r="BK160" i="1"/>
  <c r="DX87" i="1"/>
  <c r="BE195" i="1"/>
  <c r="DY75" i="1"/>
  <c r="BF183" i="1"/>
  <c r="BD40" i="30"/>
  <c r="BD35" i="30"/>
  <c r="BD4" i="30"/>
  <c r="BD5" i="30"/>
  <c r="BD34" i="30"/>
  <c r="BD3" i="30"/>
  <c r="BI120" i="1"/>
  <c r="BM182" i="1"/>
  <c r="BK157" i="1"/>
  <c r="BJ205" i="1"/>
  <c r="BK200" i="1"/>
  <c r="BK178" i="1"/>
  <c r="EF18" i="1"/>
  <c r="L18" i="48"/>
  <c r="N18" i="48" s="1"/>
  <c r="DW46" i="1"/>
  <c r="BD154" i="1"/>
  <c r="DX24" i="1"/>
  <c r="BE132" i="1"/>
  <c r="BO133" i="1"/>
  <c r="BK181" i="1"/>
  <c r="BJ201" i="1"/>
  <c r="DY36" i="1"/>
  <c r="BF144" i="1"/>
  <c r="BP117" i="1"/>
  <c r="BK136" i="1"/>
  <c r="DZ67" i="1"/>
  <c r="BG175" i="1"/>
  <c r="BL137" i="1"/>
  <c r="DZ101" i="1"/>
  <c r="BG209" i="1"/>
  <c r="BJ150" i="1"/>
  <c r="DV90" i="1"/>
  <c r="BC198" i="1"/>
  <c r="EA92" i="1"/>
  <c r="BH200" i="1"/>
  <c r="DX95" i="1"/>
  <c r="BE203" i="1"/>
  <c r="BN5" i="1"/>
  <c r="BN121" i="1"/>
  <c r="BN191" i="1"/>
  <c r="BN116" i="1"/>
  <c r="BN109" i="1"/>
  <c r="BN115" i="1"/>
  <c r="BN110" i="1"/>
  <c r="BN4" i="1"/>
  <c r="BJ135" i="1"/>
  <c r="DX84" i="1"/>
  <c r="BE192" i="1"/>
  <c r="DZ48" i="1"/>
  <c r="BG156" i="1"/>
  <c r="BQ148" i="1"/>
  <c r="DW31" i="1"/>
  <c r="BD139" i="1"/>
  <c r="L88" i="48"/>
  <c r="N88" i="48" s="1"/>
  <c r="BL131" i="1"/>
  <c r="DY30" i="1"/>
  <c r="BF138" i="1"/>
  <c r="DY106" i="1"/>
  <c r="BF214" i="1"/>
  <c r="DW45" i="1"/>
  <c r="BD153" i="1"/>
  <c r="BM167" i="1"/>
  <c r="EA32" i="1"/>
  <c r="BH140" i="1"/>
  <c r="BE191" i="1"/>
  <c r="DX83" i="1"/>
  <c r="DV47" i="1"/>
  <c r="BC155" i="1"/>
  <c r="DU79" i="1"/>
  <c r="BB187" i="1"/>
  <c r="BL145" i="1"/>
  <c r="BI158" i="1"/>
  <c r="BN127" i="1"/>
  <c r="DY94" i="1"/>
  <c r="BF202" i="1"/>
  <c r="DY56" i="1"/>
  <c r="BF164" i="1"/>
  <c r="BM189" i="1"/>
  <c r="BO142" i="1"/>
  <c r="DV105" i="1"/>
  <c r="BC213" i="1"/>
  <c r="BM129" i="1"/>
  <c r="BO188" i="1"/>
  <c r="DX91" i="1"/>
  <c r="BE199" i="1"/>
  <c r="BQ118" i="1"/>
  <c r="L103" i="48"/>
  <c r="N103" i="48" s="1"/>
  <c r="EF103" i="1"/>
  <c r="BK125" i="1"/>
  <c r="EA86" i="1"/>
  <c r="BH194" i="1"/>
  <c r="BL169" i="1"/>
  <c r="BK165" i="1"/>
  <c r="BN172" i="1"/>
  <c r="BI162" i="1"/>
  <c r="DY68" i="1"/>
  <c r="BF176" i="1"/>
  <c r="BO141" i="1"/>
  <c r="BM207" i="1"/>
  <c r="EA55" i="1"/>
  <c r="BH163" i="1"/>
  <c r="BL130" i="1"/>
  <c r="BL122" i="1"/>
  <c r="BK166" i="1"/>
  <c r="BM143" i="1"/>
  <c r="BK123" i="1"/>
  <c r="DU76" i="1"/>
  <c r="BB184" i="1"/>
  <c r="BN171" i="1"/>
  <c r="EA43" i="1"/>
  <c r="BH151" i="1"/>
  <c r="BM206" i="1"/>
  <c r="DW53" i="1"/>
  <c r="BD161" i="1"/>
  <c r="BO170" i="1"/>
  <c r="BL159" i="1"/>
  <c r="DU72" i="1"/>
  <c r="BB180" i="1"/>
  <c r="BI212" i="1"/>
  <c r="EF69" i="1"/>
  <c r="L69" i="48"/>
  <c r="N69" i="48" s="1"/>
  <c r="BL160" i="1"/>
  <c r="L87" i="48"/>
  <c r="N87" i="48" s="1"/>
  <c r="DZ75" i="1"/>
  <c r="BG183" i="1"/>
  <c r="BE35" i="30"/>
  <c r="BE3" i="30"/>
  <c r="BE5" i="30"/>
  <c r="BE40" i="30"/>
  <c r="BE34" i="30"/>
  <c r="BE4" i="30"/>
  <c r="BM120" i="1"/>
  <c r="DX74" i="1"/>
  <c r="BE182" i="1"/>
  <c r="EF49" i="1"/>
  <c r="L49" i="48"/>
  <c r="N49" i="48" s="1"/>
  <c r="BL205" i="1"/>
  <c r="BP5" i="1"/>
  <c r="BP178" i="1"/>
  <c r="DW18" i="1"/>
  <c r="BD126" i="1"/>
  <c r="DX46" i="1"/>
  <c r="BE154" i="1"/>
  <c r="DY24" i="1"/>
  <c r="BF132" i="1"/>
  <c r="BP133" i="1"/>
  <c r="BL181" i="1"/>
  <c r="BL201" i="1"/>
  <c r="BG144" i="1"/>
  <c r="DZ36" i="1"/>
  <c r="BN136" i="1"/>
  <c r="BI175" i="1"/>
  <c r="BM137" i="1"/>
  <c r="BI209" i="1"/>
  <c r="BK150" i="1"/>
  <c r="DW90" i="1"/>
  <c r="BD198" i="1"/>
  <c r="BI200" i="1"/>
  <c r="DY95" i="1"/>
  <c r="BF203" i="1"/>
  <c r="BV4" i="1"/>
  <c r="BV110" i="1"/>
  <c r="BV111" i="1" s="1"/>
  <c r="BV3" i="1"/>
  <c r="BL135" i="1"/>
  <c r="DY84" i="1"/>
  <c r="BF192" i="1"/>
  <c r="EA48" i="1"/>
  <c r="BH156" i="1"/>
  <c r="BI148" i="1"/>
  <c r="DX31" i="1"/>
  <c r="BE139" i="1"/>
  <c r="DU88" i="1"/>
  <c r="BB196" i="1"/>
  <c r="BM131" i="1"/>
  <c r="L19" i="48"/>
  <c r="N19" i="48" s="1"/>
  <c r="CK10" i="1"/>
  <c r="BN214" i="1"/>
  <c r="BK197" i="1"/>
  <c r="DW78" i="1"/>
  <c r="BD186" i="1"/>
  <c r="DW44" i="1"/>
  <c r="BD152" i="1"/>
  <c r="DU77" i="1"/>
  <c r="BB185" i="1"/>
  <c r="DW89" i="1"/>
  <c r="BD197" i="1"/>
  <c r="BK174" i="1"/>
  <c r="L78" i="48"/>
  <c r="N78" i="48" s="1"/>
  <c r="ED78" i="1"/>
  <c r="EA65" i="1"/>
  <c r="BH173" i="1"/>
  <c r="BP146" i="1"/>
  <c r="DV20" i="1"/>
  <c r="BC128" i="1"/>
  <c r="BN204" i="1"/>
  <c r="BM168" i="1"/>
  <c r="BO119" i="1"/>
  <c r="BN179" i="1"/>
  <c r="DY26" i="1"/>
  <c r="BF134" i="1"/>
  <c r="BP147" i="1"/>
  <c r="DU44" i="1"/>
  <c r="BB152" i="1"/>
  <c r="DU82" i="1"/>
  <c r="BB190" i="1"/>
  <c r="DX89" i="1"/>
  <c r="BE197" i="1"/>
  <c r="BI138" i="1"/>
  <c r="BL174" i="1"/>
  <c r="DU78" i="1"/>
  <c r="BB186" i="1"/>
  <c r="DZ106" i="1"/>
  <c r="BG214" i="1"/>
  <c r="BI173" i="1"/>
  <c r="DU41" i="1"/>
  <c r="BB149" i="1"/>
  <c r="DZ38" i="1"/>
  <c r="BG146" i="1"/>
  <c r="BM153" i="1"/>
  <c r="EA77" i="1"/>
  <c r="BH185" i="1"/>
  <c r="DX59" i="1"/>
  <c r="BE167" i="1"/>
  <c r="BK140" i="1"/>
  <c r="CK26" i="1"/>
  <c r="L85" i="48"/>
  <c r="N85" i="48" s="1"/>
  <c r="EF85" i="1"/>
  <c r="DY83" i="1"/>
  <c r="BF191" i="1"/>
  <c r="DY96" i="1"/>
  <c r="BF204" i="1"/>
  <c r="BN168" i="1"/>
  <c r="DY11" i="1"/>
  <c r="BF119" i="1"/>
  <c r="BO179" i="1"/>
  <c r="DZ26" i="1"/>
  <c r="BG134" i="1"/>
  <c r="DV79" i="1"/>
  <c r="BC187" i="1"/>
  <c r="BM145" i="1"/>
  <c r="BL210" i="1"/>
  <c r="BJ158" i="1"/>
  <c r="BL127" i="1"/>
  <c r="DZ94" i="1"/>
  <c r="BG202" i="1"/>
  <c r="L39" i="48"/>
  <c r="N39" i="48" s="1"/>
  <c r="BN189" i="1"/>
  <c r="BP142" i="1"/>
  <c r="DW105" i="1"/>
  <c r="BD213" i="1"/>
  <c r="BO129" i="1"/>
  <c r="BP188" i="1"/>
  <c r="BE50" i="30"/>
  <c r="DX10" i="1"/>
  <c r="BE118" i="1"/>
  <c r="BI125" i="1"/>
  <c r="DU17" i="1"/>
  <c r="BB125" i="1"/>
  <c r="BI194" i="1"/>
  <c r="BM169" i="1"/>
  <c r="DU57" i="1"/>
  <c r="BB165" i="1"/>
  <c r="BI172" i="1"/>
  <c r="BK162" i="1"/>
  <c r="DZ68" i="1"/>
  <c r="BG176" i="1"/>
  <c r="BP141" i="1"/>
  <c r="BN207" i="1"/>
  <c r="BI163" i="1"/>
  <c r="BM130" i="1"/>
  <c r="BM122" i="1"/>
  <c r="L58" i="48"/>
  <c r="N58" i="48" s="1"/>
  <c r="EF58" i="1"/>
  <c r="BN143" i="1"/>
  <c r="BL123" i="1"/>
  <c r="DV76" i="1"/>
  <c r="BC184" i="1"/>
  <c r="DZ63" i="1"/>
  <c r="BG171" i="1"/>
  <c r="BD47" i="30"/>
  <c r="DW43" i="1"/>
  <c r="BD151" i="1"/>
  <c r="DX98" i="1"/>
  <c r="BE206" i="1"/>
  <c r="DX53" i="1"/>
  <c r="BE161" i="1"/>
  <c r="L62" i="48"/>
  <c r="N62" i="48" s="1"/>
  <c r="EF62" i="1"/>
  <c r="BM159" i="1"/>
  <c r="DV72" i="1"/>
  <c r="BC180" i="1"/>
  <c r="BJ212" i="1"/>
  <c r="DU69" i="1"/>
  <c r="BB177" i="1"/>
  <c r="L52" i="48"/>
  <c r="N52" i="48" s="1"/>
  <c r="DM9" i="1"/>
  <c r="EF52" i="1"/>
  <c r="DU87" i="1"/>
  <c r="BB195" i="1"/>
  <c r="EA75" i="1"/>
  <c r="BH183" i="1"/>
  <c r="BF35" i="30"/>
  <c r="BF34" i="30"/>
  <c r="BF3" i="30"/>
  <c r="BF5" i="30"/>
  <c r="BF40" i="30"/>
  <c r="BF4" i="30"/>
  <c r="BN120" i="1"/>
  <c r="DY74" i="1"/>
  <c r="BF182" i="1"/>
  <c r="DY49" i="1"/>
  <c r="BF157" i="1"/>
  <c r="L97" i="48"/>
  <c r="N97" i="48" s="1"/>
  <c r="BG126" i="1"/>
  <c r="DZ18" i="1"/>
  <c r="BN154" i="1"/>
  <c r="DW24" i="1"/>
  <c r="BD132" i="1"/>
  <c r="DW25" i="1"/>
  <c r="BD133" i="1"/>
  <c r="BN181" i="1"/>
  <c r="ED93" i="1"/>
  <c r="L93" i="48"/>
  <c r="N93" i="48" s="1"/>
  <c r="EA36" i="1"/>
  <c r="BH144" i="1"/>
  <c r="L9" i="48"/>
  <c r="N9" i="48" s="1"/>
  <c r="CK9" i="1"/>
  <c r="EF9" i="1"/>
  <c r="CU7" i="1"/>
  <c r="DM16" i="1"/>
  <c r="CQ9" i="1"/>
  <c r="CZ12" i="1"/>
  <c r="BO136" i="1"/>
  <c r="BJ175" i="1"/>
  <c r="BP137" i="1"/>
  <c r="BJ209" i="1"/>
  <c r="BL150" i="1"/>
  <c r="BJ200" i="1"/>
  <c r="BW110" i="1"/>
  <c r="BW111" i="1" s="1"/>
  <c r="BW3" i="1"/>
  <c r="BW4" i="1"/>
  <c r="L27" i="48"/>
  <c r="N27" i="48" s="1"/>
  <c r="CK20" i="1"/>
  <c r="EF27" i="1"/>
  <c r="DZ84" i="1"/>
  <c r="BG192" i="1"/>
  <c r="DV48" i="1"/>
  <c r="BC156" i="1"/>
  <c r="BJ148" i="1"/>
  <c r="DY31" i="1"/>
  <c r="BF139" i="1"/>
  <c r="DV88" i="1"/>
  <c r="BC196" i="1"/>
  <c r="BO131" i="1"/>
  <c r="L44" i="48"/>
  <c r="N44" i="48" s="1"/>
  <c r="BL197" i="1"/>
  <c r="BO173" i="1"/>
  <c r="BJ152" i="1"/>
  <c r="BK152" i="1"/>
  <c r="BI149" i="1"/>
  <c r="DZ77" i="1"/>
  <c r="BG185" i="1"/>
  <c r="BN193" i="1"/>
  <c r="BJ210" i="1"/>
  <c r="DV82" i="1"/>
  <c r="BC190" i="1"/>
  <c r="BM197" i="1"/>
  <c r="BJ138" i="1"/>
  <c r="DW66" i="1"/>
  <c r="BD174" i="1"/>
  <c r="BJ186" i="1"/>
  <c r="EA106" i="1"/>
  <c r="BH214" i="1"/>
  <c r="BJ173" i="1"/>
  <c r="DV41" i="1"/>
  <c r="BC149" i="1"/>
  <c r="EA38" i="1"/>
  <c r="BH146" i="1"/>
  <c r="BH36" i="30"/>
  <c r="BH37" i="30" s="1"/>
  <c r="BH38" i="30" s="1"/>
  <c r="BH33" i="30" s="1"/>
  <c r="BH66" i="30"/>
  <c r="BH67" i="30" s="1"/>
  <c r="BH68" i="30" s="1"/>
  <c r="BP153" i="1"/>
  <c r="BI185" i="1"/>
  <c r="DZ59" i="1"/>
  <c r="BG167" i="1"/>
  <c r="DU32" i="1"/>
  <c r="BB140" i="1"/>
  <c r="DY85" i="1"/>
  <c r="BF193" i="1"/>
  <c r="EA83" i="1"/>
  <c r="BH191" i="1"/>
  <c r="EA96" i="1"/>
  <c r="BH204" i="1"/>
  <c r="BO168" i="1"/>
  <c r="DZ11" i="1"/>
  <c r="BG119" i="1"/>
  <c r="L71" i="48"/>
  <c r="N71" i="48" s="1"/>
  <c r="ED71" i="1"/>
  <c r="EA26" i="1"/>
  <c r="BH134" i="1"/>
  <c r="L47" i="48"/>
  <c r="N47" i="48" s="1"/>
  <c r="DZ37" i="1"/>
  <c r="BG145" i="1"/>
  <c r="BM210" i="1"/>
  <c r="DU50" i="1"/>
  <c r="BB158" i="1"/>
  <c r="BO127" i="1"/>
  <c r="EA94" i="1"/>
  <c r="BH202" i="1"/>
  <c r="CK25" i="1"/>
  <c r="L56" i="48"/>
  <c r="N56" i="48" s="1"/>
  <c r="DM7" i="1"/>
  <c r="EF56" i="1"/>
  <c r="EA39" i="1"/>
  <c r="BH147" i="1"/>
  <c r="BO189" i="1"/>
  <c r="DM13" i="1"/>
  <c r="L34" i="48"/>
  <c r="N34" i="48" s="1"/>
  <c r="BE213" i="1"/>
  <c r="DX105" i="1"/>
  <c r="BP129" i="1"/>
  <c r="DV80" i="1"/>
  <c r="BC188" i="1"/>
  <c r="L100" i="48"/>
  <c r="N100" i="48" s="1"/>
  <c r="BK118" i="1"/>
  <c r="BL118" i="1"/>
  <c r="BJ125" i="1"/>
  <c r="BJ194" i="1"/>
  <c r="DV57" i="1"/>
  <c r="BC165" i="1"/>
  <c r="DX64" i="1"/>
  <c r="BE172" i="1"/>
  <c r="BM162" i="1"/>
  <c r="BI176" i="1"/>
  <c r="DY33" i="1"/>
  <c r="BF141" i="1"/>
  <c r="L99" i="48"/>
  <c r="N99" i="48" s="1"/>
  <c r="EF55" i="1"/>
  <c r="L55" i="48"/>
  <c r="N55" i="48" s="1"/>
  <c r="BN130" i="1"/>
  <c r="BO122" i="1"/>
  <c r="DV58" i="1"/>
  <c r="BC166" i="1"/>
  <c r="BO143" i="1"/>
  <c r="BM123" i="1"/>
  <c r="DX76" i="1"/>
  <c r="BE184" i="1"/>
  <c r="EA63" i="1"/>
  <c r="BH171" i="1"/>
  <c r="DX43" i="1"/>
  <c r="BE151" i="1"/>
  <c r="DU98" i="1"/>
  <c r="BB206" i="1"/>
  <c r="DY53" i="1"/>
  <c r="BF161" i="1"/>
  <c r="DU62" i="1"/>
  <c r="BB170" i="1"/>
  <c r="DX51" i="1"/>
  <c r="BE159" i="1"/>
  <c r="BD180" i="1"/>
  <c r="DW72" i="1"/>
  <c r="DU104" i="1"/>
  <c r="BB212" i="1"/>
  <c r="DV69" i="1"/>
  <c r="BC177" i="1"/>
  <c r="DU52" i="1"/>
  <c r="BB160" i="1"/>
  <c r="DV87" i="1"/>
  <c r="BC195" i="1"/>
  <c r="BI183" i="1"/>
  <c r="BL120" i="1"/>
  <c r="DZ74" i="1"/>
  <c r="BG182" i="1"/>
  <c r="DZ49" i="1"/>
  <c r="BG157" i="1"/>
  <c r="DU97" i="1"/>
  <c r="BB205" i="1"/>
  <c r="EA70" i="1"/>
  <c r="BH178" i="1"/>
  <c r="BM178" i="1"/>
  <c r="BN126" i="1"/>
  <c r="L46" i="48"/>
  <c r="N46" i="48" s="1"/>
  <c r="CK18" i="1"/>
  <c r="DZ24" i="1"/>
  <c r="BG132" i="1"/>
  <c r="BE133" i="1"/>
  <c r="DX25" i="1"/>
  <c r="DU73" i="1"/>
  <c r="BB181" i="1"/>
  <c r="DU93" i="1"/>
  <c r="BB201" i="1"/>
  <c r="BI144" i="1"/>
  <c r="DU9" i="1"/>
  <c r="BB117" i="1"/>
  <c r="DU28" i="1"/>
  <c r="BB136" i="1"/>
  <c r="BK175" i="1"/>
  <c r="DZ29" i="1"/>
  <c r="BG137" i="1"/>
  <c r="BK209" i="1"/>
  <c r="BM150" i="1"/>
  <c r="BI198" i="1"/>
  <c r="BF52" i="30"/>
  <c r="BG54" i="30"/>
  <c r="BB3" i="1"/>
  <c r="BB219" i="1" s="1"/>
  <c r="DU7" i="1"/>
  <c r="BB121" i="1"/>
  <c r="BB4" i="1"/>
  <c r="BB109" i="1"/>
  <c r="AY130" i="1"/>
  <c r="BB116" i="1"/>
  <c r="BB115" i="1"/>
  <c r="BY2" i="1"/>
  <c r="BB5" i="1"/>
  <c r="AY128" i="1"/>
  <c r="BB110" i="1"/>
  <c r="DU27" i="1"/>
  <c r="BB135" i="1"/>
  <c r="EA84" i="1"/>
  <c r="BH192" i="1"/>
  <c r="EH5" i="30"/>
  <c r="G30" i="31" s="1"/>
  <c r="EH3" i="30"/>
  <c r="DW48" i="1"/>
  <c r="BD156" i="1"/>
  <c r="BK148" i="1"/>
  <c r="DZ31" i="1"/>
  <c r="BG139" i="1"/>
  <c r="DW88" i="1"/>
  <c r="BD196" i="1"/>
  <c r="DW23" i="1"/>
  <c r="BD131" i="1"/>
  <c r="BI152" i="1"/>
  <c r="BQ152" i="1"/>
  <c r="DW82" i="1"/>
  <c r="BD190" i="1"/>
  <c r="L89" i="48"/>
  <c r="N89" i="48" s="1"/>
  <c r="BM138" i="1"/>
  <c r="DY66" i="1"/>
  <c r="BF174" i="1"/>
  <c r="BL186" i="1"/>
  <c r="L106" i="48"/>
  <c r="N106" i="48" s="1"/>
  <c r="BK173" i="1"/>
  <c r="DW41" i="1"/>
  <c r="BD149" i="1"/>
  <c r="BI146" i="1"/>
  <c r="BJ153" i="1"/>
  <c r="EA59" i="1"/>
  <c r="BH167" i="1"/>
  <c r="L32" i="48"/>
  <c r="N32" i="48" s="1"/>
  <c r="EF32" i="1"/>
  <c r="DZ85" i="1"/>
  <c r="BG193" i="1"/>
  <c r="DU83" i="1"/>
  <c r="BB191" i="1"/>
  <c r="BI204" i="1"/>
  <c r="EA60" i="1"/>
  <c r="BH168" i="1"/>
  <c r="EA11" i="1"/>
  <c r="BH119" i="1"/>
  <c r="BI179" i="1"/>
  <c r="BI134" i="1"/>
  <c r="BK155" i="1"/>
  <c r="EA79" i="1"/>
  <c r="BH187" i="1"/>
  <c r="BI145" i="1"/>
  <c r="BK145" i="1"/>
  <c r="BN210" i="1"/>
  <c r="DX50" i="1"/>
  <c r="BE158" i="1"/>
  <c r="BP127" i="1"/>
  <c r="BB202" i="1"/>
  <c r="DU94" i="1"/>
  <c r="DU56" i="1"/>
  <c r="BB164" i="1"/>
  <c r="BM147" i="1"/>
  <c r="EF81" i="1"/>
  <c r="L81" i="48"/>
  <c r="N81" i="48" s="1"/>
  <c r="DU34" i="1"/>
  <c r="BB142" i="1"/>
  <c r="DY105" i="1"/>
  <c r="BF213" i="1"/>
  <c r="BQ129" i="1"/>
  <c r="BK188" i="1"/>
  <c r="DU100" i="1"/>
  <c r="BB208" i="1"/>
  <c r="BL199" i="1"/>
  <c r="DU10" i="1"/>
  <c r="BB118" i="1"/>
  <c r="BJ211" i="1"/>
  <c r="BL125" i="1"/>
  <c r="BG169" i="1"/>
  <c r="DZ61" i="1"/>
  <c r="DW57" i="1"/>
  <c r="BD165" i="1"/>
  <c r="DY64" i="1"/>
  <c r="BF172" i="1"/>
  <c r="BE162" i="1"/>
  <c r="DX54" i="1"/>
  <c r="L68" i="48"/>
  <c r="N68" i="48" s="1"/>
  <c r="EF68" i="1"/>
  <c r="DZ33" i="1"/>
  <c r="BG141" i="1"/>
  <c r="DY99" i="1"/>
  <c r="BF207" i="1"/>
  <c r="BL163" i="1"/>
  <c r="DX22" i="1"/>
  <c r="BE130" i="1"/>
  <c r="BP122" i="1"/>
  <c r="BL166" i="1"/>
  <c r="BN123" i="1"/>
  <c r="BM184" i="1"/>
  <c r="BI171" i="1"/>
  <c r="BB151" i="1"/>
  <c r="DU43" i="1"/>
  <c r="DV98" i="1"/>
  <c r="BC206" i="1"/>
  <c r="DZ53" i="1"/>
  <c r="BG161" i="1"/>
  <c r="BJ170" i="1"/>
  <c r="EA51" i="1"/>
  <c r="BH159" i="1"/>
  <c r="BL180" i="1"/>
  <c r="DW104" i="1"/>
  <c r="BD212" i="1"/>
  <c r="BK177" i="1"/>
  <c r="BJ160" i="1"/>
  <c r="BK195" i="1"/>
  <c r="L75" i="48"/>
  <c r="N75" i="48" s="1"/>
  <c r="EF75" i="1"/>
  <c r="BB5" i="30"/>
  <c r="BB34" i="30"/>
  <c r="BB3" i="30"/>
  <c r="BB4" i="30"/>
  <c r="AX43" i="30"/>
  <c r="AY43" i="30" s="1"/>
  <c r="AX47" i="30"/>
  <c r="AY47" i="30" s="1"/>
  <c r="BB40" i="30"/>
  <c r="BB35" i="30"/>
  <c r="BO120" i="1"/>
  <c r="EA74" i="1"/>
  <c r="BH182" i="1"/>
  <c r="EA49" i="1"/>
  <c r="BH157" i="1"/>
  <c r="BC205" i="1"/>
  <c r="DV97" i="1"/>
  <c r="BG203" i="1"/>
  <c r="BG178" i="1"/>
  <c r="DZ70" i="1"/>
  <c r="BJ126" i="1"/>
  <c r="BP126" i="1"/>
  <c r="DU46" i="1"/>
  <c r="BB154" i="1"/>
  <c r="EA24" i="1"/>
  <c r="BH132" i="1"/>
  <c r="L25" i="48"/>
  <c r="N25" i="48" s="1"/>
  <c r="DV73" i="1"/>
  <c r="BC181" i="1"/>
  <c r="DV93" i="1"/>
  <c r="BC201" i="1"/>
  <c r="BL144" i="1"/>
  <c r="DV9" i="1"/>
  <c r="BC117" i="1"/>
  <c r="EF28" i="1"/>
  <c r="L28" i="48"/>
  <c r="N28" i="48" s="1"/>
  <c r="BI136" i="1"/>
  <c r="BQ137" i="1"/>
  <c r="BI137" i="1"/>
  <c r="BN150" i="1"/>
  <c r="BJ198" i="1"/>
  <c r="BE60" i="30"/>
  <c r="BR3" i="1"/>
  <c r="BR4" i="1"/>
  <c r="BR5" i="1"/>
  <c r="BR110" i="1"/>
  <c r="BR111" i="1" s="1"/>
  <c r="DV27" i="1"/>
  <c r="BC135" i="1"/>
  <c r="BI192" i="1"/>
  <c r="BN124" i="1"/>
  <c r="BE64" i="30"/>
  <c r="BD148" i="1"/>
  <c r="DW40" i="1"/>
  <c r="BJ139" i="1"/>
  <c r="BL196" i="1"/>
  <c r="DX23" i="1"/>
  <c r="BE131" i="1"/>
  <c r="BK134" i="1"/>
  <c r="BM190" i="1"/>
  <c r="DX78" i="1"/>
  <c r="BE186" i="1"/>
  <c r="BN152" i="1"/>
  <c r="DX44" i="1"/>
  <c r="BE152" i="1"/>
  <c r="DX82" i="1"/>
  <c r="BE190" i="1"/>
  <c r="BK138" i="1"/>
  <c r="DW30" i="1"/>
  <c r="BD138" i="1"/>
  <c r="DZ66" i="1"/>
  <c r="BG174" i="1"/>
  <c r="BM186" i="1"/>
  <c r="BB214" i="1"/>
  <c r="DU106" i="1"/>
  <c r="DV65" i="1"/>
  <c r="BC173" i="1"/>
  <c r="BJ149" i="1"/>
  <c r="BN146" i="1"/>
  <c r="BL153" i="1"/>
  <c r="BM128" i="1"/>
  <c r="BI167" i="1"/>
  <c r="DW32" i="1"/>
  <c r="BD140" i="1"/>
  <c r="EA85" i="1"/>
  <c r="BH193" i="1"/>
  <c r="DV83" i="1"/>
  <c r="BC191" i="1"/>
  <c r="BQ124" i="1"/>
  <c r="BJ204" i="1"/>
  <c r="BJ168" i="1"/>
  <c r="BI119" i="1"/>
  <c r="BK179" i="1"/>
  <c r="BJ134" i="1"/>
  <c r="BM155" i="1"/>
  <c r="BI187" i="1"/>
  <c r="BN145" i="1"/>
  <c r="DY50" i="1"/>
  <c r="BF158" i="1"/>
  <c r="DV19" i="1"/>
  <c r="BC127" i="1"/>
  <c r="DV94" i="1"/>
  <c r="BC202" i="1"/>
  <c r="BJ164" i="1"/>
  <c r="BN147" i="1"/>
  <c r="EA81" i="1"/>
  <c r="BH189" i="1"/>
  <c r="DZ34" i="1"/>
  <c r="BG142" i="1"/>
  <c r="EA105" i="1"/>
  <c r="BH213" i="1"/>
  <c r="EF21" i="1"/>
  <c r="L21" i="48"/>
  <c r="N21" i="48" s="1"/>
  <c r="CZ11" i="1"/>
  <c r="BL188" i="1"/>
  <c r="DV100" i="1"/>
  <c r="BC208" i="1"/>
  <c r="BM199" i="1"/>
  <c r="DV10" i="1"/>
  <c r="BC118" i="1"/>
  <c r="BK211" i="1"/>
  <c r="BM125" i="1"/>
  <c r="EA61" i="1"/>
  <c r="BH169" i="1"/>
  <c r="DX57" i="1"/>
  <c r="BE165" i="1"/>
  <c r="BG172" i="1"/>
  <c r="DZ64" i="1"/>
  <c r="DY54" i="1"/>
  <c r="BF162" i="1"/>
  <c r="BM176" i="1"/>
  <c r="EA33" i="1"/>
  <c r="BH141" i="1"/>
  <c r="DZ99" i="1"/>
  <c r="BG207" i="1"/>
  <c r="BM163" i="1"/>
  <c r="DY22" i="1"/>
  <c r="BF130" i="1"/>
  <c r="L14" i="48"/>
  <c r="N14" i="48" s="1"/>
  <c r="CZ7" i="1"/>
  <c r="EF14" i="1"/>
  <c r="CK16" i="1"/>
  <c r="BM166" i="1"/>
  <c r="L35" i="48"/>
  <c r="N35" i="48" s="1"/>
  <c r="BO123" i="1"/>
  <c r="BN184" i="1"/>
  <c r="BJ171" i="1"/>
  <c r="DV43" i="1"/>
  <c r="BC151" i="1"/>
  <c r="DW98" i="1"/>
  <c r="BD206" i="1"/>
  <c r="BO161" i="1"/>
  <c r="BL170" i="1"/>
  <c r="BI159" i="1"/>
  <c r="BN180" i="1"/>
  <c r="DX104" i="1"/>
  <c r="BE212" i="1"/>
  <c r="BM177" i="1"/>
  <c r="BM160" i="1"/>
  <c r="BM195" i="1"/>
  <c r="DV75" i="1"/>
  <c r="BC183" i="1"/>
  <c r="BB124" i="1"/>
  <c r="BP120" i="1"/>
  <c r="DU74" i="1"/>
  <c r="BB182" i="1"/>
  <c r="BI157" i="1"/>
  <c r="BK205" i="1"/>
  <c r="DY70" i="1"/>
  <c r="BF178" i="1"/>
  <c r="BK126" i="1"/>
  <c r="BK132" i="1"/>
  <c r="DY25" i="1"/>
  <c r="BF133" i="1"/>
  <c r="DW73" i="1"/>
  <c r="BD181" i="1"/>
  <c r="BK201" i="1"/>
  <c r="DU36" i="1"/>
  <c r="BB144" i="1"/>
  <c r="BD117" i="1"/>
  <c r="DW9" i="1"/>
  <c r="DY28" i="1"/>
  <c r="BF136" i="1"/>
  <c r="L67" i="48"/>
  <c r="N67" i="48" s="1"/>
  <c r="DU29" i="1"/>
  <c r="BB137" i="1"/>
  <c r="BD62" i="30"/>
  <c r="BP150" i="1"/>
  <c r="BK198" i="1"/>
  <c r="DU92" i="1"/>
  <c r="BB200" i="1"/>
  <c r="DW95" i="1"/>
  <c r="BD203" i="1"/>
  <c r="CB7" i="1"/>
  <c r="CC102" i="1" s="1"/>
  <c r="BZ110" i="1"/>
  <c r="BZ114" i="1"/>
  <c r="CB114" i="1" s="1"/>
  <c r="Q4" i="1"/>
  <c r="Q5" i="1" s="1"/>
  <c r="BQ116" i="1"/>
  <c r="BQ121" i="1"/>
  <c r="BQ3" i="1"/>
  <c r="BQ5" i="1"/>
  <c r="BQ110" i="1"/>
  <c r="BQ109" i="1"/>
  <c r="BQ115" i="1"/>
  <c r="BQ4" i="1"/>
  <c r="DX27" i="1"/>
  <c r="BE135" i="1"/>
  <c r="BJ192" i="1"/>
  <c r="DU48" i="1"/>
  <c r="BB156" i="1"/>
  <c r="DV40" i="1"/>
  <c r="BC148" i="1"/>
  <c r="EA40" i="1"/>
  <c r="BH148" i="1"/>
  <c r="DV31" i="1"/>
  <c r="BC139" i="1"/>
  <c r="BN196" i="1"/>
  <c r="DY23" i="1"/>
  <c r="BF131" i="1"/>
  <c r="BJ214" i="1"/>
  <c r="BL179" i="1"/>
  <c r="BI189" i="1"/>
  <c r="L105" i="48"/>
  <c r="N105" i="48" s="1"/>
  <c r="BN199" i="1"/>
  <c r="L17" i="48"/>
  <c r="N17" i="48" s="1"/>
  <c r="EF17" i="1"/>
  <c r="CK11" i="1"/>
  <c r="BM165" i="1"/>
  <c r="EA64" i="1"/>
  <c r="BH172" i="1"/>
  <c r="DZ54" i="1"/>
  <c r="BG162" i="1"/>
  <c r="BN176" i="1"/>
  <c r="BI141" i="1"/>
  <c r="EA99" i="1"/>
  <c r="BH207" i="1"/>
  <c r="BN163" i="1"/>
  <c r="DW22" i="1"/>
  <c r="BD130" i="1"/>
  <c r="EA14" i="1"/>
  <c r="BH122" i="1"/>
  <c r="BN166" i="1"/>
  <c r="DY35" i="1"/>
  <c r="BF143" i="1"/>
  <c r="BP123" i="1"/>
  <c r="BO184" i="1"/>
  <c r="BK171" i="1"/>
  <c r="BI151" i="1"/>
  <c r="BL206" i="1"/>
  <c r="DU53" i="1"/>
  <c r="BB161" i="1"/>
  <c r="BM170" i="1"/>
  <c r="BO180" i="1"/>
  <c r="DY104" i="1"/>
  <c r="BF212" i="1"/>
  <c r="BN177" i="1"/>
  <c r="BN160" i="1"/>
  <c r="BN195" i="1"/>
  <c r="DW75" i="1"/>
  <c r="BD183" i="1"/>
  <c r="EB16" i="1"/>
  <c r="EI16" i="1" s="1"/>
  <c r="DV12" i="1"/>
  <c r="BC120" i="1"/>
  <c r="DV74" i="1"/>
  <c r="BC182" i="1"/>
  <c r="DW49" i="1"/>
  <c r="BD157" i="1"/>
  <c r="BM205" i="1"/>
  <c r="DX70" i="1"/>
  <c r="BE178" i="1"/>
  <c r="BL126" i="1"/>
  <c r="DY46" i="1"/>
  <c r="BF154" i="1"/>
  <c r="DU24" i="1"/>
  <c r="BB132" i="1"/>
  <c r="DZ25" i="1"/>
  <c r="BG133" i="1"/>
  <c r="DX73" i="1"/>
  <c r="BE181" i="1"/>
  <c r="BM201" i="1"/>
  <c r="L36" i="48"/>
  <c r="N36" i="48" s="1"/>
  <c r="DX9" i="1"/>
  <c r="BE117" i="1"/>
  <c r="DV28" i="1"/>
  <c r="BC136" i="1"/>
  <c r="DU67" i="1"/>
  <c r="BB175" i="1"/>
  <c r="DV29" i="1"/>
  <c r="BC137" i="1"/>
  <c r="DV101" i="1"/>
  <c r="BC209" i="1"/>
  <c r="DV42" i="1"/>
  <c r="BC150" i="1"/>
  <c r="BL198" i="1"/>
  <c r="DV92" i="1"/>
  <c r="BC200" i="1"/>
  <c r="BL203" i="1"/>
  <c r="BE121" i="1"/>
  <c r="DX7" i="1"/>
  <c r="BE110" i="1"/>
  <c r="BE3" i="1"/>
  <c r="BE219" i="1" s="1"/>
  <c r="BE116" i="1"/>
  <c r="BE4" i="1"/>
  <c r="BE5" i="1"/>
  <c r="BE115" i="1"/>
  <c r="BE109" i="1"/>
  <c r="DV7" i="1"/>
  <c r="BC5" i="1"/>
  <c r="BC121" i="1"/>
  <c r="BC3" i="1"/>
  <c r="BC116" i="1"/>
  <c r="BC4" i="1"/>
  <c r="BC115" i="1"/>
  <c r="BC110" i="1"/>
  <c r="BC109" i="1"/>
  <c r="DY27" i="1"/>
  <c r="BF135" i="1"/>
  <c r="BK192" i="1"/>
  <c r="BI156" i="1"/>
  <c r="DY40" i="1"/>
  <c r="BF148" i="1"/>
  <c r="BO139" i="1"/>
  <c r="BO196" i="1"/>
  <c r="DZ23" i="1"/>
  <c r="BG131" i="1"/>
  <c r="BM188" i="1"/>
  <c r="EF86" i="1"/>
  <c r="L86" i="48"/>
  <c r="N86" i="48" s="1"/>
  <c r="DZ44" i="1"/>
  <c r="BG152" i="1"/>
  <c r="BO190" i="1"/>
  <c r="EA89" i="1"/>
  <c r="BH197" i="1"/>
  <c r="BL214" i="1"/>
  <c r="DY65" i="1"/>
  <c r="BF173" i="1"/>
  <c r="DY41" i="1"/>
  <c r="BF149" i="1"/>
  <c r="BQ146" i="1"/>
  <c r="BO153" i="1"/>
  <c r="DW77" i="1"/>
  <c r="BD185" i="1"/>
  <c r="BD128" i="1"/>
  <c r="DW20" i="1"/>
  <c r="DW59" i="1"/>
  <c r="BD167" i="1"/>
  <c r="BI140" i="1"/>
  <c r="DV85" i="1"/>
  <c r="BC193" i="1"/>
  <c r="BM191" i="1"/>
  <c r="BL168" i="1"/>
  <c r="DV11" i="1"/>
  <c r="BC119" i="1"/>
  <c r="BM179" i="1"/>
  <c r="BO134" i="1"/>
  <c r="EA47" i="1"/>
  <c r="BH155" i="1"/>
  <c r="BK187" i="1"/>
  <c r="BP145" i="1"/>
  <c r="DV102" i="1"/>
  <c r="BC210" i="1"/>
  <c r="BM158" i="1"/>
  <c r="DY19" i="1"/>
  <c r="BF127" i="1"/>
  <c r="BJ127" i="1"/>
  <c r="BK147" i="1"/>
  <c r="BJ189" i="1"/>
  <c r="BI142" i="1"/>
  <c r="BL213" i="1"/>
  <c r="DV21" i="1"/>
  <c r="BC129" i="1"/>
  <c r="DZ80" i="1"/>
  <c r="BG188" i="1"/>
  <c r="BM208" i="1"/>
  <c r="ED91" i="1"/>
  <c r="L91" i="48"/>
  <c r="N91" i="48" s="1"/>
  <c r="BM118" i="1"/>
  <c r="BN211" i="1"/>
  <c r="BN125" i="1"/>
  <c r="BB194" i="1"/>
  <c r="DU86" i="1"/>
  <c r="DU61" i="1"/>
  <c r="BB169" i="1"/>
  <c r="L57" i="48"/>
  <c r="N57" i="48" s="1"/>
  <c r="EF57" i="1"/>
  <c r="L64" i="48"/>
  <c r="N64" i="48" s="1"/>
  <c r="EA54" i="1"/>
  <c r="BH162" i="1"/>
  <c r="BO176" i="1"/>
  <c r="BJ141" i="1"/>
  <c r="BI207" i="1"/>
  <c r="BO163" i="1"/>
  <c r="DZ22" i="1"/>
  <c r="BG130" i="1"/>
  <c r="BI122" i="1"/>
  <c r="BO166" i="1"/>
  <c r="DZ35" i="1"/>
  <c r="BG143" i="1"/>
  <c r="DU15" i="1"/>
  <c r="BB123" i="1"/>
  <c r="L76" i="48"/>
  <c r="N76" i="48" s="1"/>
  <c r="BL171" i="1"/>
  <c r="BJ151" i="1"/>
  <c r="BN206" i="1"/>
  <c r="EF53" i="1"/>
  <c r="L53" i="48"/>
  <c r="N53" i="48" s="1"/>
  <c r="BN170" i="1"/>
  <c r="BO177" i="1"/>
  <c r="BO195" i="1"/>
  <c r="DX75" i="1"/>
  <c r="BE183" i="1"/>
  <c r="L12" i="48"/>
  <c r="N12" i="48" s="1"/>
  <c r="CK15" i="1"/>
  <c r="DM10" i="1"/>
  <c r="CQ8" i="1"/>
  <c r="DW74" i="1"/>
  <c r="BD182" i="1"/>
  <c r="DX49" i="1"/>
  <c r="BE157" i="1"/>
  <c r="BN205" i="1"/>
  <c r="DM8" i="1"/>
  <c r="L70" i="48"/>
  <c r="N70" i="48" s="1"/>
  <c r="EA18" i="1"/>
  <c r="BH126" i="1"/>
  <c r="DZ46" i="1"/>
  <c r="BG154" i="1"/>
  <c r="BD44" i="30"/>
  <c r="L24" i="48"/>
  <c r="N24" i="48" s="1"/>
  <c r="EF24" i="1"/>
  <c r="BJ133" i="1"/>
  <c r="BM181" i="1"/>
  <c r="BN201" i="1"/>
  <c r="DV36" i="1"/>
  <c r="BC144" i="1"/>
  <c r="BK117" i="1"/>
  <c r="DW28" i="1"/>
  <c r="BD136" i="1"/>
  <c r="DV67" i="1"/>
  <c r="BC175" i="1"/>
  <c r="DW29" i="1"/>
  <c r="BD137" i="1"/>
  <c r="BD209" i="1"/>
  <c r="DW101" i="1"/>
  <c r="BF55" i="30"/>
  <c r="DW42" i="1"/>
  <c r="BD150" i="1"/>
  <c r="BM198" i="1"/>
  <c r="DW92" i="1"/>
  <c r="BD200" i="1"/>
  <c r="BM203" i="1"/>
  <c r="DY7" i="1"/>
  <c r="BF3" i="1"/>
  <c r="BF5" i="1"/>
  <c r="BF110" i="1"/>
  <c r="BF109" i="1"/>
  <c r="BF4" i="1"/>
  <c r="BF121" i="1"/>
  <c r="BF115" i="1"/>
  <c r="BF116" i="1"/>
  <c r="BS110" i="1"/>
  <c r="BS111" i="1" s="1"/>
  <c r="BS4" i="1"/>
  <c r="BS3" i="1"/>
  <c r="DZ27" i="1"/>
  <c r="BG135" i="1"/>
  <c r="BM192" i="1"/>
  <c r="BN156" i="1"/>
  <c r="DZ40" i="1"/>
  <c r="BG148" i="1"/>
  <c r="BP139" i="1"/>
  <c r="BE51" i="30"/>
  <c r="BD60" i="30"/>
  <c r="EA66" i="1"/>
  <c r="BH174" i="1"/>
  <c r="BL119" i="1"/>
  <c r="BJ147" i="1"/>
  <c r="EA34" i="1"/>
  <c r="BH142" i="1"/>
  <c r="DU21" i="1"/>
  <c r="BB129" i="1"/>
  <c r="DX100" i="1"/>
  <c r="BE208" i="1"/>
  <c r="BJ118" i="1"/>
  <c r="BL211" i="1"/>
  <c r="BJ169" i="1"/>
  <c r="BN138" i="1"/>
  <c r="BP152" i="1"/>
  <c r="L82" i="48"/>
  <c r="N82" i="48" s="1"/>
  <c r="BI197" i="1"/>
  <c r="BO138" i="1"/>
  <c r="BO174" i="1"/>
  <c r="BM214" i="1"/>
  <c r="DZ65" i="1"/>
  <c r="BG173" i="1"/>
  <c r="DZ41" i="1"/>
  <c r="BG149" i="1"/>
  <c r="DV38" i="1"/>
  <c r="BC146" i="1"/>
  <c r="BE153" i="1"/>
  <c r="DX45" i="1"/>
  <c r="DY77" i="1"/>
  <c r="BF185" i="1"/>
  <c r="BJ128" i="1"/>
  <c r="DY59" i="1"/>
  <c r="BF167" i="1"/>
  <c r="BJ140" i="1"/>
  <c r="DW85" i="1"/>
  <c r="BD193" i="1"/>
  <c r="L83" i="48"/>
  <c r="N83" i="48" s="1"/>
  <c r="BB204" i="1"/>
  <c r="DU96" i="1"/>
  <c r="BN119" i="1"/>
  <c r="L11" i="48"/>
  <c r="N11" i="48" s="1"/>
  <c r="DM11" i="1"/>
  <c r="ED11" i="1"/>
  <c r="CK7" i="1"/>
  <c r="BP134" i="1"/>
  <c r="BI155" i="1"/>
  <c r="BL187" i="1"/>
  <c r="BQ145" i="1"/>
  <c r="DW102" i="1"/>
  <c r="BD210" i="1"/>
  <c r="BN158" i="1"/>
  <c r="BQ127" i="1"/>
  <c r="L94" i="48"/>
  <c r="N94" i="48" s="1"/>
  <c r="CK19" i="1"/>
  <c r="EF94" i="1"/>
  <c r="BL147" i="1"/>
  <c r="BK189" i="1"/>
  <c r="BJ142" i="1"/>
  <c r="BM213" i="1"/>
  <c r="EA21" i="1"/>
  <c r="BH129" i="1"/>
  <c r="EA80" i="1"/>
  <c r="BH188" i="1"/>
  <c r="BN208" i="1"/>
  <c r="DU91" i="1"/>
  <c r="BB199" i="1"/>
  <c r="DW10" i="1"/>
  <c r="BD118" i="1"/>
  <c r="DY103" i="1"/>
  <c r="BF211" i="1"/>
  <c r="BO125" i="1"/>
  <c r="DV86" i="1"/>
  <c r="BC194" i="1"/>
  <c r="DV61" i="1"/>
  <c r="BC169" i="1"/>
  <c r="DU64" i="1"/>
  <c r="BB172" i="1"/>
  <c r="DV54" i="1"/>
  <c r="BC162" i="1"/>
  <c r="EA68" i="1"/>
  <c r="BH176" i="1"/>
  <c r="BL141" i="1"/>
  <c r="DV99" i="1"/>
  <c r="BC207" i="1"/>
  <c r="DZ55" i="1"/>
  <c r="BG163" i="1"/>
  <c r="EA22" i="1"/>
  <c r="BH130" i="1"/>
  <c r="DZ14" i="1"/>
  <c r="BG122" i="1"/>
  <c r="DZ58" i="1"/>
  <c r="BG166" i="1"/>
  <c r="DX35" i="1"/>
  <c r="BE143" i="1"/>
  <c r="DW15" i="1"/>
  <c r="BD123" i="1"/>
  <c r="BI184" i="1"/>
  <c r="DU63" i="1"/>
  <c r="BB171" i="1"/>
  <c r="BK151" i="1"/>
  <c r="CK21" i="1"/>
  <c r="L98" i="48"/>
  <c r="N98" i="48" s="1"/>
  <c r="EF98" i="1"/>
  <c r="DV53" i="1"/>
  <c r="BC161" i="1"/>
  <c r="DY51" i="1"/>
  <c r="BF159" i="1"/>
  <c r="EA72" i="1"/>
  <c r="BH180" i="1"/>
  <c r="BK124" i="1"/>
  <c r="DZ12" i="1"/>
  <c r="BG120" i="1"/>
  <c r="BJ120" i="1"/>
  <c r="BJ157" i="1"/>
  <c r="BO205" i="1"/>
  <c r="BO110" i="1"/>
  <c r="BO178" i="1"/>
  <c r="BM126" i="1"/>
  <c r="BH154" i="1"/>
  <c r="EA46" i="1"/>
  <c r="BN132" i="1"/>
  <c r="BE62" i="30"/>
  <c r="BQ133" i="1"/>
  <c r="BO181" i="1"/>
  <c r="BC61" i="30"/>
  <c r="DW36" i="1"/>
  <c r="BD144" i="1"/>
  <c r="BL117" i="1"/>
  <c r="DX28" i="1"/>
  <c r="BE136" i="1"/>
  <c r="DW67" i="1"/>
  <c r="BD175" i="1"/>
  <c r="DX29" i="1"/>
  <c r="BE137" i="1"/>
  <c r="DX101" i="1"/>
  <c r="BE209" i="1"/>
  <c r="BC49" i="30"/>
  <c r="DX42" i="1"/>
  <c r="BE150" i="1"/>
  <c r="BN198" i="1"/>
  <c r="BE200" i="1"/>
  <c r="DX92" i="1"/>
  <c r="BN203" i="1"/>
  <c r="DZ7" i="1"/>
  <c r="BG116" i="1"/>
  <c r="BG3" i="1"/>
  <c r="BG121" i="1"/>
  <c r="BG5" i="1"/>
  <c r="BG110" i="1"/>
  <c r="BG115" i="1"/>
  <c r="BG4" i="1"/>
  <c r="BG109" i="1"/>
  <c r="DW7" i="1"/>
  <c r="BD116" i="1"/>
  <c r="BD115" i="1"/>
  <c r="BD3" i="1"/>
  <c r="BD110" i="1"/>
  <c r="BD109" i="1"/>
  <c r="BD5" i="1"/>
  <c r="BD121" i="1"/>
  <c r="BD4" i="1"/>
  <c r="BN135" i="1"/>
  <c r="BB192" i="1"/>
  <c r="DU84" i="1"/>
  <c r="BO156" i="1"/>
  <c r="BL148" i="1"/>
  <c r="EF31" i="1"/>
  <c r="L31" i="48"/>
  <c r="N31" i="48" s="1"/>
  <c r="DX88" i="1"/>
  <c r="BE196" i="1"/>
  <c r="BF54" i="30"/>
  <c r="EF23" i="1"/>
  <c r="L23" i="48"/>
  <c r="N23" i="48" s="1"/>
  <c r="EA41" i="1"/>
  <c r="BH149" i="1"/>
  <c r="DW38" i="1"/>
  <c r="BD146" i="1"/>
  <c r="BC124" i="1"/>
  <c r="DY45" i="1"/>
  <c r="BF153" i="1"/>
  <c r="BN185" i="1"/>
  <c r="BK128" i="1"/>
  <c r="BN167" i="1"/>
  <c r="BL140" i="1"/>
  <c r="DX85" i="1"/>
  <c r="BE193" i="1"/>
  <c r="DZ83" i="1"/>
  <c r="BG191" i="1"/>
  <c r="DV96" i="1"/>
  <c r="BC204" i="1"/>
  <c r="DY60" i="1"/>
  <c r="BF168" i="1"/>
  <c r="BP119" i="1"/>
  <c r="DU71" i="1"/>
  <c r="BB179" i="1"/>
  <c r="BN134" i="1"/>
  <c r="BJ155" i="1"/>
  <c r="BM187" i="1"/>
  <c r="L37" i="48"/>
  <c r="N37" i="48" s="1"/>
  <c r="ED37" i="1"/>
  <c r="DX102" i="1"/>
  <c r="BE210" i="1"/>
  <c r="BO158" i="1"/>
  <c r="DU19" i="1"/>
  <c r="BB127" i="1"/>
  <c r="BI202" i="1"/>
  <c r="DZ56" i="1"/>
  <c r="BG164" i="1"/>
  <c r="DX39" i="1"/>
  <c r="BE147" i="1"/>
  <c r="DV81" i="1"/>
  <c r="BC189" i="1"/>
  <c r="BK142" i="1"/>
  <c r="BN213" i="1"/>
  <c r="BI129" i="1"/>
  <c r="BI188" i="1"/>
  <c r="BI208" i="1"/>
  <c r="BJ199" i="1"/>
  <c r="DY10" i="1"/>
  <c r="BF118" i="1"/>
  <c r="DZ103" i="1"/>
  <c r="BG211" i="1"/>
  <c r="BP125" i="1"/>
  <c r="DW86" i="1"/>
  <c r="BD194" i="1"/>
  <c r="BD169" i="1"/>
  <c r="DW61" i="1"/>
  <c r="DV64" i="1"/>
  <c r="BC172" i="1"/>
  <c r="BD162" i="1"/>
  <c r="DW54" i="1"/>
  <c r="BJ176" i="1"/>
  <c r="DV33" i="1"/>
  <c r="BC141" i="1"/>
  <c r="DW99" i="1"/>
  <c r="BD207" i="1"/>
  <c r="BJ163" i="1"/>
  <c r="BK130" i="1"/>
  <c r="BJ122" i="1"/>
  <c r="EA58" i="1"/>
  <c r="BH166" i="1"/>
  <c r="EA35" i="1"/>
  <c r="BH143" i="1"/>
  <c r="DV15" i="1"/>
  <c r="BC123" i="1"/>
  <c r="BJ184" i="1"/>
  <c r="DV63" i="1"/>
  <c r="BC171" i="1"/>
  <c r="BO151" i="1"/>
  <c r="BE124" i="1"/>
  <c r="BL161" i="1"/>
  <c r="DZ62" i="1"/>
  <c r="BG170" i="1"/>
  <c r="BN159" i="1"/>
  <c r="BI180" i="1"/>
  <c r="DV104" i="1"/>
  <c r="BC212" i="1"/>
  <c r="DZ69" i="1"/>
  <c r="BG177" i="1"/>
  <c r="DW52" i="1"/>
  <c r="BD160" i="1"/>
  <c r="DY87" i="1"/>
  <c r="BF195" i="1"/>
  <c r="DU75" i="1"/>
  <c r="BB183" i="1"/>
  <c r="BD124" i="1"/>
  <c r="DU12" i="1"/>
  <c r="BB120" i="1"/>
  <c r="BN182" i="1"/>
  <c r="BL157" i="1"/>
  <c r="BL173" i="1"/>
  <c r="BL178" i="1"/>
  <c r="BO126" i="1"/>
  <c r="BI154" i="1"/>
  <c r="BO132" i="1"/>
  <c r="DU25" i="1"/>
  <c r="BB133" i="1"/>
  <c r="DV25" i="1"/>
  <c r="BC133" i="1"/>
  <c r="L73" i="48"/>
  <c r="N73" i="48" s="1"/>
  <c r="EF73" i="1"/>
  <c r="BM144" i="1"/>
  <c r="BJ144" i="1"/>
  <c r="BM117" i="1"/>
  <c r="DZ28" i="1"/>
  <c r="BG136" i="1"/>
  <c r="DX67" i="1"/>
  <c r="BE175" i="1"/>
  <c r="DY29" i="1"/>
  <c r="BF137" i="1"/>
  <c r="DY101" i="1"/>
  <c r="BF209" i="1"/>
  <c r="BE41" i="30"/>
  <c r="DZ42" i="1"/>
  <c r="BG150" i="1"/>
  <c r="BO198" i="1"/>
  <c r="DZ92" i="1"/>
  <c r="BG200" i="1"/>
  <c r="L95" i="48"/>
  <c r="N95" i="48" s="1"/>
  <c r="BU3" i="1"/>
  <c r="BU4" i="1"/>
  <c r="BU110" i="1"/>
  <c r="BU111" i="1" s="1"/>
  <c r="BT110" i="1"/>
  <c r="BT111" i="1" s="1"/>
  <c r="BT3" i="1"/>
  <c r="BT4" i="1"/>
  <c r="BO135" i="1"/>
  <c r="DV84" i="1"/>
  <c r="BC192" i="1"/>
  <c r="L48" i="48"/>
  <c r="N48" i="48" s="1"/>
  <c r="BM148" i="1"/>
  <c r="DU31" i="1"/>
  <c r="BB139" i="1"/>
  <c r="DY88" i="1"/>
  <c r="BF196" i="1"/>
  <c r="BD55" i="30"/>
  <c r="DV23" i="1"/>
  <c r="BC131" i="1"/>
  <c r="DZ82" i="1"/>
  <c r="BG190" i="1"/>
  <c r="DU20" i="1"/>
  <c r="BB128" i="1"/>
  <c r="BN155" i="1"/>
  <c r="BM173" i="1"/>
  <c r="DX41" i="1"/>
  <c r="BE149" i="1"/>
  <c r="DX38" i="1"/>
  <c r="BE146" i="1"/>
  <c r="DZ45" i="1"/>
  <c r="BG153" i="1"/>
  <c r="L77" i="48"/>
  <c r="N77" i="48" s="1"/>
  <c r="EF77" i="1"/>
  <c r="L20" i="48"/>
  <c r="N20" i="48" s="1"/>
  <c r="BO167" i="1"/>
  <c r="BM140" i="1"/>
  <c r="BI191" i="1"/>
  <c r="DW96" i="1"/>
  <c r="BD204" i="1"/>
  <c r="BI168" i="1"/>
  <c r="DU11" i="1"/>
  <c r="BB119" i="1"/>
  <c r="DV71" i="1"/>
  <c r="BC179" i="1"/>
  <c r="DU26" i="1"/>
  <c r="BB134" i="1"/>
  <c r="BL155" i="1"/>
  <c r="BN187" i="1"/>
  <c r="DV37" i="1"/>
  <c r="BC145" i="1"/>
  <c r="DY102" i="1"/>
  <c r="BF210" i="1"/>
  <c r="EF50" i="1"/>
  <c r="L50" i="48"/>
  <c r="N50" i="48" s="1"/>
  <c r="CK14" i="1"/>
  <c r="DX19" i="1"/>
  <c r="BE127" i="1"/>
  <c r="BJ202" i="1"/>
  <c r="EA56" i="1"/>
  <c r="BH164" i="1"/>
  <c r="BI147" i="1"/>
  <c r="DX81" i="1"/>
  <c r="BE189" i="1"/>
  <c r="BM142" i="1"/>
  <c r="BG213" i="1"/>
  <c r="DZ105" i="1"/>
  <c r="DZ21" i="1"/>
  <c r="BG129" i="1"/>
  <c r="BJ188" i="1"/>
  <c r="BJ208" i="1"/>
  <c r="BK199" i="1"/>
  <c r="DZ10" i="1"/>
  <c r="BG118" i="1"/>
  <c r="EA103" i="1"/>
  <c r="BH211" i="1"/>
  <c r="BQ125" i="1"/>
  <c r="BE194" i="1"/>
  <c r="DX86" i="1"/>
  <c r="DX61" i="1"/>
  <c r="BE169" i="1"/>
  <c r="EA57" i="1"/>
  <c r="BH165" i="1"/>
  <c r="BG124" i="1"/>
  <c r="DW64" i="1"/>
  <c r="BD172" i="1"/>
  <c r="BK176" i="1"/>
  <c r="DW33" i="1"/>
  <c r="BD141" i="1"/>
  <c r="DX99" i="1"/>
  <c r="BE207" i="1"/>
  <c r="BK163" i="1"/>
  <c r="DU22" i="1"/>
  <c r="BB130" i="1"/>
  <c r="BK122" i="1"/>
  <c r="BI166" i="1"/>
  <c r="BI143" i="1"/>
  <c r="DX15" i="1"/>
  <c r="BE123" i="1"/>
  <c r="BK184" i="1"/>
  <c r="DW63" i="1"/>
  <c r="BD171" i="1"/>
  <c r="BP151" i="1"/>
  <c r="BM161" i="1"/>
  <c r="BI170" i="1"/>
  <c r="L51" i="48"/>
  <c r="N51" i="48" s="1"/>
  <c r="EF51" i="1"/>
  <c r="BJ180" i="1"/>
  <c r="BK212" i="1"/>
  <c r="EA69" i="1"/>
  <c r="BH177" i="1"/>
  <c r="DY52" i="1"/>
  <c r="BF160" i="1"/>
  <c r="DZ87" i="1"/>
  <c r="BG195" i="1"/>
  <c r="BJ183" i="1"/>
  <c r="DW12" i="1"/>
  <c r="BD120" i="1"/>
  <c r="BO182" i="1"/>
  <c r="BM157" i="1"/>
  <c r="DW97" i="1"/>
  <c r="BD205" i="1"/>
  <c r="BJ131" i="1"/>
  <c r="BJ178" i="1"/>
  <c r="DX18" i="1"/>
  <c r="BE126" i="1"/>
  <c r="BM154" i="1"/>
  <c r="BP132" i="1"/>
  <c r="EA25" i="1"/>
  <c r="BH133" i="1"/>
  <c r="BB52" i="30"/>
  <c r="DW93" i="1"/>
  <c r="BD201" i="1"/>
  <c r="BN144" i="1"/>
  <c r="BQ117" i="1"/>
  <c r="EA28" i="1"/>
  <c r="BH136" i="1"/>
  <c r="DY67" i="1"/>
  <c r="BF175" i="1"/>
  <c r="EA29" i="1"/>
  <c r="BH137" i="1"/>
  <c r="EA101" i="1"/>
  <c r="BH209" i="1"/>
  <c r="BO124" i="1"/>
  <c r="EA42" i="1"/>
  <c r="BH150" i="1"/>
  <c r="L90" i="48"/>
  <c r="N90" i="48" s="1"/>
  <c r="CK23" i="1"/>
  <c r="L92" i="48"/>
  <c r="N92" i="48" s="1"/>
  <c r="EF92" i="1"/>
  <c r="DU95" i="1"/>
  <c r="BB203" i="1"/>
  <c r="BI3" i="1"/>
  <c r="BI109" i="1"/>
  <c r="BI5" i="1"/>
  <c r="BI115" i="1"/>
  <c r="BI121" i="1"/>
  <c r="BI116" i="1"/>
  <c r="BI110" i="1"/>
  <c r="EA7" i="1"/>
  <c r="BH109" i="1"/>
  <c r="BH110" i="1"/>
  <c r="BH121" i="1"/>
  <c r="BH115" i="1"/>
  <c r="BH4" i="1"/>
  <c r="BH3" i="1"/>
  <c r="BH5" i="1"/>
  <c r="BH116" i="1"/>
  <c r="BP135" i="1"/>
  <c r="DW84" i="1"/>
  <c r="BD192" i="1"/>
  <c r="BJ156" i="1"/>
  <c r="BN148" i="1"/>
  <c r="EA31" i="1"/>
  <c r="BH139" i="1"/>
  <c r="DZ88" i="1"/>
  <c r="BG196" i="1"/>
  <c r="BF48" i="30"/>
  <c r="L30" i="48"/>
  <c r="N30" i="48" s="1"/>
  <c r="BK146" i="1"/>
  <c r="EA45" i="1"/>
  <c r="BH153" i="1"/>
  <c r="L59" i="48"/>
  <c r="N59" i="48" s="1"/>
  <c r="EF59" i="1"/>
  <c r="BN140" i="1"/>
  <c r="DZ19" i="1"/>
  <c r="BG127" i="1"/>
  <c r="DY81" i="1"/>
  <c r="BF189" i="1"/>
  <c r="BI213" i="1"/>
  <c r="BJ129" i="1"/>
  <c r="DU80" i="1"/>
  <c r="BB188" i="1"/>
  <c r="BK208" i="1"/>
  <c r="DY91" i="1"/>
  <c r="BF199" i="1"/>
  <c r="EA10" i="1"/>
  <c r="BH118" i="1"/>
  <c r="BI211" i="1"/>
  <c r="DV17" i="1"/>
  <c r="BC125" i="1"/>
  <c r="DZ86" i="1"/>
  <c r="BG194" i="1"/>
  <c r="DY61" i="1"/>
  <c r="BF169" i="1"/>
  <c r="BJ165" i="1"/>
  <c r="BL176" i="1"/>
  <c r="DX33" i="1"/>
  <c r="BE141" i="1"/>
  <c r="BN122" i="1"/>
  <c r="EF15" i="1"/>
  <c r="L15" i="48"/>
  <c r="N15" i="48" s="1"/>
  <c r="CC15" i="1"/>
  <c r="BN161" i="1"/>
  <c r="EA87" i="1"/>
  <c r="BH195" i="1"/>
  <c r="DX12" i="1"/>
  <c r="BE120" i="1"/>
  <c r="L74" i="48"/>
  <c r="N74" i="48" s="1"/>
  <c r="CC74" i="1"/>
  <c r="BN157" i="1"/>
  <c r="BE205" i="1"/>
  <c r="DX97" i="1"/>
  <c r="BN3" i="1"/>
  <c r="BN178" i="1"/>
  <c r="DV24" i="1"/>
  <c r="BC132" i="1"/>
  <c r="BO144" i="1"/>
  <c r="BJ136" i="1"/>
  <c r="EA67" i="1"/>
  <c r="BH175" i="1"/>
  <c r="BN137" i="1"/>
  <c r="BI150" i="1"/>
  <c r="DX90" i="1"/>
  <c r="BE198" i="1"/>
  <c r="EA95" i="1"/>
  <c r="BH203" i="1"/>
  <c r="BJ121" i="1"/>
  <c r="BJ109" i="1"/>
  <c r="BJ115" i="1"/>
  <c r="BJ5" i="1"/>
  <c r="BJ3" i="1"/>
  <c r="BJ110" i="1"/>
  <c r="BJ116" i="1"/>
  <c r="BJ4" i="1"/>
  <c r="BX110" i="1"/>
  <c r="BX111" i="1" s="1"/>
  <c r="BX4" i="1"/>
  <c r="BX3" i="1"/>
  <c r="BQ135" i="1"/>
  <c r="BL192" i="1"/>
  <c r="BK156" i="1"/>
  <c r="BO148" i="1"/>
  <c r="BI139" i="1"/>
  <c r="EA88" i="1"/>
  <c r="BH196" i="1"/>
  <c r="BN131" i="1"/>
  <c r="DX65" i="1"/>
  <c r="BE173" i="1"/>
  <c r="BL191" i="1"/>
  <c r="DY20" i="1"/>
  <c r="BF128" i="1"/>
  <c r="BJ191" i="1"/>
  <c r="DX96" i="1"/>
  <c r="BE204" i="1"/>
  <c r="DU60" i="1"/>
  <c r="BB168" i="1"/>
  <c r="DW11" i="1"/>
  <c r="BD119" i="1"/>
  <c r="DW71" i="1"/>
  <c r="BD179" i="1"/>
  <c r="ED26" i="1"/>
  <c r="L26" i="48"/>
  <c r="N26" i="48" s="1"/>
  <c r="CK13" i="1"/>
  <c r="DW47" i="1"/>
  <c r="BD155" i="1"/>
  <c r="DW79" i="1"/>
  <c r="BD187" i="1"/>
  <c r="BD145" i="1"/>
  <c r="DW37" i="1"/>
  <c r="DZ102" i="1"/>
  <c r="BG210" i="1"/>
  <c r="DV50" i="1"/>
  <c r="BC158" i="1"/>
  <c r="BK202" i="1"/>
  <c r="BI164" i="1"/>
  <c r="DU39" i="1"/>
  <c r="BB147" i="1"/>
  <c r="DW34" i="1"/>
  <c r="BD142" i="1"/>
  <c r="BF124" i="1"/>
  <c r="L22" i="48"/>
  <c r="N22" i="48" s="1"/>
  <c r="EF22" i="1"/>
  <c r="CK24" i="1"/>
  <c r="BJ166" i="1"/>
  <c r="BJ143" i="1"/>
  <c r="BL184" i="1"/>
  <c r="BE171" i="1"/>
  <c r="DX63" i="1"/>
  <c r="L43" i="48"/>
  <c r="N43" i="48" s="1"/>
  <c r="DY98" i="1"/>
  <c r="BF206" i="1"/>
  <c r="BK170" i="1"/>
  <c r="DU51" i="1"/>
  <c r="BB159" i="1"/>
  <c r="BK180" i="1"/>
  <c r="BL212" i="1"/>
  <c r="BI177" i="1"/>
  <c r="DZ52" i="1"/>
  <c r="BG160" i="1"/>
  <c r="BK183" i="1"/>
  <c r="DY18" i="1"/>
  <c r="BF126" i="1"/>
  <c r="BO154" i="1"/>
  <c r="BI133" i="1"/>
  <c r="DY73" i="1"/>
  <c r="BF181" i="1"/>
  <c r="DX93" i="1"/>
  <c r="BE201" i="1"/>
  <c r="DY9" i="1"/>
  <c r="BF117" i="1"/>
  <c r="EA9" i="1"/>
  <c r="BH117" i="1"/>
  <c r="L101" i="48"/>
  <c r="N101" i="48" s="1"/>
  <c r="BM152" i="1"/>
  <c r="BN190" i="1"/>
  <c r="BN197" i="1"/>
  <c r="DU30" i="1"/>
  <c r="BB138" i="1"/>
  <c r="DX66" i="1"/>
  <c r="BE174" i="1"/>
  <c r="DY78" i="1"/>
  <c r="BF186" i="1"/>
  <c r="BI214" i="1"/>
  <c r="DU65" i="1"/>
  <c r="BB173" i="1"/>
  <c r="BL149" i="1"/>
  <c r="BL146" i="1"/>
  <c r="BI153" i="1"/>
  <c r="BJ185" i="1"/>
  <c r="DX20" i="1"/>
  <c r="BE128" i="1"/>
  <c r="DU59" i="1"/>
  <c r="BB167" i="1"/>
  <c r="BO140" i="1"/>
  <c r="DU85" i="1"/>
  <c r="BB193" i="1"/>
  <c r="BK191" i="1"/>
  <c r="DZ96" i="1"/>
  <c r="BG204" i="1"/>
  <c r="DV60" i="1"/>
  <c r="BC168" i="1"/>
  <c r="DX11" i="1"/>
  <c r="BE119" i="1"/>
  <c r="DX71" i="1"/>
  <c r="BE179" i="1"/>
  <c r="BI36" i="30"/>
  <c r="BI37" i="30" s="1"/>
  <c r="BI38" i="30" s="1"/>
  <c r="BI33" i="30" s="1"/>
  <c r="BI66" i="30"/>
  <c r="BI67" i="30" s="1"/>
  <c r="BI68" i="30" s="1"/>
  <c r="DX26" i="1"/>
  <c r="BE134" i="1"/>
  <c r="DX47" i="1"/>
  <c r="BE155" i="1"/>
  <c r="DX79" i="1"/>
  <c r="BE187" i="1"/>
  <c r="DX37" i="1"/>
  <c r="BE145" i="1"/>
  <c r="EA102" i="1"/>
  <c r="BH210" i="1"/>
  <c r="DW50" i="1"/>
  <c r="BD158" i="1"/>
  <c r="EA19" i="1"/>
  <c r="BH127" i="1"/>
  <c r="BL202" i="1"/>
  <c r="BK164" i="1"/>
  <c r="DV39" i="1"/>
  <c r="BC147" i="1"/>
  <c r="DZ81" i="1"/>
  <c r="BG189" i="1"/>
  <c r="DX34" i="1"/>
  <c r="BE142" i="1"/>
  <c r="BJ213" i="1"/>
  <c r="BK129" i="1"/>
  <c r="L80" i="48"/>
  <c r="N80" i="48" s="1"/>
  <c r="EF80" i="1"/>
  <c r="CK22" i="1"/>
  <c r="CC80" i="1"/>
  <c r="BL208" i="1"/>
  <c r="DZ91" i="1"/>
  <c r="BG199" i="1"/>
  <c r="BI118" i="1"/>
  <c r="BB211" i="1"/>
  <c r="DU103" i="1"/>
  <c r="DX17" i="1"/>
  <c r="BE125" i="1"/>
  <c r="BK194" i="1"/>
  <c r="BN169" i="1"/>
  <c r="BL165" i="1"/>
  <c r="BE47" i="30"/>
  <c r="EF33" i="1"/>
  <c r="L33" i="48"/>
  <c r="N33" i="48" s="1"/>
  <c r="DV55" i="1"/>
  <c r="BC163" i="1"/>
  <c r="BO130" i="1"/>
  <c r="BB59" i="30"/>
  <c r="DX14" i="1"/>
  <c r="BE122" i="1"/>
  <c r="DU58" i="1"/>
  <c r="BB166" i="1"/>
  <c r="BL143" i="1"/>
  <c r="DY15" i="1"/>
  <c r="BF123" i="1"/>
  <c r="DW76" i="1"/>
  <c r="BD184" i="1"/>
  <c r="BM171" i="1"/>
  <c r="BL151" i="1"/>
  <c r="DZ98" i="1"/>
  <c r="BG206" i="1"/>
  <c r="BP161" i="1"/>
  <c r="DV62" i="1"/>
  <c r="BC170" i="1"/>
  <c r="DV51" i="1"/>
  <c r="BC159" i="1"/>
  <c r="BM180" i="1"/>
  <c r="BM212" i="1"/>
  <c r="BJ177" i="1"/>
  <c r="EA52" i="1"/>
  <c r="BH160" i="1"/>
  <c r="BI195" i="1"/>
  <c r="BL183" i="1"/>
  <c r="BC43" i="30"/>
  <c r="DY12" i="1"/>
  <c r="BF120" i="1"/>
  <c r="BI182" i="1"/>
  <c r="BO157" i="1"/>
  <c r="DY97" i="1"/>
  <c r="BF205" i="1"/>
  <c r="BI4" i="1"/>
  <c r="BI178" i="1"/>
  <c r="BI126" i="1"/>
  <c r="BJ154" i="1"/>
  <c r="BI132" i="1"/>
  <c r="BK133" i="1"/>
  <c r="DZ73" i="1"/>
  <c r="BG181" i="1"/>
  <c r="DY93" i="1"/>
  <c r="BF201" i="1"/>
  <c r="BP144" i="1"/>
  <c r="DZ9" i="1"/>
  <c r="BG117" i="1"/>
  <c r="BJ117" i="1"/>
  <c r="BP136" i="1"/>
  <c r="BL175" i="1"/>
  <c r="BO137" i="1"/>
  <c r="DU101" i="1"/>
  <c r="BB209" i="1"/>
  <c r="DU42" i="1"/>
  <c r="BB150" i="1"/>
  <c r="DY90" i="1"/>
  <c r="BF198" i="1"/>
  <c r="BL200" i="1"/>
  <c r="BI203" i="1"/>
  <c r="BK116" i="1"/>
  <c r="BK121" i="1"/>
  <c r="BK109" i="1"/>
  <c r="BK5" i="1"/>
  <c r="BK3" i="1"/>
  <c r="BK110" i="1"/>
  <c r="BK115" i="1"/>
  <c r="BK4" i="1"/>
  <c r="BO121" i="1"/>
  <c r="BO4" i="1"/>
  <c r="BO206" i="1"/>
  <c r="BO213" i="1"/>
  <c r="BO214" i="1"/>
  <c r="BO193" i="1"/>
  <c r="BO192" i="1"/>
  <c r="BO194" i="1"/>
  <c r="BO209" i="1"/>
  <c r="BO186" i="1"/>
  <c r="BO212" i="1"/>
  <c r="BO208" i="1"/>
  <c r="BO207" i="1"/>
  <c r="BO210" i="1"/>
  <c r="BO172" i="1"/>
  <c r="BO5" i="1"/>
  <c r="BO211" i="1"/>
  <c r="BO204" i="1"/>
  <c r="BO200" i="1"/>
  <c r="BO203" i="1"/>
  <c r="BO115" i="1"/>
  <c r="BO165" i="1"/>
  <c r="BO197" i="1"/>
  <c r="BO3" i="1"/>
  <c r="BO185" i="1"/>
  <c r="BO199" i="1"/>
  <c r="BO109" i="1"/>
  <c r="BO116" i="1"/>
  <c r="BO191" i="1"/>
  <c r="BO201" i="1"/>
  <c r="DW27" i="1"/>
  <c r="BD135" i="1"/>
  <c r="BN192" i="1"/>
  <c r="BL156" i="1"/>
  <c r="L40" i="48"/>
  <c r="N40" i="48" s="1"/>
  <c r="CC40" i="1"/>
  <c r="BK139" i="1"/>
  <c r="BI196" i="1"/>
  <c r="DU23" i="1"/>
  <c r="BB131" i="1"/>
  <c r="BD41" i="30"/>
  <c r="DY44" i="1"/>
  <c r="BF152" i="1"/>
  <c r="BK190" i="1"/>
  <c r="EF66" i="1"/>
  <c r="L66" i="48"/>
  <c r="N66" i="48" s="1"/>
  <c r="BM149" i="1"/>
  <c r="BK153" i="1"/>
  <c r="DV59" i="1"/>
  <c r="BC167" i="1"/>
  <c r="DY34" i="1"/>
  <c r="BF142" i="1"/>
  <c r="BK213" i="1"/>
  <c r="BN129" i="1"/>
  <c r="DW80" i="1"/>
  <c r="BD188" i="1"/>
  <c r="DW100" i="1"/>
  <c r="BD208" i="1"/>
  <c r="EA91" i="1"/>
  <c r="BH199" i="1"/>
  <c r="EF10" i="1"/>
  <c r="L10" i="48"/>
  <c r="N10" i="48" s="1"/>
  <c r="CK8" i="1"/>
  <c r="AU4" i="1"/>
  <c r="DM18" i="1"/>
  <c r="CZ8" i="1"/>
  <c r="CC10" i="1"/>
  <c r="DV103" i="1"/>
  <c r="BC211" i="1"/>
  <c r="DW17" i="1"/>
  <c r="BD125" i="1"/>
  <c r="BL194" i="1"/>
  <c r="BO169" i="1"/>
  <c r="BN165" i="1"/>
  <c r="BJ172" i="1"/>
  <c r="BJ162" i="1"/>
  <c r="DW68" i="1"/>
  <c r="BD176" i="1"/>
  <c r="DU33" i="1"/>
  <c r="BB141" i="1"/>
  <c r="DU99" i="1"/>
  <c r="BB207" i="1"/>
  <c r="DX55" i="1"/>
  <c r="BE163" i="1"/>
  <c r="BP130" i="1"/>
  <c r="DU14" i="1"/>
  <c r="BB122" i="1"/>
  <c r="BE166" i="1"/>
  <c r="DX58" i="1"/>
  <c r="DV35" i="1"/>
  <c r="BC143" i="1"/>
  <c r="DZ15" i="1"/>
  <c r="BG123" i="1"/>
  <c r="DY76" i="1"/>
  <c r="BF184" i="1"/>
  <c r="BO171" i="1"/>
  <c r="BM151" i="1"/>
  <c r="EA98" i="1"/>
  <c r="BH206" i="1"/>
  <c r="EA53" i="1"/>
  <c r="BH161" i="1"/>
  <c r="DW62" i="1"/>
  <c r="BD170" i="1"/>
  <c r="DW51" i="1"/>
  <c r="BD159" i="1"/>
  <c r="DX72" i="1"/>
  <c r="BE180" i="1"/>
  <c r="BN212" i="1"/>
  <c r="BL177" i="1"/>
  <c r="DV52" i="1"/>
  <c r="BC160" i="1"/>
  <c r="BJ195" i="1"/>
  <c r="BM183" i="1"/>
  <c r="BZ39" i="30"/>
  <c r="CB39" i="30" s="1"/>
  <c r="Q4" i="30"/>
  <c r="Q5" i="30" s="1"/>
  <c r="CB7" i="30"/>
  <c r="BZ35" i="30"/>
  <c r="BK120" i="1"/>
  <c r="BJ182" i="1"/>
  <c r="BP157" i="1"/>
  <c r="DZ97" i="1"/>
  <c r="BG205" i="1"/>
  <c r="BE59" i="30"/>
  <c r="DW70" i="1"/>
  <c r="BD178" i="1"/>
  <c r="BQ126" i="1"/>
  <c r="BK154" i="1"/>
  <c r="BJ132" i="1"/>
  <c r="BL133" i="1"/>
  <c r="EA73" i="1"/>
  <c r="BH181" i="1"/>
  <c r="DZ93" i="1"/>
  <c r="BG201" i="1"/>
  <c r="BQ144" i="1"/>
  <c r="BI117" i="1"/>
  <c r="BE49" i="30"/>
  <c r="BQ136" i="1"/>
  <c r="BM175" i="1"/>
  <c r="L29" i="48"/>
  <c r="N29" i="48" s="1"/>
  <c r="BL209" i="1"/>
  <c r="L42" i="48"/>
  <c r="N42" i="48" s="1"/>
  <c r="DM15" i="1"/>
  <c r="DZ90" i="1"/>
  <c r="BG198" i="1"/>
  <c r="BM200" i="1"/>
  <c r="BJ203" i="1"/>
  <c r="BL116" i="1"/>
  <c r="BL121" i="1"/>
  <c r="BL4" i="1"/>
  <c r="BL109" i="1"/>
  <c r="BL5" i="1"/>
  <c r="BL3" i="1"/>
  <c r="BL115" i="1"/>
  <c r="BL110" i="1"/>
  <c r="BE55" i="30"/>
  <c r="BK135" i="1"/>
  <c r="L84" i="48"/>
  <c r="N84" i="48" s="1"/>
  <c r="EF84" i="1"/>
  <c r="CC84" i="1"/>
  <c r="BM156" i="1"/>
  <c r="DU40" i="1"/>
  <c r="BB148" i="1"/>
  <c r="BL139" i="1"/>
  <c r="BJ196" i="1"/>
  <c r="EA23" i="1"/>
  <c r="BH131" i="1"/>
  <c r="BB44" i="30"/>
  <c r="DV77" i="1"/>
  <c r="BC185" i="1"/>
  <c r="BJ197" i="1"/>
  <c r="DV78" i="1"/>
  <c r="BC186" i="1"/>
  <c r="BL190" i="1"/>
  <c r="BM146" i="1"/>
  <c r="BK185" i="1"/>
  <c r="DZ20" i="1"/>
  <c r="BG128" i="1"/>
  <c r="BP140" i="1"/>
  <c r="BJ193" i="1"/>
  <c r="ED96" i="1"/>
  <c r="L96" i="48"/>
  <c r="N96" i="48" s="1"/>
  <c r="DW60" i="1"/>
  <c r="BD168" i="1"/>
  <c r="BJ119" i="1"/>
  <c r="DY71" i="1"/>
  <c r="BF179" i="1"/>
  <c r="BP124" i="1"/>
  <c r="BL134" i="1"/>
  <c r="DY47" i="1"/>
  <c r="BF155" i="1"/>
  <c r="DY79" i="1"/>
  <c r="BF187" i="1"/>
  <c r="DY37" i="1"/>
  <c r="BF145" i="1"/>
  <c r="BI210" i="1"/>
  <c r="BK158" i="1"/>
  <c r="BM202" i="1"/>
  <c r="DW39" i="1"/>
  <c r="BD147" i="1"/>
  <c r="BO152" i="1"/>
  <c r="EA82" i="1"/>
  <c r="BH190" i="1"/>
  <c r="DZ89" i="1"/>
  <c r="BG197" i="1"/>
  <c r="DX30" i="1"/>
  <c r="BE138" i="1"/>
  <c r="BN174" i="1"/>
  <c r="EA78" i="1"/>
  <c r="BH186" i="1"/>
  <c r="DV106" i="1"/>
  <c r="BC214" i="1"/>
  <c r="BN149" i="1"/>
  <c r="DY38" i="1"/>
  <c r="BF146" i="1"/>
  <c r="BE42" i="30"/>
  <c r="DU45" i="1"/>
  <c r="BB153" i="1"/>
  <c r="BL185" i="1"/>
  <c r="EA20" i="1"/>
  <c r="BH128" i="1"/>
  <c r="BJ167" i="1"/>
  <c r="DX32" i="1"/>
  <c r="BE140" i="1"/>
  <c r="BK193" i="1"/>
  <c r="BK204" i="1"/>
  <c r="DX60" i="1"/>
  <c r="BE168" i="1"/>
  <c r="BK119" i="1"/>
  <c r="DZ71" i="1"/>
  <c r="BG179" i="1"/>
  <c r="BM134" i="1"/>
  <c r="DZ47" i="1"/>
  <c r="BG155" i="1"/>
  <c r="DZ79" i="1"/>
  <c r="BG187" i="1"/>
  <c r="EA37" i="1"/>
  <c r="BH145" i="1"/>
  <c r="BK210" i="1"/>
  <c r="BL158" i="1"/>
  <c r="DW19" i="1"/>
  <c r="BD127" i="1"/>
  <c r="BN202" i="1"/>
  <c r="DV56" i="1"/>
  <c r="BC164" i="1"/>
  <c r="DY39" i="1"/>
  <c r="BF147" i="1"/>
  <c r="DU81" i="1"/>
  <c r="BB189" i="1"/>
  <c r="DV34" i="1"/>
  <c r="BC142" i="1"/>
  <c r="DW21" i="1"/>
  <c r="BD129" i="1"/>
  <c r="DX21" i="1"/>
  <c r="BE129" i="1"/>
  <c r="DX80" i="1"/>
  <c r="BE188" i="1"/>
  <c r="DY100" i="1"/>
  <c r="BF208" i="1"/>
  <c r="BI199" i="1"/>
  <c r="BO118" i="1"/>
  <c r="DW103" i="1"/>
  <c r="BD211" i="1"/>
  <c r="DY17" i="1"/>
  <c r="BF125" i="1"/>
  <c r="BM194" i="1"/>
  <c r="L61" i="48"/>
  <c r="N61" i="48" s="1"/>
  <c r="DY57" i="1"/>
  <c r="BF165" i="1"/>
  <c r="BK172" i="1"/>
  <c r="BL162" i="1"/>
  <c r="DU68" i="1"/>
  <c r="BB176" i="1"/>
  <c r="BK141" i="1"/>
  <c r="BJ207" i="1"/>
  <c r="DY55" i="1"/>
  <c r="BF163" i="1"/>
  <c r="DV22" i="1"/>
  <c r="BC130" i="1"/>
  <c r="DV14" i="1"/>
  <c r="BC122" i="1"/>
  <c r="BD43" i="30"/>
  <c r="DY58" i="1"/>
  <c r="BF166" i="1"/>
  <c r="DW35" i="1"/>
  <c r="BD143" i="1"/>
  <c r="BJ123" i="1"/>
  <c r="DZ76" i="1"/>
  <c r="BG184" i="1"/>
  <c r="L63" i="48"/>
  <c r="N63" i="48" s="1"/>
  <c r="EF63" i="1"/>
  <c r="BN151" i="1"/>
  <c r="BI206" i="1"/>
  <c r="BI161" i="1"/>
  <c r="DX62" i="1"/>
  <c r="BE170" i="1"/>
  <c r="DZ51" i="1"/>
  <c r="BG159" i="1"/>
  <c r="DY72" i="1"/>
  <c r="BF180" i="1"/>
  <c r="L104" i="48"/>
  <c r="N104" i="48" s="1"/>
  <c r="EF104" i="1"/>
  <c r="CC104" i="1"/>
  <c r="DW69" i="1"/>
  <c r="BD177" i="1"/>
  <c r="DX52" i="1"/>
  <c r="BE160" i="1"/>
  <c r="BL195" i="1"/>
  <c r="BN183" i="1"/>
  <c r="BG34" i="30"/>
  <c r="BG5" i="30"/>
  <c r="BG4" i="30"/>
  <c r="BG3" i="30"/>
  <c r="BG35" i="30"/>
  <c r="BG40" i="30"/>
  <c r="BQ120" i="1"/>
  <c r="BK182" i="1"/>
  <c r="BB157" i="1"/>
  <c r="DU49" i="1"/>
  <c r="EA97" i="1"/>
  <c r="BH205" i="1"/>
  <c r="BD49" i="30"/>
  <c r="DV70" i="1"/>
  <c r="BC178" i="1"/>
  <c r="DU18" i="1"/>
  <c r="BB126" i="1"/>
  <c r="BL154" i="1"/>
  <c r="BL132" i="1"/>
  <c r="BM133" i="1"/>
  <c r="BI181" i="1"/>
  <c r="EA93" i="1"/>
  <c r="BH201" i="1"/>
  <c r="BK144" i="1"/>
  <c r="BN117" i="1"/>
  <c r="BD64" i="30"/>
  <c r="BL136" i="1"/>
  <c r="BN175" i="1"/>
  <c r="BJ137" i="1"/>
  <c r="BM209" i="1"/>
  <c r="DY42" i="1"/>
  <c r="BF150" i="1"/>
  <c r="BH198" i="1"/>
  <c r="EA90" i="1"/>
  <c r="BN200" i="1"/>
  <c r="BK203" i="1"/>
  <c r="BM4" i="1"/>
  <c r="BM115" i="1"/>
  <c r="BM5" i="1"/>
  <c r="BM110" i="1"/>
  <c r="BM3" i="1"/>
  <c r="BM109" i="1"/>
  <c r="BM116" i="1"/>
  <c r="BM121" i="1"/>
  <c r="EA27" i="1"/>
  <c r="BH135" i="1"/>
  <c r="BM135" i="1"/>
  <c r="DX48" i="1"/>
  <c r="BE156" i="1"/>
  <c r="DX40" i="1"/>
  <c r="BE148" i="1"/>
  <c r="BM139" i="1"/>
  <c r="BK196" i="1"/>
  <c r="BI131" i="1"/>
  <c r="BF46" i="30"/>
  <c r="BM219" i="1" l="1"/>
  <c r="CC95" i="1"/>
  <c r="BD219" i="1"/>
  <c r="BL219" i="1"/>
  <c r="BF219" i="1"/>
  <c r="BC219" i="1"/>
  <c r="CC33" i="1"/>
  <c r="BH219" i="1"/>
  <c r="CC50" i="1"/>
  <c r="CC96" i="1"/>
  <c r="CC26" i="1"/>
  <c r="BJ219" i="1"/>
  <c r="CC30" i="1"/>
  <c r="CC14" i="1"/>
  <c r="CC63" i="1"/>
  <c r="CC90" i="1"/>
  <c r="BG219" i="1"/>
  <c r="BN2" i="1"/>
  <c r="BN107" i="1" s="1"/>
  <c r="BN219" i="1"/>
  <c r="BO219" i="1"/>
  <c r="CC43" i="1"/>
  <c r="CC20" i="1"/>
  <c r="CC70" i="1"/>
  <c r="CC91" i="1"/>
  <c r="CC53" i="1"/>
  <c r="CC86" i="1"/>
  <c r="CC36" i="1"/>
  <c r="BP219" i="1"/>
  <c r="BQ219" i="1"/>
  <c r="CC42" i="1"/>
  <c r="CC61" i="1"/>
  <c r="CC59" i="1"/>
  <c r="CC51" i="1"/>
  <c r="CC73" i="1"/>
  <c r="CC66" i="1"/>
  <c r="CC101" i="1"/>
  <c r="CC22" i="1"/>
  <c r="BI219" i="1"/>
  <c r="CC29" i="1"/>
  <c r="BK219" i="1"/>
  <c r="CC48" i="1"/>
  <c r="CC92" i="1"/>
  <c r="CC98" i="1"/>
  <c r="EB49" i="1"/>
  <c r="EJ49" i="1" s="1"/>
  <c r="EB68" i="1"/>
  <c r="EJ68" i="1" s="1"/>
  <c r="BM2" i="1"/>
  <c r="BM107" i="1" s="1"/>
  <c r="BQ2" i="1"/>
  <c r="BQ107" i="1" s="1"/>
  <c r="EB18" i="1"/>
  <c r="EJ18" i="1" s="1"/>
  <c r="CC94" i="1"/>
  <c r="BB2" i="30"/>
  <c r="BS2" i="30" s="1" a="1"/>
  <c r="BS2" i="30" s="1"/>
  <c r="BR2" i="30" s="1"/>
  <c r="EB75" i="1"/>
  <c r="EJ75" i="1" s="1"/>
  <c r="CC31" i="1"/>
  <c r="CC11" i="1"/>
  <c r="CC23" i="1"/>
  <c r="CC57" i="1"/>
  <c r="EB79" i="1"/>
  <c r="EJ79" i="1" s="1"/>
  <c r="EB41" i="1"/>
  <c r="EI41" i="1" s="1"/>
  <c r="CC17" i="1"/>
  <c r="EB74" i="1"/>
  <c r="EB90" i="1"/>
  <c r="EB45" i="1"/>
  <c r="EJ45" i="1" s="1"/>
  <c r="CC82" i="1"/>
  <c r="EB81" i="1"/>
  <c r="EJ81" i="1" s="1"/>
  <c r="BL2" i="1"/>
  <c r="BL107" i="1" s="1"/>
  <c r="CC37" i="1"/>
  <c r="EB64" i="1"/>
  <c r="EB61" i="1"/>
  <c r="CC105" i="1"/>
  <c r="CC35" i="1"/>
  <c r="CC21" i="1"/>
  <c r="EB25" i="1"/>
  <c r="CC77" i="1"/>
  <c r="CC83" i="1"/>
  <c r="EB99" i="1"/>
  <c r="EB101" i="1"/>
  <c r="CC24" i="1"/>
  <c r="CC12" i="1"/>
  <c r="CC76" i="1"/>
  <c r="CC64" i="1"/>
  <c r="BR2" i="1"/>
  <c r="CC25" i="1"/>
  <c r="EB33" i="1"/>
  <c r="EJ33" i="1" s="1"/>
  <c r="BE2" i="1"/>
  <c r="BE107" i="1" s="1"/>
  <c r="BI2" i="1"/>
  <c r="BI107" i="1" s="1"/>
  <c r="BO2" i="1"/>
  <c r="BO107" i="1" s="1"/>
  <c r="BK2" i="1"/>
  <c r="BK107" i="1" s="1"/>
  <c r="BB2" i="1"/>
  <c r="BH2" i="1"/>
  <c r="BF2" i="1"/>
  <c r="BF107" i="1" s="1"/>
  <c r="BG66" i="30"/>
  <c r="BG67" i="30" s="1"/>
  <c r="BG68" i="30" s="1"/>
  <c r="BG36" i="30"/>
  <c r="BG37" i="30" s="1"/>
  <c r="BG38" i="30" s="1"/>
  <c r="BG33" i="30" s="1"/>
  <c r="EB22" i="1"/>
  <c r="EJ22" i="1" s="1"/>
  <c r="EB19" i="1"/>
  <c r="EB106" i="1"/>
  <c r="CC81" i="1"/>
  <c r="CC100" i="1"/>
  <c r="EB77" i="1"/>
  <c r="EJ77" i="1" s="1"/>
  <c r="CC49" i="1"/>
  <c r="EB37" i="1"/>
  <c r="EI37" i="1" s="1"/>
  <c r="BC66" i="30"/>
  <c r="BC67" i="30" s="1"/>
  <c r="BC68" i="30" s="1"/>
  <c r="BC36" i="30"/>
  <c r="BC37" i="30" s="1"/>
  <c r="BC38" i="30" s="1"/>
  <c r="BC33" i="30" s="1"/>
  <c r="BG2" i="30"/>
  <c r="BG32" i="30" s="1"/>
  <c r="BK216" i="1"/>
  <c r="BK217" i="1" s="1"/>
  <c r="BK218" i="1" s="1"/>
  <c r="BK111" i="1"/>
  <c r="BK112" i="1" s="1"/>
  <c r="BK113" i="1" s="1"/>
  <c r="BK108" i="1" s="1"/>
  <c r="EB12" i="1"/>
  <c r="EB15" i="1"/>
  <c r="EJ15" i="1" s="1"/>
  <c r="BB216" i="1"/>
  <c r="BB217" i="1" s="1"/>
  <c r="BB218" i="1" s="1"/>
  <c r="BB111" i="1"/>
  <c r="BB112" i="1" s="1"/>
  <c r="BB113" i="1" s="1"/>
  <c r="BF2" i="30"/>
  <c r="BF32" i="30" s="1"/>
  <c r="CC69" i="1"/>
  <c r="BN216" i="1"/>
  <c r="BN217" i="1" s="1"/>
  <c r="BN218" i="1" s="1"/>
  <c r="BN111" i="1"/>
  <c r="BN112" i="1" s="1"/>
  <c r="BN113" i="1" s="1"/>
  <c r="BN108" i="1" s="1"/>
  <c r="EB54" i="1"/>
  <c r="EJ54" i="1" s="1"/>
  <c r="CC79" i="1"/>
  <c r="BD111" i="1"/>
  <c r="BD112" i="1" s="1"/>
  <c r="BD113" i="1" s="1"/>
  <c r="BD108" i="1" s="1"/>
  <c r="BD216" i="1"/>
  <c r="BD217" i="1" s="1"/>
  <c r="BD218" i="1" s="1"/>
  <c r="BB66" i="30"/>
  <c r="BB67" i="30" s="1"/>
  <c r="BB68" i="30" s="1"/>
  <c r="BB36" i="30"/>
  <c r="BB37" i="30" s="1"/>
  <c r="BB38" i="30" s="1"/>
  <c r="BB33" i="30" s="1"/>
  <c r="CC46" i="1"/>
  <c r="CC99" i="1"/>
  <c r="CC9" i="1"/>
  <c r="CC62" i="1"/>
  <c r="CC58" i="1"/>
  <c r="CC85" i="1"/>
  <c r="EB105" i="1"/>
  <c r="BC2" i="30"/>
  <c r="BC32" i="30" s="1"/>
  <c r="BD2" i="1"/>
  <c r="BD107" i="1" s="1"/>
  <c r="EB24" i="1"/>
  <c r="EJ24" i="1" s="1"/>
  <c r="BF66" i="30"/>
  <c r="BF67" i="30" s="1"/>
  <c r="BF68" i="30" s="1"/>
  <c r="BF36" i="30"/>
  <c r="BF37" i="30" s="1"/>
  <c r="BF38" i="30" s="1"/>
  <c r="BF33" i="30" s="1"/>
  <c r="EB17" i="1"/>
  <c r="EJ17" i="1" s="1"/>
  <c r="CC103" i="1"/>
  <c r="EB11" i="1"/>
  <c r="EI11" i="1" s="1"/>
  <c r="AC4" i="1"/>
  <c r="AD4" i="1" s="1"/>
  <c r="CB110" i="1"/>
  <c r="BZ116" i="1"/>
  <c r="CB116" i="1" s="1"/>
  <c r="EB52" i="1"/>
  <c r="EJ52" i="1" s="1"/>
  <c r="EB78" i="1"/>
  <c r="EI78" i="1" s="1"/>
  <c r="CC54" i="1"/>
  <c r="BJ216" i="1"/>
  <c r="BJ217" i="1" s="1"/>
  <c r="BJ218" i="1" s="1"/>
  <c r="BJ111" i="1"/>
  <c r="BJ112" i="1" s="1"/>
  <c r="BJ113" i="1" s="1"/>
  <c r="BJ108" i="1" s="1"/>
  <c r="BX1" i="1" a="1"/>
  <c r="BX1" i="1" s="1"/>
  <c r="BW1" i="1" s="1"/>
  <c r="H4" i="1" s="1"/>
  <c r="F17" i="31" s="1"/>
  <c r="BF111" i="1"/>
  <c r="BF112" i="1" s="1"/>
  <c r="BF113" i="1" s="1"/>
  <c r="BF108" i="1" s="1"/>
  <c r="BF216" i="1"/>
  <c r="BF217" i="1" s="1"/>
  <c r="BF218" i="1" s="1"/>
  <c r="EB86" i="1"/>
  <c r="EJ86" i="1" s="1"/>
  <c r="L7" i="48"/>
  <c r="AT4" i="1"/>
  <c r="CU8" i="1"/>
  <c r="CZ10" i="1"/>
  <c r="CB111" i="1"/>
  <c r="CD1" i="1" s="1"/>
  <c r="CU9" i="1"/>
  <c r="CZ13" i="1"/>
  <c r="CB112" i="1"/>
  <c r="F14" i="31" s="1"/>
  <c r="CQ10" i="1"/>
  <c r="CC7" i="1"/>
  <c r="DM20" i="1"/>
  <c r="CK27" i="1"/>
  <c r="DM19" i="1"/>
  <c r="DM14" i="1"/>
  <c r="CQ7" i="1"/>
  <c r="CB3" i="1"/>
  <c r="ED7" i="1"/>
  <c r="CK12" i="1"/>
  <c r="CB2" i="1"/>
  <c r="K4" i="1" s="1"/>
  <c r="F13" i="31" s="1"/>
  <c r="CC8" i="1"/>
  <c r="CB1" i="1"/>
  <c r="CC13" i="1"/>
  <c r="CC16" i="1"/>
  <c r="EB46" i="1"/>
  <c r="EB56" i="1"/>
  <c r="EJ56" i="1" s="1"/>
  <c r="CC27" i="1"/>
  <c r="EB47" i="1"/>
  <c r="EB65" i="1"/>
  <c r="EB51" i="1"/>
  <c r="EJ51" i="1" s="1"/>
  <c r="BJ2" i="1"/>
  <c r="BJ107" i="1" s="1"/>
  <c r="EB67" i="1"/>
  <c r="EB48" i="1"/>
  <c r="EB36" i="1"/>
  <c r="CC28" i="1"/>
  <c r="BS1" i="30" a="1"/>
  <c r="BS1" i="30" s="1"/>
  <c r="BR1" i="30" s="1"/>
  <c r="H3" i="30" s="1"/>
  <c r="G16" i="31" s="1"/>
  <c r="AZ1" i="30" a="1"/>
  <c r="EB10" i="1"/>
  <c r="EJ10" i="1" s="1"/>
  <c r="EB94" i="1"/>
  <c r="EJ94" i="1" s="1"/>
  <c r="CC106" i="1"/>
  <c r="EB28" i="1"/>
  <c r="EJ28" i="1" s="1"/>
  <c r="EB50" i="1"/>
  <c r="EJ50" i="1" s="1"/>
  <c r="EB72" i="1"/>
  <c r="CC88" i="1"/>
  <c r="EB70" i="1"/>
  <c r="EB89" i="1"/>
  <c r="BL216" i="1"/>
  <c r="BL217" i="1" s="1"/>
  <c r="BL218" i="1" s="1"/>
  <c r="BL111" i="1"/>
  <c r="BL112" i="1" s="1"/>
  <c r="BL113" i="1" s="1"/>
  <c r="BL108" i="1" s="1"/>
  <c r="CC34" i="1"/>
  <c r="EF3" i="1"/>
  <c r="EF5" i="1"/>
  <c r="CC97" i="1"/>
  <c r="EB87" i="1"/>
  <c r="CC19" i="1"/>
  <c r="CC72" i="1"/>
  <c r="EB26" i="1"/>
  <c r="EI26" i="1" s="1"/>
  <c r="BP111" i="1"/>
  <c r="BP112" i="1" s="1"/>
  <c r="BP113" i="1" s="1"/>
  <c r="BP108" i="1" s="1"/>
  <c r="BP216" i="1"/>
  <c r="BP217" i="1" s="1"/>
  <c r="BP218" i="1" s="1"/>
  <c r="CC45" i="1"/>
  <c r="EB14" i="1"/>
  <c r="EJ14" i="1" s="1"/>
  <c r="EB23" i="1"/>
  <c r="EJ23" i="1" s="1"/>
  <c r="EB76" i="1"/>
  <c r="EB80" i="1"/>
  <c r="EJ80" i="1" s="1"/>
  <c r="BH216" i="1"/>
  <c r="BH217" i="1" s="1"/>
  <c r="BH218" i="1" s="1"/>
  <c r="BH111" i="1"/>
  <c r="BH112" i="1" s="1"/>
  <c r="BH113" i="1" s="1"/>
  <c r="BH108" i="1" s="1"/>
  <c r="BE216" i="1"/>
  <c r="BE217" i="1" s="1"/>
  <c r="BE218" i="1" s="1"/>
  <c r="BE111" i="1"/>
  <c r="BE112" i="1" s="1"/>
  <c r="BE113" i="1" s="1"/>
  <c r="BE108" i="1" s="1"/>
  <c r="CC68" i="1"/>
  <c r="EB9" i="1"/>
  <c r="EJ9" i="1" s="1"/>
  <c r="CC52" i="1"/>
  <c r="BD2" i="30"/>
  <c r="BD32" i="30" s="1"/>
  <c r="BP2" i="1"/>
  <c r="BP107" i="1" s="1"/>
  <c r="BZ41" i="30"/>
  <c r="CB41" i="30" s="1"/>
  <c r="CB35" i="30"/>
  <c r="AC4" i="30"/>
  <c r="AD4" i="30" s="1"/>
  <c r="EB98" i="1"/>
  <c r="EJ98" i="1" s="1"/>
  <c r="EB39" i="1"/>
  <c r="EB20" i="1"/>
  <c r="EB92" i="1"/>
  <c r="EJ92" i="1" s="1"/>
  <c r="EB100" i="1"/>
  <c r="EB83" i="1"/>
  <c r="CG1" i="1" a="1"/>
  <c r="BS1" i="1" a="1"/>
  <c r="BS1" i="1" s="1"/>
  <c r="BR1" i="1" s="1"/>
  <c r="H3" i="1" s="1"/>
  <c r="F16" i="31" s="1"/>
  <c r="AZ1" i="1" a="1"/>
  <c r="CC44" i="1"/>
  <c r="CC78" i="1"/>
  <c r="EB38" i="1"/>
  <c r="EJ38" i="1" s="1"/>
  <c r="EB66" i="1"/>
  <c r="EJ66" i="1" s="1"/>
  <c r="CU9" i="30"/>
  <c r="CU7" i="30"/>
  <c r="CQ10" i="30"/>
  <c r="CC7" i="30"/>
  <c r="CZ13" i="30"/>
  <c r="DM19" i="30"/>
  <c r="CK26" i="30"/>
  <c r="CZ12" i="30"/>
  <c r="CB2" i="30"/>
  <c r="K4" i="30" s="1"/>
  <c r="CB1" i="30"/>
  <c r="CK32" i="30"/>
  <c r="CQ9" i="30"/>
  <c r="CB36" i="30"/>
  <c r="CD1" i="30" s="1"/>
  <c r="CB37" i="30"/>
  <c r="CB3" i="30"/>
  <c r="DM18" i="30"/>
  <c r="AT4" i="30"/>
  <c r="DM7" i="30"/>
  <c r="EJ7" i="30"/>
  <c r="CC20" i="30"/>
  <c r="CC31" i="30"/>
  <c r="CC10" i="30"/>
  <c r="CC9" i="30"/>
  <c r="CC12" i="30"/>
  <c r="CC16" i="30"/>
  <c r="CC28" i="30"/>
  <c r="CC13" i="30"/>
  <c r="CC18" i="30"/>
  <c r="CC19" i="30"/>
  <c r="CC26" i="30"/>
  <c r="CC24" i="30"/>
  <c r="CC23" i="30"/>
  <c r="CC25" i="30"/>
  <c r="CC22" i="30"/>
  <c r="CC29" i="30"/>
  <c r="CC15" i="30"/>
  <c r="CC21" i="30"/>
  <c r="CC11" i="30"/>
  <c r="CC8" i="30"/>
  <c r="CC17" i="30"/>
  <c r="CC30" i="30"/>
  <c r="CC14" i="30"/>
  <c r="CC27" i="30"/>
  <c r="BG111" i="1"/>
  <c r="BG112" i="1" s="1"/>
  <c r="BG113" i="1" s="1"/>
  <c r="BG108" i="1" s="1"/>
  <c r="BG216" i="1"/>
  <c r="BG217" i="1" s="1"/>
  <c r="BG218" i="1" s="1"/>
  <c r="BC216" i="1"/>
  <c r="BC217" i="1" s="1"/>
  <c r="BC218" i="1" s="1"/>
  <c r="BC111" i="1"/>
  <c r="BC112" i="1" s="1"/>
  <c r="BC113" i="1" s="1"/>
  <c r="BC108" i="1" s="1"/>
  <c r="CC75" i="1"/>
  <c r="EB43" i="1"/>
  <c r="EB97" i="1"/>
  <c r="CC47" i="1"/>
  <c r="EB82" i="1"/>
  <c r="BE2" i="30"/>
  <c r="BE32" i="30" s="1"/>
  <c r="CC60" i="1"/>
  <c r="EB35" i="1"/>
  <c r="EB40" i="1"/>
  <c r="EB85" i="1"/>
  <c r="EJ85" i="1" s="1"/>
  <c r="BI111" i="1"/>
  <c r="BI112" i="1" s="1"/>
  <c r="BI113" i="1" s="1"/>
  <c r="BI108" i="1" s="1"/>
  <c r="BI216" i="1"/>
  <c r="BI217" i="1" s="1"/>
  <c r="BI218" i="1" s="1"/>
  <c r="EB71" i="1"/>
  <c r="EI71" i="1" s="1"/>
  <c r="EB84" i="1"/>
  <c r="EJ84" i="1" s="1"/>
  <c r="BO216" i="1"/>
  <c r="BO217" i="1" s="1"/>
  <c r="BO218" i="1" s="1"/>
  <c r="BO111" i="1"/>
  <c r="BO112" i="1" s="1"/>
  <c r="BO113" i="1" s="1"/>
  <c r="BO108" i="1" s="1"/>
  <c r="EB96" i="1"/>
  <c r="EI96" i="1" s="1"/>
  <c r="EB53" i="1"/>
  <c r="EJ53" i="1" s="1"/>
  <c r="EB27" i="1"/>
  <c r="EJ27" i="1" s="1"/>
  <c r="EB7" i="1"/>
  <c r="EB93" i="1"/>
  <c r="EI93" i="1" s="1"/>
  <c r="BE66" i="30"/>
  <c r="BE67" i="30" s="1"/>
  <c r="BE68" i="30" s="1"/>
  <c r="BE36" i="30"/>
  <c r="BE37" i="30" s="1"/>
  <c r="BE38" i="30" s="1"/>
  <c r="BE33" i="30" s="1"/>
  <c r="CC65" i="1"/>
  <c r="CC38" i="1"/>
  <c r="EB42" i="1"/>
  <c r="EB95" i="1"/>
  <c r="EB104" i="1"/>
  <c r="EJ104" i="1" s="1"/>
  <c r="CC32" i="1"/>
  <c r="CC89" i="1"/>
  <c r="CC93" i="1"/>
  <c r="EB44" i="1"/>
  <c r="EB88" i="1"/>
  <c r="BD66" i="30"/>
  <c r="BD67" i="30" s="1"/>
  <c r="BD68" i="30" s="1"/>
  <c r="BD36" i="30"/>
  <c r="BD37" i="30" s="1"/>
  <c r="BD38" i="30" s="1"/>
  <c r="BD33" i="30" s="1"/>
  <c r="CC41" i="1"/>
  <c r="BM111" i="1"/>
  <c r="BM112" i="1" s="1"/>
  <c r="BM113" i="1" s="1"/>
  <c r="BM108" i="1" s="1"/>
  <c r="BM216" i="1"/>
  <c r="BM217" i="1" s="1"/>
  <c r="BM218" i="1" s="1"/>
  <c r="EB58" i="1"/>
  <c r="EJ58" i="1" s="1"/>
  <c r="EB103" i="1"/>
  <c r="EJ103" i="1" s="1"/>
  <c r="EB30" i="1"/>
  <c r="BG2" i="1"/>
  <c r="BG107" i="1" s="1"/>
  <c r="EB21" i="1"/>
  <c r="EJ21" i="1" s="1"/>
  <c r="BQ111" i="1"/>
  <c r="BQ112" i="1" s="1"/>
  <c r="BQ113" i="1" s="1"/>
  <c r="BQ108" i="1" s="1"/>
  <c r="BQ216" i="1"/>
  <c r="BQ217" i="1" s="1"/>
  <c r="BQ218" i="1" s="1"/>
  <c r="CC56" i="1"/>
  <c r="EB69" i="1"/>
  <c r="EJ69" i="1" s="1"/>
  <c r="EB59" i="1"/>
  <c r="EJ59" i="1" s="1"/>
  <c r="EB63" i="1"/>
  <c r="EJ63" i="1" s="1"/>
  <c r="BC2" i="1"/>
  <c r="BC107" i="1" s="1"/>
  <c r="EB29" i="1"/>
  <c r="CZ9" i="1"/>
  <c r="EB62" i="1"/>
  <c r="EJ62" i="1" s="1"/>
  <c r="CC71" i="1"/>
  <c r="CC39" i="1"/>
  <c r="CC87" i="1"/>
  <c r="EB102" i="1"/>
  <c r="EB60" i="1"/>
  <c r="EB91" i="1"/>
  <c r="EI91" i="1" s="1"/>
  <c r="EB73" i="1"/>
  <c r="EJ73" i="1" s="1"/>
  <c r="CC67" i="1"/>
  <c r="EB34" i="1"/>
  <c r="CC55" i="1"/>
  <c r="EB31" i="1"/>
  <c r="EJ31" i="1" s="1"/>
  <c r="EB57" i="1"/>
  <c r="EJ57" i="1" s="1"/>
  <c r="CC18" i="1"/>
  <c r="EB55" i="1"/>
  <c r="EJ55" i="1" s="1"/>
  <c r="EB32" i="1"/>
  <c r="EJ32" i="1" s="1"/>
  <c r="BB32" i="30" l="1"/>
  <c r="AZ32" i="30" s="1"/>
  <c r="AJ10" i="36" a="1"/>
  <c r="AJ10" i="36" s="1"/>
  <c r="AJ7" i="36" a="1"/>
  <c r="AJ7" i="36" s="1"/>
  <c r="AK6" i="36" a="1"/>
  <c r="AK6" i="36" s="1"/>
  <c r="AJ6" i="36" a="1"/>
  <c r="AJ6" i="36" s="1"/>
  <c r="BH107" i="1"/>
  <c r="AX133" i="1" a="1"/>
  <c r="AX133" i="1" s="1"/>
  <c r="AW133" i="1" s="1"/>
  <c r="BB107" i="1"/>
  <c r="AX132" i="1" a="1"/>
  <c r="AX132" i="1" s="1"/>
  <c r="AW132" i="1" s="1"/>
  <c r="AX1" i="30" a="1"/>
  <c r="AY1" i="30" s="1"/>
  <c r="B5" i="35"/>
  <c r="G10" i="31"/>
  <c r="G13" i="31" s="1"/>
  <c r="AZ1" i="30"/>
  <c r="AZ4" i="30" s="1"/>
  <c r="BA1" i="30"/>
  <c r="AZ33" i="30"/>
  <c r="AW33" i="30" a="1"/>
  <c r="AW33" i="30" s="1"/>
  <c r="AW38" i="30" s="1"/>
  <c r="ED5" i="1"/>
  <c r="ED3" i="1"/>
  <c r="L4" i="48"/>
  <c r="N7" i="48"/>
  <c r="N4" i="48" s="1"/>
  <c r="CD3" i="30"/>
  <c r="EI7" i="1"/>
  <c r="EB4" i="1"/>
  <c r="EB3" i="1"/>
  <c r="EJ5" i="30"/>
  <c r="G31" i="31" s="1"/>
  <c r="EJ3" i="30"/>
  <c r="AX1" i="1" a="1"/>
  <c r="N6" i="36"/>
  <c r="C6" i="36" s="1"/>
  <c r="M6" i="36"/>
  <c r="Y6" i="37" a="1"/>
  <c r="Y6" i="37" s="1"/>
  <c r="AH10" i="36" a="1"/>
  <c r="AH10" i="36" s="1"/>
  <c r="AF6" i="36" a="1"/>
  <c r="AF6" i="36" s="1"/>
  <c r="AB9" i="36" a="1"/>
  <c r="AB9" i="36" s="1"/>
  <c r="AK6" i="37" a="1"/>
  <c r="AK6" i="37" s="1"/>
  <c r="I6" i="37"/>
  <c r="M8" i="36"/>
  <c r="AE6" i="37" a="1"/>
  <c r="AE6" i="37" s="1"/>
  <c r="AD6" i="37" a="1"/>
  <c r="AD6" i="37" s="1"/>
  <c r="M6" i="37"/>
  <c r="Z10" i="36" a="1"/>
  <c r="Z10" i="36" s="1"/>
  <c r="AH7" i="36" a="1"/>
  <c r="AH7" i="36" s="1"/>
  <c r="E9" i="36"/>
  <c r="B10" i="36"/>
  <c r="I10" i="36"/>
  <c r="W6" i="37" a="1"/>
  <c r="W6" i="37" s="1"/>
  <c r="AI10" i="36" a="1"/>
  <c r="AI10" i="36" s="1"/>
  <c r="AE9" i="36" a="1"/>
  <c r="AE9" i="36" s="1"/>
  <c r="Z6" i="37" a="1"/>
  <c r="Z6" i="37" s="1"/>
  <c r="AD8" i="36" a="1"/>
  <c r="AD8" i="36" s="1"/>
  <c r="F9" i="36"/>
  <c r="B9" i="36"/>
  <c r="AB8" i="36" a="1"/>
  <c r="AB8" i="36" s="1"/>
  <c r="G6" i="37"/>
  <c r="AB7" i="36" a="1"/>
  <c r="AB7" i="36" s="1"/>
  <c r="Y10" i="36" a="1"/>
  <c r="Y10" i="36" s="1"/>
  <c r="AC9" i="36" a="1"/>
  <c r="AC9" i="36" s="1"/>
  <c r="X9" i="36" a="1"/>
  <c r="X9" i="36" s="1"/>
  <c r="J8" i="36"/>
  <c r="K8" i="36" s="1"/>
  <c r="X6" i="36" a="1"/>
  <c r="X6" i="36" s="1"/>
  <c r="G6" i="36"/>
  <c r="D6" i="36"/>
  <c r="N8" i="36"/>
  <c r="C8" i="36" s="1"/>
  <c r="M10" i="36"/>
  <c r="F6" i="37"/>
  <c r="AG7" i="36" a="1"/>
  <c r="AG7" i="36" s="1"/>
  <c r="AF7" i="36" a="1"/>
  <c r="AF7" i="36" s="1"/>
  <c r="Y8" i="36" a="1"/>
  <c r="Y8" i="36" s="1"/>
  <c r="E6" i="37"/>
  <c r="AH6" i="37" a="1"/>
  <c r="AH6" i="37" s="1"/>
  <c r="G8" i="36"/>
  <c r="AD9" i="36" a="1"/>
  <c r="AD9" i="36" s="1"/>
  <c r="Y7" i="36" a="1"/>
  <c r="Y7" i="36" s="1"/>
  <c r="X7" i="36" a="1"/>
  <c r="X7" i="36" s="1"/>
  <c r="B8" i="36"/>
  <c r="AG8" i="36" a="1"/>
  <c r="AG8" i="36" s="1"/>
  <c r="AE10" i="36" a="1"/>
  <c r="AE10" i="36" s="1"/>
  <c r="E6" i="36"/>
  <c r="AA8" i="36" a="1"/>
  <c r="AA8" i="36" s="1"/>
  <c r="D8" i="36"/>
  <c r="H7" i="36"/>
  <c r="G7" i="36"/>
  <c r="X10" i="36" a="1"/>
  <c r="X10" i="36" s="1"/>
  <c r="J10" i="36"/>
  <c r="K10" i="36" s="1"/>
  <c r="AD10" i="36" a="1"/>
  <c r="AD10" i="36" s="1"/>
  <c r="J7" i="36"/>
  <c r="K7" i="36" s="1"/>
  <c r="X6" i="37" a="1"/>
  <c r="X6" i="37" s="1"/>
  <c r="W9" i="36" a="1"/>
  <c r="W9" i="36" s="1"/>
  <c r="N9" i="36"/>
  <c r="C9" i="36" s="1"/>
  <c r="J6" i="37"/>
  <c r="K6" i="37" s="1"/>
  <c r="G9" i="36"/>
  <c r="D9" i="36"/>
  <c r="M7" i="36"/>
  <c r="AH6" i="36" a="1"/>
  <c r="AH6" i="36" s="1"/>
  <c r="AE6" i="36" a="1"/>
  <c r="AE6" i="36" s="1"/>
  <c r="F8" i="36"/>
  <c r="AB10" i="36" a="1"/>
  <c r="AB10" i="36" s="1"/>
  <c r="B6" i="36"/>
  <c r="J9" i="36"/>
  <c r="K9" i="36" s="1"/>
  <c r="AC6" i="37" a="1"/>
  <c r="AC6" i="37" s="1"/>
  <c r="AH8" i="36" a="1"/>
  <c r="AH8" i="36" s="1"/>
  <c r="I6" i="36"/>
  <c r="AA9" i="36" a="1"/>
  <c r="AA9" i="36" s="1"/>
  <c r="AH9" i="36" a="1"/>
  <c r="AH9" i="36" s="1"/>
  <c r="AG6" i="36" a="1"/>
  <c r="AG6" i="36" s="1"/>
  <c r="AG6" i="37" a="1"/>
  <c r="AG6" i="37" s="1"/>
  <c r="AA10" i="36" a="1"/>
  <c r="AA10" i="36" s="1"/>
  <c r="AG10" i="36" a="1"/>
  <c r="AG10" i="36" s="1"/>
  <c r="I9" i="36"/>
  <c r="AI7" i="36" a="1"/>
  <c r="AI7" i="36" s="1"/>
  <c r="AJ6" i="37" a="1"/>
  <c r="AJ6" i="37" s="1"/>
  <c r="N10" i="36"/>
  <c r="C10" i="36" s="1"/>
  <c r="V8" i="36"/>
  <c r="L8" i="36" s="1"/>
  <c r="AC8" i="36" a="1"/>
  <c r="AC8" i="36" s="1"/>
  <c r="AI6" i="36" a="1"/>
  <c r="AI6" i="36" s="1"/>
  <c r="Z6" i="36" a="1"/>
  <c r="Z6" i="36" s="1"/>
  <c r="H10" i="36"/>
  <c r="AC7" i="36" a="1"/>
  <c r="AC7" i="36" s="1"/>
  <c r="D6" i="37"/>
  <c r="AC6" i="36" a="1"/>
  <c r="AC6" i="36" s="1"/>
  <c r="AD7" i="36" a="1"/>
  <c r="AD7" i="36" s="1"/>
  <c r="H8" i="36"/>
  <c r="V6" i="37"/>
  <c r="L6" i="37" s="1"/>
  <c r="L3" i="37" s="1"/>
  <c r="F7" i="36"/>
  <c r="AD6" i="36" a="1"/>
  <c r="AD6" i="36" s="1"/>
  <c r="B6" i="37"/>
  <c r="Z9" i="36" a="1"/>
  <c r="Z9" i="36" s="1"/>
  <c r="D7" i="36"/>
  <c r="V9" i="36"/>
  <c r="L9" i="36" s="1"/>
  <c r="AI6" i="37" a="1"/>
  <c r="AI6" i="37" s="1"/>
  <c r="AA6" i="36" a="1"/>
  <c r="AA6" i="36" s="1"/>
  <c r="M9" i="36"/>
  <c r="G10" i="36"/>
  <c r="V10" i="36"/>
  <c r="L10" i="36" s="1"/>
  <c r="AA7" i="36" a="1"/>
  <c r="AA7" i="36" s="1"/>
  <c r="H9" i="36"/>
  <c r="AA6" i="37" a="1"/>
  <c r="AA6" i="37" s="1"/>
  <c r="Y9" i="36" a="1"/>
  <c r="Y9" i="36" s="1"/>
  <c r="E10" i="36"/>
  <c r="H6" i="36"/>
  <c r="AF10" i="36" a="1"/>
  <c r="AF10" i="36" s="1"/>
  <c r="AE7" i="36" a="1"/>
  <c r="AE7" i="36" s="1"/>
  <c r="Y6" i="36" a="1"/>
  <c r="Y6" i="36" s="1"/>
  <c r="B7" i="36"/>
  <c r="V6" i="36"/>
  <c r="L6" i="36" s="1"/>
  <c r="W10" i="36" a="1"/>
  <c r="W10" i="36" s="1"/>
  <c r="AF9" i="36" a="1"/>
  <c r="AF9" i="36" s="1"/>
  <c r="V7" i="36"/>
  <c r="L7" i="36" s="1"/>
  <c r="AE8" i="36" a="1"/>
  <c r="AE8" i="36" s="1"/>
  <c r="W7" i="36" a="1"/>
  <c r="W7" i="36" s="1"/>
  <c r="AC10" i="36" a="1"/>
  <c r="AC10" i="36" s="1"/>
  <c r="AF8" i="36" a="1"/>
  <c r="AF8" i="36" s="1"/>
  <c r="AB6" i="37" a="1"/>
  <c r="AB6" i="37" s="1"/>
  <c r="AB6" i="36" a="1"/>
  <c r="AB6" i="36" s="1"/>
  <c r="E8" i="36"/>
  <c r="W6" i="36" a="1"/>
  <c r="W6" i="36" s="1"/>
  <c r="AI8" i="36" a="1"/>
  <c r="AI8" i="36" s="1"/>
  <c r="Z7" i="36" a="1"/>
  <c r="Z7" i="36" s="1"/>
  <c r="I8" i="36"/>
  <c r="N6" i="37"/>
  <c r="C6" i="37" s="1"/>
  <c r="AF6" i="37" a="1"/>
  <c r="AF6" i="37" s="1"/>
  <c r="Z8" i="36" a="1"/>
  <c r="Z8" i="36" s="1"/>
  <c r="W8" i="36" a="1"/>
  <c r="W8" i="36" s="1"/>
  <c r="I7" i="36"/>
  <c r="D10" i="36"/>
  <c r="X8" i="36" a="1"/>
  <c r="X8" i="36" s="1"/>
  <c r="AG9" i="36" a="1"/>
  <c r="AG9" i="36" s="1"/>
  <c r="F6" i="36"/>
  <c r="E7" i="36"/>
  <c r="F10" i="36"/>
  <c r="N7" i="36"/>
  <c r="C7" i="36" s="1"/>
  <c r="CD3" i="1"/>
  <c r="H6" i="37"/>
  <c r="J6" i="36"/>
  <c r="K6" i="36" s="1"/>
  <c r="G11" i="31"/>
  <c r="G14" i="31" s="1"/>
  <c r="C5" i="35"/>
  <c r="CD2" i="30"/>
  <c r="BB108" i="1"/>
  <c r="CG2" i="1" a="1"/>
  <c r="AZ1" i="1"/>
  <c r="AZ4" i="1" s="1"/>
  <c r="BA1" i="1"/>
  <c r="EJ5" i="1"/>
  <c r="F31" i="31" s="1"/>
  <c r="EJ3" i="1"/>
  <c r="CG1" i="1"/>
  <c r="CH1" i="1"/>
  <c r="CD2" i="1"/>
  <c r="AW32" i="30" l="1" a="1"/>
  <c r="AW32" i="30" s="1"/>
  <c r="AW40" i="30" s="1"/>
  <c r="T10" i="36" a="1"/>
  <c r="T10" i="36" s="1"/>
  <c r="Q10" i="36" s="1"/>
  <c r="T6" i="36" a="1"/>
  <c r="T6" i="36" s="1"/>
  <c r="BB6" i="36" s="1"/>
  <c r="T8" i="36" a="1"/>
  <c r="T8" i="36" s="1"/>
  <c r="Q8" i="36" s="1"/>
  <c r="T9" i="36" a="1"/>
  <c r="T9" i="36" s="1"/>
  <c r="Q9" i="36" s="1"/>
  <c r="AZ107" i="1"/>
  <c r="AW107" i="1" a="1"/>
  <c r="AX107" i="1" s="1"/>
  <c r="O9" i="36"/>
  <c r="AX1" i="30"/>
  <c r="AZ2" i="30" s="1"/>
  <c r="O6" i="36"/>
  <c r="CF1" i="1"/>
  <c r="O6" i="37"/>
  <c r="O1" i="37" s="1"/>
  <c r="O8" i="36"/>
  <c r="O10" i="36"/>
  <c r="R7" i="36" a="1"/>
  <c r="S7" i="36" s="1"/>
  <c r="R10" i="36" a="1"/>
  <c r="R10" i="36" s="1"/>
  <c r="L3" i="36"/>
  <c r="K5" i="1"/>
  <c r="B4" i="35" s="1"/>
  <c r="F10" i="31"/>
  <c r="O7" i="36"/>
  <c r="F11" i="31"/>
  <c r="C4" i="35"/>
  <c r="EI3" i="1"/>
  <c r="EI5" i="1"/>
  <c r="F30" i="31" s="1"/>
  <c r="R6" i="36" a="1"/>
  <c r="R6" i="37" a="1"/>
  <c r="R9" i="36" a="1"/>
  <c r="CH2" i="1"/>
  <c r="CG2" i="1"/>
  <c r="T6" i="37" a="1"/>
  <c r="AY1" i="1"/>
  <c r="AX1" i="1"/>
  <c r="AZ2" i="1" s="1"/>
  <c r="T7" i="36" a="1"/>
  <c r="AZ108" i="1"/>
  <c r="AW108" i="1" a="1"/>
  <c r="R8" i="36" a="1"/>
  <c r="J21" i="35"/>
  <c r="H7" i="35"/>
  <c r="H21" i="35"/>
  <c r="H9" i="35"/>
  <c r="H8" i="35"/>
  <c r="H20" i="35"/>
  <c r="H19" i="35"/>
  <c r="J9" i="35"/>
  <c r="J20" i="35"/>
  <c r="J19" i="35"/>
  <c r="J8" i="35"/>
  <c r="J7" i="35"/>
  <c r="H14" i="35"/>
  <c r="H10" i="35"/>
  <c r="J30" i="35"/>
  <c r="J17" i="35"/>
  <c r="J13" i="35"/>
  <c r="J6" i="35"/>
  <c r="H30" i="35"/>
  <c r="F34" i="35" s="1"/>
  <c r="I38" i="35" s="1"/>
  <c r="H17" i="35"/>
  <c r="H13" i="35"/>
  <c r="H6" i="35"/>
  <c r="J23" i="35"/>
  <c r="J16" i="35"/>
  <c r="J12" i="35"/>
  <c r="J5" i="35"/>
  <c r="H23" i="35"/>
  <c r="H16" i="35"/>
  <c r="H12" i="35"/>
  <c r="H5" i="35"/>
  <c r="J22" i="35"/>
  <c r="J15" i="35"/>
  <c r="J11" i="35"/>
  <c r="J4" i="35"/>
  <c r="H22" i="35"/>
  <c r="H15" i="35"/>
  <c r="H11" i="35"/>
  <c r="H4" i="35"/>
  <c r="J18" i="35"/>
  <c r="J14" i="35"/>
  <c r="J10" i="35"/>
  <c r="H18" i="35"/>
  <c r="BB10" i="36" l="1"/>
  <c r="BC6" i="36"/>
  <c r="Q6" i="36"/>
  <c r="AW107" i="1"/>
  <c r="AW115" i="1" s="1"/>
  <c r="AV9" i="36"/>
  <c r="R7" i="36"/>
  <c r="P7" i="36" s="1"/>
  <c r="AX8" i="36"/>
  <c r="O1" i="36"/>
  <c r="S10" i="36"/>
  <c r="AQ10" i="36" s="1"/>
  <c r="AX9" i="36"/>
  <c r="AY9" i="36"/>
  <c r="AW9" i="36"/>
  <c r="AZ9" i="36"/>
  <c r="A15" i="35"/>
  <c r="A17" i="35" s="1"/>
  <c r="AX6" i="36"/>
  <c r="AW6" i="36"/>
  <c r="BA6" i="36"/>
  <c r="AZ6" i="36"/>
  <c r="AV6" i="36"/>
  <c r="AY6" i="36"/>
  <c r="T6" i="37"/>
  <c r="U6" i="37"/>
  <c r="CF2" i="1"/>
  <c r="S6" i="37"/>
  <c r="R6" i="37"/>
  <c r="S6" i="36"/>
  <c r="R6" i="36"/>
  <c r="S8" i="36"/>
  <c r="R8" i="36"/>
  <c r="AV8" i="36"/>
  <c r="T7" i="36"/>
  <c r="U7" i="36"/>
  <c r="AX108" i="1"/>
  <c r="AW108" i="1"/>
  <c r="R9" i="36"/>
  <c r="S9" i="36"/>
  <c r="G21" i="35"/>
  <c r="I8" i="35"/>
  <c r="K8" i="35" s="1"/>
  <c r="I7" i="35"/>
  <c r="K7" i="35" s="1"/>
  <c r="I21" i="35"/>
  <c r="K21" i="35" s="1"/>
  <c r="G20" i="35"/>
  <c r="G9" i="35"/>
  <c r="G8" i="35"/>
  <c r="G7" i="35"/>
  <c r="G19" i="35"/>
  <c r="I20" i="35"/>
  <c r="K20" i="35" s="1"/>
  <c r="I19" i="35"/>
  <c r="K19" i="35" s="1"/>
  <c r="I9" i="35"/>
  <c r="K9" i="35" s="1"/>
  <c r="G18" i="35"/>
  <c r="G14" i="35"/>
  <c r="G10" i="35"/>
  <c r="I30" i="35"/>
  <c r="I17" i="35"/>
  <c r="K17" i="35" s="1"/>
  <c r="I13" i="35"/>
  <c r="K13" i="35" s="1"/>
  <c r="I6" i="35"/>
  <c r="K6" i="35" s="1"/>
  <c r="G30" i="35"/>
  <c r="G17" i="35"/>
  <c r="G13" i="35"/>
  <c r="G6" i="35"/>
  <c r="I23" i="35"/>
  <c r="K23" i="35" s="1"/>
  <c r="I16" i="35"/>
  <c r="K16" i="35" s="1"/>
  <c r="I12" i="35"/>
  <c r="K12" i="35" s="1"/>
  <c r="I5" i="35"/>
  <c r="K5" i="35" s="1"/>
  <c r="G23" i="35"/>
  <c r="I22" i="35"/>
  <c r="K22" i="35" s="1"/>
  <c r="I15" i="35"/>
  <c r="K15" i="35" s="1"/>
  <c r="I11" i="35"/>
  <c r="K11" i="35" s="1"/>
  <c r="I4" i="35"/>
  <c r="K4" i="35" s="1"/>
  <c r="G22" i="35"/>
  <c r="G15" i="35"/>
  <c r="G11" i="35"/>
  <c r="G4" i="35"/>
  <c r="I18" i="35"/>
  <c r="K18" i="35" s="1"/>
  <c r="I14" i="35"/>
  <c r="K14" i="35" s="1"/>
  <c r="I10" i="35"/>
  <c r="K10" i="35" s="1"/>
  <c r="G16" i="35"/>
  <c r="G12" i="35"/>
  <c r="G5" i="35"/>
  <c r="P8" i="36" l="1"/>
  <c r="AS7" i="36"/>
  <c r="AT7" i="36"/>
  <c r="P10" i="36"/>
  <c r="CF8" i="36"/>
  <c r="BN8" i="36"/>
  <c r="P6" i="36"/>
  <c r="BB7" i="36"/>
  <c r="P9" i="36"/>
  <c r="BP8" i="36"/>
  <c r="CH8" i="36"/>
  <c r="AQ7" i="36"/>
  <c r="Q7" i="36"/>
  <c r="AZ8" i="36"/>
  <c r="AY8" i="36"/>
  <c r="AP7" i="36"/>
  <c r="AO7" i="36"/>
  <c r="AR7" i="36"/>
  <c r="AW8" i="36"/>
  <c r="BA8" i="36"/>
  <c r="AS10" i="36"/>
  <c r="AT10" i="36"/>
  <c r="AO10" i="36"/>
  <c r="AR10" i="36"/>
  <c r="AP10" i="36"/>
  <c r="AU7" i="36"/>
  <c r="AW113" i="1"/>
  <c r="AU10" i="36"/>
  <c r="AU9" i="36"/>
  <c r="AQ9" i="36"/>
  <c r="AP9" i="36"/>
  <c r="AS9" i="36"/>
  <c r="AO9" i="36"/>
  <c r="AT9" i="36"/>
  <c r="AR9" i="36"/>
  <c r="AP8" i="36"/>
  <c r="AR8" i="36"/>
  <c r="AU8" i="36"/>
  <c r="AQ8" i="36"/>
  <c r="AS8" i="36"/>
  <c r="AT8" i="36"/>
  <c r="AO8" i="36"/>
  <c r="AX10" i="36"/>
  <c r="AZ10" i="36"/>
  <c r="AY10" i="36"/>
  <c r="AW10" i="36"/>
  <c r="BA10" i="36"/>
  <c r="AV10" i="36"/>
  <c r="AR6" i="37"/>
  <c r="AQ6" i="37"/>
  <c r="AO6" i="37"/>
  <c r="AP6" i="37"/>
  <c r="AT6" i="37"/>
  <c r="P6" i="37"/>
  <c r="AU6" i="37"/>
  <c r="AS6" i="37"/>
  <c r="BB6" i="37"/>
  <c r="BC6" i="37"/>
  <c r="BA6" i="37"/>
  <c r="AZ6" i="37"/>
  <c r="Q6" i="37"/>
  <c r="AY6" i="37"/>
  <c r="AW6" i="37"/>
  <c r="AX6" i="37"/>
  <c r="AV6" i="37"/>
  <c r="AR6" i="36"/>
  <c r="AO6" i="36"/>
  <c r="AS6" i="36"/>
  <c r="AQ6" i="36"/>
  <c r="AT6" i="36"/>
  <c r="AU6" i="36"/>
  <c r="AP6" i="36"/>
  <c r="I36" i="35"/>
  <c r="I40" i="35" s="1"/>
  <c r="I42" i="35" s="1"/>
  <c r="F32" i="35"/>
  <c r="AW7" i="36"/>
  <c r="AX7" i="36"/>
  <c r="BA7" i="36"/>
  <c r="AY7" i="36"/>
  <c r="AZ7" i="36"/>
  <c r="AV7" i="36"/>
  <c r="BS8" i="36" l="1"/>
  <c r="CK8" i="36"/>
  <c r="CG8" i="36"/>
  <c r="BO8" i="36"/>
  <c r="BZ8" i="36"/>
  <c r="BH8" i="36"/>
  <c r="BQ8" i="36"/>
  <c r="CI8" i="36"/>
  <c r="BR8" i="36"/>
  <c r="CJ8" i="36"/>
  <c r="BK8" i="36"/>
  <c r="CC8" i="36"/>
  <c r="BI8" i="36"/>
  <c r="CA8" i="36"/>
  <c r="CE8" i="36"/>
  <c r="BM8" i="36"/>
  <c r="BG8" i="36"/>
  <c r="BY8" i="36"/>
  <c r="BL8" i="36"/>
  <c r="CD8" i="36"/>
  <c r="BJ8" i="36"/>
  <c r="CB8"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tc={FC3B9881-9EF5-4485-9225-C339AD8643E9}</author>
    <author>tc={7ED4CB7F-7586-4C01-AF91-81A436835BC8}</author>
    <author>tc={8B9FECE5-71AC-4442-88DD-77F6AF1BF789}</author>
    <author>tc={CBE3FB69-B89D-48C0-BAA1-705BE51C2384}</author>
    <author>tc={F61552E2-CBE6-4482-86A6-00C5566DE89F}</author>
    <author>tc={50655E0E-F740-4608-83BE-DBE4E7E0535C}</author>
    <author>tc={933E5353-2F0B-48F1-9822-8EC9F430E38A}</author>
    <author>tc={D07573A9-2FE4-4ED2-AD7D-CB78EEC2AD8F}</author>
    <author>tc={293CE725-F10F-441F-A43F-7B8885F97DED}</author>
    <author>tc={81355D93-94D9-4AB3-B586-BD42900B9383}</author>
    <author>tc={5C9311E5-E9B4-499E-973D-4B46FB4D7BFA}</author>
    <author>tc={9F40E9D1-4663-4ABE-8681-7A0286EBB430}</author>
  </authors>
  <commentList>
    <comment ref="BR1" authorId="0" shapeId="0" xr:uid="{FC3B9881-9EF5-4485-9225-C339AD8643E9}">
      <text>
        <t>[Threaded comment]
Your version of Excel allows you to read this threaded comment; however, any edits to it will get removed if the file is opened in a newer version of Excel. Learn more: https://go.microsoft.com/fwlink/?linkid=870924
Comment:
    Rate evaluated at midpoint of interval (Yr 4)</t>
      </text>
    </comment>
    <comment ref="BW1" authorId="1" shapeId="0" xr:uid="{7ED4CB7F-7586-4C01-AF91-81A436835BC8}">
      <text>
        <t>[Threaded comment]
Your version of Excel allows you to read this threaded comment; however, any edits to it will get removed if the file is opened in a newer version of Excel. Learn more: https://go.microsoft.com/fwlink/?linkid=870924
Comment:
    Rate evaluated at midpoint of interval (Yr 11.5)</t>
      </text>
    </comment>
    <comment ref="FR6" authorId="2" shapeId="0" xr:uid="{8B9FECE5-71AC-4442-88DD-77F6AF1BF789}">
      <text>
        <t>[Threaded comment]
Your version of Excel allows you to read this threaded comment; however, any edits to it will get removed if the file is opened in a newer version of Excel. Learn more: https://go.microsoft.com/fwlink/?linkid=870924
Comment:
    Orientation-specific, too</t>
      </text>
    </comment>
    <comment ref="N7" authorId="3" shapeId="0" xr:uid="{CBE3FB69-B89D-48C0-BAA1-705BE51C2384}">
      <text>
        <t>[Threaded comment]
Your version of Excel allows you to read this threaded comment; however, any edits to it will get removed if the file is opened in a newer version of Excel. Learn more: https://go.microsoft.com/fwlink/?linkid=870924
Comment:
    Based on visual module count and nameplate module W</t>
      </text>
    </comment>
    <comment ref="G8" authorId="4" shapeId="0" xr:uid="{F61552E2-CBE6-4482-86A6-00C5566DE89F}">
      <text>
        <t>[Threaded comment]
Your version of Excel allows you to read this threaded comment; however, any edits to it will get removed if the file is opened in a newer version of Excel. Learn more: https://go.microsoft.com/fwlink/?linkid=870924
Comment:
    Nellis’s biggest share is 5 MW SunPower, but it also has nearly as much Suntech and 2 MW each of Sanyo HIT bifacial and Evergreen ribbon Si.</t>
      </text>
    </comment>
    <comment ref="AA8" authorId="5" shapeId="0" xr:uid="{50655E0E-F740-4608-83BE-DBE4E7E0535C}">
      <text>
        <t>[Threaded comment]
Your version of Excel allows you to read this threaded comment; however, any edits to it will get removed if the file is opened in a newer version of Excel. Learn more: https://go.microsoft.com/fwlink/?linkid=870924
Comment:
    Manual override based on Wikipedia
Reply:
    Should be 14.2x3147x0.76=33,962 (6% higher)</t>
      </text>
    </comment>
    <comment ref="AA13" authorId="6" shapeId="0" xr:uid="{933E5353-2F0B-48F1-9822-8EC9F430E38A}">
      <text>
        <t>[Threaded comment]
Your version of Excel allows you to read this threaded comment; however, any edits to it will get removed if the file is opened in a newer version of Excel. Learn more: https://go.microsoft.com/fwlink/?linkid=870924
Comment:
    Manual override based on BEW IE report, with a shitty 0.68 PR expected
Reply:
    Should be 1.173x1937x0.8=1,818 (17% higher)</t>
      </text>
    </comment>
    <comment ref="E70" authorId="7" shapeId="0" xr:uid="{D07573A9-2FE4-4ED2-AD7D-CB78EEC2AD8F}">
      <text>
        <t>[Threaded comment]
Your version of Excel allows you to read this threaded comment; however, any edits to it will get removed if the file is opened in a newer version of Excel. Learn more: https://go.microsoft.com/fwlink/?linkid=870924
Comment:
    Inserted EPRI report data for 2009 and replaced 2010 EIA (rounded bogus?) number with EPRI number.</t>
      </text>
    </comment>
    <comment ref="G70" authorId="8" shapeId="0" xr:uid="{293CE725-F10F-441F-A43F-7B8885F97DED}">
      <text>
        <t>[Threaded comment]
Your version of Excel allows you to read this threaded comment; however, any edits to it will get removed if the file is opened in a newer version of Excel. Learn more: https://go.microsoft.com/fwlink/?linkid=870924
Comment:
    26% of this is First Solar 72.5 W modules</t>
      </text>
    </comment>
    <comment ref="J92" authorId="9" shapeId="0" xr:uid="{81355D93-94D9-4AB3-B586-BD42900B9383}">
      <text>
        <t>[Threaded comment]
Your version of Excel allows you to read this threaded comment; however, any edits to it will get removed if the file is opened in a newer version of Excel. Learn more: https://go.microsoft.com/fwlink/?linkid=870924
Comment:
    2-axis tracker</t>
      </text>
    </comment>
    <comment ref="AW132" authorId="10" shapeId="0" xr:uid="{5C9311E5-E9B4-499E-973D-4B46FB4D7BFA}">
      <text>
        <t>[Threaded comment]
Your version of Excel allows you to read this threaded comment; however, any edits to it will get removed if the file is opened in a newer version of Excel. Learn more: https://go.microsoft.com/fwlink/?linkid=870924
Comment:
    Rate evaluated at midpoint of interval (Yr 4)</t>
      </text>
    </comment>
    <comment ref="AW133" authorId="11" shapeId="0" xr:uid="{9F40E9D1-4663-4ABE-8681-7A0286EBB430}">
      <text>
        <t>[Threaded comment]
Your version of Excel allows you to read this threaded comment; however, any edits to it will get removed if the file is opened in a newer version of Excel. Learn more: https://go.microsoft.com/fwlink/?linkid=870924
Comment:
    Rate evaluated at midpoint of interval (Yr 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tc={581E8128-26AD-4875-84AC-1E2420B7576D}</author>
    <author>tc={34EA8E30-8E5C-41DB-910A-212148D1AA61}</author>
    <author>tc={1A0422F8-B1AD-40EC-92F7-17AB767BB820}</author>
  </authors>
  <commentList>
    <comment ref="BR1" authorId="0" shapeId="0" xr:uid="{581E8128-26AD-4875-84AC-1E2420B7576D}">
      <text>
        <t>[Threaded comment]
Your version of Excel allows you to read this threaded comment; however, any edits to it will get removed if the file is opened in a newer version of Excel. Learn more: https://go.microsoft.com/fwlink/?linkid=870924
Comment:
    Rate evaluated at midpoint of interval (4 yrs)</t>
      </text>
    </comment>
    <comment ref="BR2" authorId="1" shapeId="0" xr:uid="{34EA8E30-8E5C-41DB-910A-212148D1AA61}">
      <text>
        <t>[Threaded comment]
Your version of Excel allows you to read this threaded comment; however, any edits to it will get removed if the file is opened in a newer version of Excel. Learn more: https://go.microsoft.com/fwlink/?linkid=870924
Comment:
    Rate evaluated at midpoint of interval (4 yrs)</t>
      </text>
    </comment>
    <comment ref="ED7" authorId="2" shapeId="0" xr:uid="{1A0422F8-B1AD-40EC-92F7-17AB767BB820}">
      <text>
        <t>[Threaded comment]
Your version of Excel allows you to read this threaded comment; however, any edits to it will get removed if the file is opened in a newer version of Excel. Learn more: https://go.microsoft.com/fwlink/?linkid=870924
Comment:
    Used Pendleton for IAV</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tc={0170B678-73D5-4600-95FF-2CEEDC89AB28}</author>
  </authors>
  <commentList>
    <comment ref="J1" authorId="0" shapeId="0" xr:uid="{0170B678-73D5-4600-95FF-2CEEDC89AB28}">
      <text>
        <t>[Threaded comment]
Your version of Excel allows you to read this threaded comment; however, any edits to it will get removed if the file is opened in a newer version of Excel. Learn more: https://go.microsoft.com/fwlink/?linkid=870924
Comment:
    Meteonorm was used for three SoCal sites, since they’re not like LA, Long Beach, or Daggett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tc={676C42F1-04F2-48B1-BD52-8B6CD46CFF76}</author>
  </authors>
  <commentList>
    <comment ref="J1" authorId="0" shapeId="0" xr:uid="{676C42F1-04F2-48B1-BD52-8B6CD46CFF76}">
      <text>
        <t>[Threaded comment]
Your version of Excel allows you to read this threaded comment; however, any edits to it will get removed if the file is opened in a newer version of Excel. Learn more: https://go.microsoft.com/fwlink/?linkid=870924
Comment:
    Meteonorm was used for three SoCal sites, since they’re not like LA, Long Beach, or Daggett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<sst xmlns="http://schemas.openxmlformats.org/spreadsheetml/2006/main" count="5050" uniqueCount="996">
  <si>
    <t>EIA#</t>
  </si>
  <si>
    <t>Name</t>
  </si>
  <si>
    <t>State</t>
  </si>
  <si>
    <t>Lat</t>
  </si>
  <si>
    <t>Long</t>
  </si>
  <si>
    <t>MWp</t>
  </si>
  <si>
    <t>MWac</t>
  </si>
  <si>
    <t>Exclusions</t>
  </si>
  <si>
    <t>EIA</t>
  </si>
  <si>
    <t>Lockhart</t>
  </si>
  <si>
    <t>Ocotillo</t>
  </si>
  <si>
    <t>Prescott</t>
  </si>
  <si>
    <t>Rancho Seco</t>
  </si>
  <si>
    <t>SEGS III</t>
  </si>
  <si>
    <t>SEGS IV</t>
  </si>
  <si>
    <t>SEGS IX</t>
  </si>
  <si>
    <t>SEGS V</t>
  </si>
  <si>
    <t>SEGS VI</t>
  </si>
  <si>
    <t>SEGS VII</t>
  </si>
  <si>
    <t>Saguaro</t>
  </si>
  <si>
    <t>Springerville</t>
  </si>
  <si>
    <t>Sunray 2</t>
  </si>
  <si>
    <t>Sunray 3</t>
  </si>
  <si>
    <t>AZ</t>
  </si>
  <si>
    <t>CA</t>
  </si>
  <si>
    <t>Reason to exclude</t>
  </si>
  <si>
    <t>FirstYr</t>
  </si>
  <si>
    <t>Output</t>
  </si>
  <si>
    <t>12137/141</t>
  </si>
  <si>
    <t>Agua Fria PV-3</t>
  </si>
  <si>
    <t>Yr1 p50 MWh</t>
  </si>
  <si>
    <t>rank</t>
  </si>
  <si>
    <t>PI stdev&amp;avg</t>
  </si>
  <si>
    <t>p(XX)</t>
  </si>
  <si>
    <t>(F)ix,(T)rkr</t>
  </si>
  <si>
    <t>Fixed</t>
  </si>
  <si>
    <t>Tracker</t>
  </si>
  <si>
    <t>Degr</t>
  </si>
  <si>
    <t>PV didn't go in until 2023</t>
  </si>
  <si>
    <t>Changed capacity all the time</t>
  </si>
  <si>
    <t>Died off at 10 years into EIA records, dead by 2012</t>
  </si>
  <si>
    <t>thermal</t>
  </si>
  <si>
    <t>Changed capacity many times; the records are a mess</t>
  </si>
  <si>
    <t>PV dropped 95% after two years, ran for 10, died by 2016, first year 2005</t>
  </si>
  <si>
    <t>mislabeled; there is no solar</t>
  </si>
  <si>
    <t>PV started 2017</t>
  </si>
  <si>
    <t>MMA RC Power</t>
  </si>
  <si>
    <t>NV</t>
  </si>
  <si>
    <t>PI, by year, with user's degradation allowance included as a user input variable (try 0% degr to see a fanning cloud of degrading outputs)</t>
  </si>
  <si>
    <t>Nevada Solar One</t>
  </si>
  <si>
    <t>Thermal</t>
  </si>
  <si>
    <t>CO</t>
  </si>
  <si>
    <t>NJ</t>
  </si>
  <si>
    <t>SunE Alamosa1</t>
  </si>
  <si>
    <t>MMA Belmar</t>
  </si>
  <si>
    <t>Stopped reporting after 3 years; Brad Eccles did IE on this 1.74 MWp/1.68 MW fixed 10-deg parking structure canopy Sunpower 210 modules</t>
  </si>
  <si>
    <t>MMA Bolthouse</t>
  </si>
  <si>
    <t>https://www.sustainablebusiness.com/2008/10/wm-bolthouse-farms-gets-19-mw-solar-array-43804/</t>
  </si>
  <si>
    <t>qty Mitsubishi, assume 185 W</t>
  </si>
  <si>
    <t>kWp</t>
  </si>
  <si>
    <t>p50,Yr1 MWh</t>
  </si>
  <si>
    <t>Slope/Tilt</t>
  </si>
  <si>
    <t>CSU Fresno MMA</t>
  </si>
  <si>
    <t>Deer Island</t>
  </si>
  <si>
    <t>MA</t>
  </si>
  <si>
    <t>https://www.mwra.com/our-environment/sustainability/renewable-energy</t>
  </si>
  <si>
    <t>kW</t>
  </si>
  <si>
    <t>as of</t>
  </si>
  <si>
    <t>Line#</t>
  </si>
  <si>
    <t>ELACC MMA</t>
  </si>
  <si>
    <t>Stopped reporting after 9 years</t>
  </si>
  <si>
    <t>Gap</t>
  </si>
  <si>
    <t>Steady for 10 years, then a tripling in output in output by 2021, and a steady decline since. So system has dramatically been changed in size.</t>
  </si>
  <si>
    <t>HI</t>
  </si>
  <si>
    <t>https://www.renewableenergyworld.com/solar/castle-cooke-to-build-1-5-mw-solar-farm-on-lanai-hawaii-48828/</t>
  </si>
  <si>
    <t>Lanai Sunpower</t>
  </si>
  <si>
    <t>Nellis Sunpower</t>
  </si>
  <si>
    <t>Atlantic Cty ConvCtr</t>
  </si>
  <si>
    <t>Copper Mtn10 (FS)</t>
  </si>
  <si>
    <t>avg</t>
  </si>
  <si>
    <t>stdev</t>
  </si>
  <si>
    <t>Fucking burned up POS worked for barely one year - Long Beach Conv Center rooftop</t>
  </si>
  <si>
    <t>MF Mesa Ln</t>
  </si>
  <si>
    <t>PA</t>
  </si>
  <si>
    <t>Pennsauken</t>
  </si>
  <si>
    <t>RMQ1&amp;2</t>
  </si>
  <si>
    <t>NC</t>
  </si>
  <si>
    <t>System got a lot bigger yr9, then faded partway wacko down four years later. It's just too weird to follow, obviously not a consistent size or operation</t>
  </si>
  <si>
    <t>SAS Solar Farm</t>
  </si>
  <si>
    <t>Sacramento Soleil</t>
  </si>
  <si>
    <t>https://vfinal.ai/resources/plants/56875/</t>
  </si>
  <si>
    <t>this is for the Sacramento Soleil EDF First Solar weirdo system in Wilton</t>
  </si>
  <si>
    <t>Western 102</t>
  </si>
  <si>
    <t>https://www.gridinfo.com/plant/western-102-power-plant/56500</t>
  </si>
  <si>
    <t>Western 102. Reported dc capacity looks way low. Counting modules of that size (1.6 m x 1 m) and vintage, Sharp, a leader at the time, had a 200 W model. 200 W x 7875= 1.57 MWp</t>
  </si>
  <si>
    <t>Wild Horse</t>
  </si>
  <si>
    <t>WA</t>
  </si>
  <si>
    <t>Aqua Ingrams Mill</t>
  </si>
  <si>
    <t>Ausra</t>
  </si>
  <si>
    <t>Only ran 5 yrs and erratically at that</t>
  </si>
  <si>
    <t>Calpine Vineland Solar LLC</t>
  </si>
  <si>
    <t>Step</t>
  </si>
  <si>
    <t>Go to EIA.gov and sort to get Solar only, for all states</t>
  </si>
  <si>
    <t>Restrict display to an early year. I started at 2005, then let in 2006 newcomers, 2007 etc.</t>
  </si>
  <si>
    <t>Click on an alphabetically listed candidate. When its performance page loads, scroll up to its annual MWh graph to see if it makes sense in terms of duration and eyeball when it looks to be into its full operation period</t>
  </si>
  <si>
    <t>Click download on its table CSV data, and paste that series of horizontally aligned annual outputs directly into this worksheet on the PlantData tab</t>
  </si>
  <si>
    <t>Check the gridinfo.com website and fish around to find the specs for the system using a state search and if necessary, search the general internet to get the system's lat/long and size data</t>
  </si>
  <si>
    <t>Chuckawalla SunE</t>
  </si>
  <si>
    <t>DeSoto</t>
  </si>
  <si>
    <t>FL</t>
  </si>
  <si>
    <t>Denver airport MMA</t>
  </si>
  <si>
    <t>Exelon Chicago</t>
  </si>
  <si>
    <t>IL</t>
  </si>
  <si>
    <t>Hall's Warehouse</t>
  </si>
  <si>
    <t>Kohl's San Bernardino SunE</t>
  </si>
  <si>
    <t>Maricopa</t>
  </si>
  <si>
    <t>Only ran one year. Nonsense data point.</t>
  </si>
  <si>
    <t>PPL Merck</t>
  </si>
  <si>
    <t>PSEG Hackettstown</t>
  </si>
  <si>
    <t>https://vfinal.ai/resources/plants/57204/</t>
  </si>
  <si>
    <t>PSEG Hackettstown - gridonfo didn't reveal specs such as tilt angle or dc or ac size</t>
  </si>
  <si>
    <t>RV CSU</t>
  </si>
  <si>
    <t>Solar Blythe (NRG)</t>
  </si>
  <si>
    <t>Solar PV #01</t>
  </si>
  <si>
    <t>Ran 3 years</t>
  </si>
  <si>
    <t>https://newsroom.edison.com/releases/southern-california-edison-connects-32-acre-5-million-watt-solar-array-to-its-grid</t>
  </si>
  <si>
    <r>
      <t>Media Contact</t>
    </r>
    <r>
      <rPr>
        <sz val="11"/>
        <color theme="1"/>
        <rFont val="Calibri"/>
        <family val="2"/>
        <scheme val="minor"/>
      </rPr>
      <t>: Gil Alexander, (626) 302-2255</t>
    </r>
  </si>
  <si>
    <t>Solar PV #02 (SCE)</t>
  </si>
  <si>
    <t>SunE Anheuser</t>
  </si>
  <si>
    <t>SunE Ironwood</t>
  </si>
  <si>
    <t>SunE LV Sutton</t>
  </si>
  <si>
    <t>SunE Oxnard</t>
  </si>
  <si>
    <t>SunE Moreno Valley</t>
  </si>
  <si>
    <t>SunE Apple Valley</t>
  </si>
  <si>
    <t>PG&amp;E Vaca-Dixon</t>
  </si>
  <si>
    <t>Bayville Central</t>
  </si>
  <si>
    <t>https://www.acua.com/ACUA/media/Acua/uploadedfiles/Solar-Array-Project-Fact-Sheet-2025.pdf#:~:text=The%20Solar%20Electric%20or%20Photovoltaic%20(PV)%20project,with%202%2C700%20electric%20modules%20or%20panels%20installed.</t>
  </si>
  <si>
    <t>For 54569, NJ Bayville, assume this reporting covers 280 kW of the 500 kW 2-phase project</t>
  </si>
  <si>
    <t>TX</t>
  </si>
  <si>
    <t>Blue Wing</t>
  </si>
  <si>
    <t>Copper Mtn 48 (FS)</t>
  </si>
  <si>
    <t>CalRenew-1</t>
  </si>
  <si>
    <t>Carson</t>
  </si>
  <si>
    <t>Cimarron</t>
  </si>
  <si>
    <t>NM</t>
  </si>
  <si>
    <t>Look at the site in Google Earth once you've found its lat/long. Take a look at historical imagery to see if the system has been altered or removed. Take note of its orientation - fixed or tracker, azimuth, tilt…</t>
  </si>
  <si>
    <t>Look up the nearest TMY2 annual average POA for the nearest orientation</t>
  </si>
  <si>
    <t>Add the new series to the graph in the PI tab, and fiddle with its line and marker to look as unique as possible</t>
  </si>
  <si>
    <t>Crayola</t>
  </si>
  <si>
    <t>Duke Egy 10240</t>
  </si>
  <si>
    <t>Duke Egy 1725</t>
  </si>
  <si>
    <t>Duke Egy 657</t>
  </si>
  <si>
    <t>Median</t>
  </si>
  <si>
    <t>NREL Main</t>
  </si>
  <si>
    <t>Ran 9 years and seems to have gotten larger</t>
  </si>
  <si>
    <t>NREL NWTC Bldg</t>
  </si>
  <si>
    <t>Ran 7 of 9 years, piece of shit</t>
  </si>
  <si>
    <t>Dow Jones</t>
  </si>
  <si>
    <t>ETS Ewing</t>
  </si>
  <si>
    <t>Annual Rankings, seek to find the 90% percentile (i.e., boundary of worst 10%)</t>
  </si>
  <si>
    <t>Line #</t>
  </si>
  <si>
    <t>Sys count</t>
  </si>
  <si>
    <t>Line#, p90</t>
  </si>
  <si>
    <t>Rank,p90</t>
  </si>
  <si>
    <t>p90 (obs.rank)</t>
  </si>
  <si>
    <t>MW,ac</t>
  </si>
  <si>
    <t>ILR</t>
  </si>
  <si>
    <t>MWh,act.</t>
  </si>
  <si>
    <t>MWh,exp.</t>
  </si>
  <si>
    <t>Reported raw MWh per year - a small percentage, roughly 1%, of these numbers are impossibly high and will be capped at no greater than a 1.15 PI on the derived table to the right</t>
  </si>
  <si>
    <t>w/degr</t>
  </si>
  <si>
    <t>Lifetime expected energy over number of years reported in the EIA database</t>
  </si>
  <si>
    <t>This term uses the economics formula F/A, uniform series compound amount factor</t>
  </si>
  <si>
    <t>w/o degr</t>
  </si>
  <si>
    <t>smallest</t>
  </si>
  <si>
    <t>average</t>
  </si>
  <si>
    <t>largest</t>
  </si>
  <si>
    <t>Expected</t>
  </si>
  <si>
    <t>Actual</t>
  </si>
  <si>
    <t>Lifetime PI</t>
  </si>
  <si>
    <t>min PI</t>
  </si>
  <si>
    <t>avg PI</t>
  </si>
  <si>
    <t>median PI</t>
  </si>
  <si>
    <t>max PI</t>
  </si>
  <si>
    <t>Percentile Rank</t>
  </si>
  <si>
    <t>Type</t>
  </si>
  <si>
    <t>trkr only</t>
  </si>
  <si>
    <t>fixed only</t>
  </si>
  <si>
    <t>PI</t>
  </si>
  <si>
    <t>%,PI,MWp</t>
  </si>
  <si>
    <t>Linest slope</t>
  </si>
  <si>
    <t>Linest Int.</t>
  </si>
  <si>
    <t>simple average degr rate if all systems are assumed to degrade linearly from year 1.</t>
  </si>
  <si>
    <t>Average PI and degradation by state</t>
  </si>
  <si>
    <t># systems</t>
  </si>
  <si>
    <t>H</t>
  </si>
  <si>
    <t>C</t>
  </si>
  <si>
    <t>M</t>
  </si>
  <si>
    <t>FRV SI Transport</t>
  </si>
  <si>
    <t>Ran 6 yrs, zero for a year, then two inexplicable 50% higher years, then revert to its earlier trend. Too unexplained and weird to include, and only shows 11 sensible years out of 15. Piece of shit.</t>
  </si>
  <si>
    <t>Greater Sandhill</t>
  </si>
  <si>
    <t>Haleon York RDC Solar Facility</t>
  </si>
  <si>
    <t>Haverhill</t>
  </si>
  <si>
    <t>Jacksonville</t>
  </si>
  <si>
    <t>Kapaa</t>
  </si>
  <si>
    <t>Knouse</t>
  </si>
  <si>
    <t>Linden</t>
  </si>
  <si>
    <t>LA Harbor College</t>
  </si>
  <si>
    <t>--</t>
  </si>
  <si>
    <t>Metro Support Services</t>
  </si>
  <si>
    <t>NEDC Solar Site</t>
  </si>
  <si>
    <t>Pacific Cruise</t>
  </si>
  <si>
    <t>https://www.joc.com/article/port-of-los-angeles-completes-one-megawatt-solar-project-on-rooftop-of-world-cruise-center-5649339</t>
  </si>
  <si>
    <t>This is for location and size and specs for Pacific Cruise Ship Terminals Berth 93</t>
  </si>
  <si>
    <t>Pocono</t>
  </si>
  <si>
    <t>RV CSU Power II</t>
  </si>
  <si>
    <t>Robert O Schulz</t>
  </si>
  <si>
    <t>Roger Rd. WWTP SunE</t>
  </si>
  <si>
    <t>Shelby</t>
  </si>
  <si>
    <t>https://whosonthemove.com/duke-energy-commercial-solar-power-project-producing-electricity-in-shelby-n-c-163433/</t>
  </si>
  <si>
    <t>Sunpower Duke NC, assume 230 W modules of that vintage, link says qty 4,500</t>
  </si>
  <si>
    <t>Sierra Suntower</t>
  </si>
  <si>
    <t>Silver Lake</t>
  </si>
  <si>
    <t>Space Coast</t>
  </si>
  <si>
    <t>Sun Farmer</t>
  </si>
  <si>
    <t>Stillbirth - nothing in any year!?</t>
  </si>
  <si>
    <t>Sunset Reservoir</t>
  </si>
  <si>
    <t>Taylorsville</t>
  </si>
  <si>
    <t>Trenton</t>
  </si>
  <si>
    <t>UASTP I</t>
  </si>
  <si>
    <t>Victor Valley</t>
  </si>
  <si>
    <t>CPV</t>
  </si>
  <si>
    <t>WEA Texas Bayonne</t>
  </si>
  <si>
    <t>OH</t>
  </si>
  <si>
    <t>Yardville</t>
  </si>
  <si>
    <t>Yolo County</t>
  </si>
  <si>
    <t>Wyandot</t>
  </si>
  <si>
    <t>Plants for multiple sectors,multiple states,solar</t>
  </si>
  <si>
    <t>https://www.eia.gov/beta/electricity/data/browser/#/topic/1?agg=2,0,1&amp;fuel=0000001&amp;pt=&amp;pm=&amp;sec=vvo&amp;geo=vvvvvvvvvvvvo&amp;wd=&amp;ws=&amp;wsn=&amp;wt=&amp;freq=A&amp;datecode=2010&amp;tab=overview&amp;pin=&amp;rse=0&amp;maptype=0&amp;ltype=pin&amp;ctype=linechart&amp;end=201710&amp;start=200101</t>
  </si>
  <si>
    <t>Fri Apr 03 2026 20:33:58 GMT-0700 (Pacific Daylight Time)</t>
  </si>
  <si>
    <t>Source: U.S. Energy Information Administration</t>
  </si>
  <si>
    <t>Plant Name</t>
  </si>
  <si>
    <t>Plant Code</t>
  </si>
  <si>
    <t>Sector Name</t>
  </si>
  <si>
    <t>Prime Movers</t>
  </si>
  <si>
    <t>Fuel Types</t>
  </si>
  <si>
    <t>Primary Technology</t>
  </si>
  <si>
    <t>Agua Fria</t>
  </si>
  <si>
    <t>Electric Utility</t>
  </si>
  <si>
    <t>GT, PV, ST</t>
  </si>
  <si>
    <t>NG, SUN</t>
  </si>
  <si>
    <t>Multiple</t>
  </si>
  <si>
    <t>IPP Non-CHP</t>
  </si>
  <si>
    <t>PV</t>
  </si>
  <si>
    <t>SUN</t>
  </si>
  <si>
    <t>Solar Photovoltaic</t>
  </si>
  <si>
    <t>Atlantic City Convention Center</t>
  </si>
  <si>
    <t>Ausra Kimberlina Solar Generation</t>
  </si>
  <si>
    <t>ST</t>
  </si>
  <si>
    <t>Solar Thermal without Energy Storage</t>
  </si>
  <si>
    <t>Bayville Central Facility</t>
  </si>
  <si>
    <t>Commercial CHP</t>
  </si>
  <si>
    <t>IC, PV</t>
  </si>
  <si>
    <t>DFO, OBG, SUN</t>
  </si>
  <si>
    <t>Belmar Solar Array</t>
  </si>
  <si>
    <t>Blue Wing Solar Energy Generation</t>
  </si>
  <si>
    <t>Bolthouse S&amp;P and Rowen Farms Solar</t>
  </si>
  <si>
    <t>CM10</t>
  </si>
  <si>
    <t>CM48</t>
  </si>
  <si>
    <t>CSU Fresno Solar Project</t>
  </si>
  <si>
    <t>Carson Solar I</t>
  </si>
  <si>
    <t>Chuckawalla Valley State Prison</t>
  </si>
  <si>
    <t>Cimarron Solar Facility</t>
  </si>
  <si>
    <t>Crayola Solar Project</t>
  </si>
  <si>
    <t>DE Solar 10240 Old Dowd Rd</t>
  </si>
  <si>
    <t>DE Solar 1725 Drywall Dr</t>
  </si>
  <si>
    <t>DE Solar 657 Brigham Rd</t>
  </si>
  <si>
    <t>DOE Golden NREL Main Campus</t>
  </si>
  <si>
    <t>Commercial Non-CHP</t>
  </si>
  <si>
    <t>DOE Golden NWTC Building Side</t>
  </si>
  <si>
    <t>DeSoto Next Generation Solar Energy</t>
  </si>
  <si>
    <t>Deer Island Treatment Plant</t>
  </si>
  <si>
    <t>GT, HY, PV, ST, WT</t>
  </si>
  <si>
    <t>DFO, OBG, SUN, WAT, WND</t>
  </si>
  <si>
    <t>Denver Int Airport</t>
  </si>
  <si>
    <t>Dow Jones South Brunswick Solar</t>
  </si>
  <si>
    <t>ELACC Photovoltaic Power Facility</t>
  </si>
  <si>
    <t>ETS Ewing Solar Facility</t>
  </si>
  <si>
    <t>Exelon Solar Chicago</t>
  </si>
  <si>
    <t>FRV SI Transport Solar LP</t>
  </si>
  <si>
    <t>Gap Pacific Distribution Center</t>
  </si>
  <si>
    <t>Greater Sandhill I</t>
  </si>
  <si>
    <t>Hall's Warehouse Solar Project</t>
  </si>
  <si>
    <t>Haverhill Solar Power Project</t>
  </si>
  <si>
    <t>Jacksonville Solar</t>
  </si>
  <si>
    <t>Kapaa Photovoltaic Project</t>
  </si>
  <si>
    <t>Knouse Solar Project 1</t>
  </si>
  <si>
    <t>Industrial Non-CHP</t>
  </si>
  <si>
    <t>Kohls San Bernardino Solar Facility</t>
  </si>
  <si>
    <t>Lanai Solar-Electric Plant</t>
  </si>
  <si>
    <t>Linden Solar Farm</t>
  </si>
  <si>
    <t>Lockhart Solar PV, LLC</t>
  </si>
  <si>
    <t>Los Angeles Harbor College</t>
  </si>
  <si>
    <t>MF Mesa Lane LLC</t>
  </si>
  <si>
    <t>MMA RC Power LP</t>
  </si>
  <si>
    <t>Mariani Packing Vacaville Solar</t>
  </si>
  <si>
    <t>Maricopa Solar</t>
  </si>
  <si>
    <t>OT</t>
  </si>
  <si>
    <t>Metro Support Services Center Solar</t>
  </si>
  <si>
    <t>Nellis Air Force Base Solar Array</t>
  </si>
  <si>
    <t>PPL Renewable Energy Merck Solar</t>
  </si>
  <si>
    <t>Pacific Cruise Ship Terminals Berth 93</t>
  </si>
  <si>
    <t>Pennsauken Solar</t>
  </si>
  <si>
    <t>Pocono Solar Project</t>
  </si>
  <si>
    <t>Prescott Airport</t>
  </si>
  <si>
    <t>RMQ 1 and 2</t>
  </si>
  <si>
    <t>RV CSU Power II LLC</t>
  </si>
  <si>
    <t>RV CSU Power LLC</t>
  </si>
  <si>
    <t>Rancho Seco Solar</t>
  </si>
  <si>
    <t>Robert O Schulz Solar Farm</t>
  </si>
  <si>
    <t>Roger Road WWTP</t>
  </si>
  <si>
    <t>Sacramento Soleil LLC</t>
  </si>
  <si>
    <t>GT, OT, ST</t>
  </si>
  <si>
    <t>Shelby Solar Energy Generation Facility</t>
  </si>
  <si>
    <t>Sierra SunTower Solar Gen Station</t>
  </si>
  <si>
    <t>Silver Lake Solar Farm</t>
  </si>
  <si>
    <t>Solar Blythe LLC</t>
  </si>
  <si>
    <t>Solar Photovoltaic Project #01</t>
  </si>
  <si>
    <t>Solar Photovoltaic Project #02</t>
  </si>
  <si>
    <t>Space Coast Next Gen Solar Energy</t>
  </si>
  <si>
    <t>PV, ST</t>
  </si>
  <si>
    <t>SUB, SUN</t>
  </si>
  <si>
    <t>State-Fuel Level Increment</t>
  </si>
  <si>
    <t>Sun Farmer I</t>
  </si>
  <si>
    <t>SunE Alamosa</t>
  </si>
  <si>
    <t>SunEdison Anheuser Busch Fairfield</t>
  </si>
  <si>
    <t>SunEdison Ironwood State Prison</t>
  </si>
  <si>
    <t>SunEdison LV Sutton Plant Site</t>
  </si>
  <si>
    <t>SunEdison Procter &amp; Gamble Oxnard</t>
  </si>
  <si>
    <t>SunEdison Walgreens Moreno Valley</t>
  </si>
  <si>
    <t>SunEdison Walmart Apple Valley DC</t>
  </si>
  <si>
    <t>Sunset Reservoir North Basin</t>
  </si>
  <si>
    <t>Taylorsville Solar LLC</t>
  </si>
  <si>
    <t>Trenton Solar Farm</t>
  </si>
  <si>
    <t>Vaca Dixon Solar Station</t>
  </si>
  <si>
    <t>Victor Valley CC CPV Solar</t>
  </si>
  <si>
    <t>WWRF Solar Plant</t>
  </si>
  <si>
    <t>Walgreens Woodland Distribution Center</t>
  </si>
  <si>
    <t>Western 102 Power Plant</t>
  </si>
  <si>
    <t>PV, WT</t>
  </si>
  <si>
    <t>SUN, WND</t>
  </si>
  <si>
    <t>Wyandot Solar Farm</t>
  </si>
  <si>
    <t>Yardville Solar Farm</t>
  </si>
  <si>
    <t>Yolo County Solar Project</t>
  </si>
  <si>
    <t>systems</t>
  </si>
  <si>
    <t>qualified to include by Tim</t>
  </si>
  <si>
    <t>https://www.eia.gov/beta/electricity/data/browser/#/topic/1?agg=2,0,1&amp;fuel=0000001&amp;pt=&amp;pm=&amp;sec=vvo&amp;geo=vvvvvvvvvvvvo&amp;wd=&amp;ws=&amp;wsn=&amp;wt=&amp;freq=A&amp;datecode=2011&amp;tab=overview&amp;start=200101&amp;end=201710&amp;ctype=linechart&amp;ltype=pin&amp;maptype=0&amp;rse=0&amp;pin=</t>
  </si>
  <si>
    <t>Fri Apr 03 2026 20:35:53 GMT-0700 (Pacific Daylight Time)</t>
  </si>
  <si>
    <t>1420 Coil Av #C</t>
  </si>
  <si>
    <t>145 Talmadge Solar</t>
  </si>
  <si>
    <t>500 Virginia Solar</t>
  </si>
  <si>
    <t>AFA Solar Farm</t>
  </si>
  <si>
    <t>Aerojet I</t>
  </si>
  <si>
    <t>Aerojet II</t>
  </si>
  <si>
    <t>Alamogordo Solar Energy Center</t>
  </si>
  <si>
    <t>Albuquerque Solar Energy Center</t>
  </si>
  <si>
    <t>Arizona Western College PV</t>
  </si>
  <si>
    <t>Avenal Park</t>
  </si>
  <si>
    <t>Bakersfield College Solar 01</t>
  </si>
  <si>
    <t>Bellevue Solar Project</t>
  </si>
  <si>
    <t>OR</t>
  </si>
  <si>
    <t>Benjamin Moore &amp; Co. Solar</t>
  </si>
  <si>
    <t>CASD Solar</t>
  </si>
  <si>
    <t>CS Murphy Point, LLC</t>
  </si>
  <si>
    <t>Castle Rock Vineyards</t>
  </si>
  <si>
    <t>Cherry Hill</t>
  </si>
  <si>
    <t>Chittenden County Solar Partners</t>
  </si>
  <si>
    <t>VT</t>
  </si>
  <si>
    <t>City &amp; County of Denver at Denver Int'l</t>
  </si>
  <si>
    <t>City of Boulder WWTP</t>
  </si>
  <si>
    <t>City of Madera WWTP</t>
  </si>
  <si>
    <t>Cotton Center Solar Hybrid</t>
  </si>
  <si>
    <t>Dartmouth Solar</t>
  </si>
  <si>
    <t>Deming Solar Energy Center</t>
  </si>
  <si>
    <t>Dinuba Wastewater Treatment Plant</t>
  </si>
  <si>
    <t>Dover Sun Park</t>
  </si>
  <si>
    <t>DE</t>
  </si>
  <si>
    <t>FRB Solar Farm</t>
  </si>
  <si>
    <t>FedEx Field Solar Facility</t>
  </si>
  <si>
    <t>MD</t>
  </si>
  <si>
    <t>FedEx Woodbridge</t>
  </si>
  <si>
    <t>Five Points Solar Station</t>
  </si>
  <si>
    <t>Flemington Solar</t>
  </si>
  <si>
    <t>Frenchtown II Solar</t>
  </si>
  <si>
    <t>Hatch Solar Energy Center I, LLC</t>
  </si>
  <si>
    <t>Heller Industrial Parks</t>
  </si>
  <si>
    <t>Holyoke Solar Cooperative at Mueller</t>
  </si>
  <si>
    <t>Hyder Solar Hybrid</t>
  </si>
  <si>
    <t>ISH Solar Central, LLC</t>
  </si>
  <si>
    <t>ISH Solar Hospital Downey</t>
  </si>
  <si>
    <t>ISH Solar Hospital SDMC</t>
  </si>
  <si>
    <t>Improvement Dst No. 4</t>
  </si>
  <si>
    <t>Indian Orchard PV Facility</t>
  </si>
  <si>
    <t>Johnson Matthey, Inc. Solar</t>
  </si>
  <si>
    <t>Kent County Wastewater Treatment Solar</t>
  </si>
  <si>
    <t>Kingman 1</t>
  </si>
  <si>
    <t>L'Oreal Piscataway</t>
  </si>
  <si>
    <t>La Senita</t>
  </si>
  <si>
    <t>Las Vegas Solar Energy Center</t>
  </si>
  <si>
    <t>Lebanon Solar</t>
  </si>
  <si>
    <t>Long Island Solar Farm LLC</t>
  </si>
  <si>
    <t>NY</t>
  </si>
  <si>
    <t>Longwood Gardens</t>
  </si>
  <si>
    <t>Los Lunas Solar Energy Center</t>
  </si>
  <si>
    <t>Macys Goodyear</t>
  </si>
  <si>
    <t>Manalapan Village Solar</t>
  </si>
  <si>
    <t>Maple Solar</t>
  </si>
  <si>
    <t>Martin</t>
  </si>
  <si>
    <t>CA, CT, ST</t>
  </si>
  <si>
    <t>NG, RFO</t>
  </si>
  <si>
    <t>Martins Creek Solar NC, LLC</t>
  </si>
  <si>
    <t>Masser Farms Realty Solar</t>
  </si>
  <si>
    <t>Matrix Buildings A&amp;B (Perth Amboy) Solar</t>
  </si>
  <si>
    <t>Matrix Stults Road Solar Facility</t>
  </si>
  <si>
    <t>Mayberry Solar LLC</t>
  </si>
  <si>
    <t>McCormick &amp; Co. Inc. at Belcamp</t>
  </si>
  <si>
    <t>McGraw Hill Solar</t>
  </si>
  <si>
    <t>McKee City Solar Phase 2</t>
  </si>
  <si>
    <t>Meridian Vineyards</t>
  </si>
  <si>
    <t>Mesquite Solar 1</t>
  </si>
  <si>
    <t>Mill Creek Solar</t>
  </si>
  <si>
    <t>Morgantown Solar Park</t>
  </si>
  <si>
    <t>Murphy Farm Power, LLC</t>
  </si>
  <si>
    <t>Murray Hill Solar</t>
  </si>
  <si>
    <t>NJ Oak Solar Plant</t>
  </si>
  <si>
    <t>NJMC Landfill</t>
  </si>
  <si>
    <t>Napoleon Solar I</t>
  </si>
  <si>
    <t>Palo Verde College</t>
  </si>
  <si>
    <t>Paloma Solar Hybrid</t>
  </si>
  <si>
    <t>Perdue Bridgeville Photovoltaic</t>
  </si>
  <si>
    <t>Perdue Salisbury Photovoltaic</t>
  </si>
  <si>
    <t>Pilesgrove</t>
  </si>
  <si>
    <t>Poseidon Solar, LLC</t>
  </si>
  <si>
    <t>Questa Solar Facility</t>
  </si>
  <si>
    <t>RE Ajo 1 LLC</t>
  </si>
  <si>
    <t>RE Bagdad Solar I LLC</t>
  </si>
  <si>
    <t>RP-Orlando, LLC</t>
  </si>
  <si>
    <t>Rinehart</t>
  </si>
  <si>
    <t>Roadrunner Solar</t>
  </si>
  <si>
    <t>Romark PA Solar</t>
  </si>
  <si>
    <t>SMUD at Fleshman</t>
  </si>
  <si>
    <t>SMUD at Grundman</t>
  </si>
  <si>
    <t>SMUD at Lawrence</t>
  </si>
  <si>
    <t>SMUD at Van Conett</t>
  </si>
  <si>
    <t>SPS1 Dollarhide</t>
  </si>
  <si>
    <t>SPS2 Jal</t>
  </si>
  <si>
    <t>SPS3 Lea</t>
  </si>
  <si>
    <t>SPS4 Monument</t>
  </si>
  <si>
    <t>SPS5 Hopi</t>
  </si>
  <si>
    <t>San Luis Valley Solar Ranch</t>
  </si>
  <si>
    <t>Sand Drag LLC</t>
  </si>
  <si>
    <t>Seabrook Solar Plant</t>
  </si>
  <si>
    <t>Silver Lake Solar Photovoltaic Facility</t>
  </si>
  <si>
    <t>Solar Park Gainesville, LLC</t>
  </si>
  <si>
    <t>Solar Photovoltaic Project #03</t>
  </si>
  <si>
    <t>Solar Photovoltaic Project #06</t>
  </si>
  <si>
    <t>Solar Photovoltaic Project #08</t>
  </si>
  <si>
    <t>Solar Photovoltaic Project #09</t>
  </si>
  <si>
    <t>Solar Photovoltaic Project #22</t>
  </si>
  <si>
    <t>Solar Star North Carolina II LLC</t>
  </si>
  <si>
    <t>Staples La Mirada, CA</t>
  </si>
  <si>
    <t>Stockton Athletic Center</t>
  </si>
  <si>
    <t>Stroud Solar Station</t>
  </si>
  <si>
    <t>Summit Associates</t>
  </si>
  <si>
    <t>Sun City Project LLC</t>
  </si>
  <si>
    <t>CP</t>
  </si>
  <si>
    <t>Solar Thermal with Energy Storage</t>
  </si>
  <si>
    <t>Temescal Canyon RV, LLC</t>
  </si>
  <si>
    <t>The City of Vineland at North Vineland</t>
  </si>
  <si>
    <t>The City of Vineland at West Vineland</t>
  </si>
  <si>
    <t>Titusville Solar</t>
  </si>
  <si>
    <t>Toys R Us- DE, Inc. at Mt. Olive, NJ</t>
  </si>
  <si>
    <t>Trexlertown Solar Array North and South</t>
  </si>
  <si>
    <t>Univ of California San Diego Solar</t>
  </si>
  <si>
    <t>Vineland Headquarters</t>
  </si>
  <si>
    <t>Vineland Mays Landing Solar</t>
  </si>
  <si>
    <t>Walmart Casa Grande</t>
  </si>
  <si>
    <t>Webberville Solar Project</t>
  </si>
  <si>
    <t>Westside Solar Station</t>
  </si>
  <si>
    <t>William Paterson University</t>
  </si>
  <si>
    <t>Yamhill Solar LLC</t>
  </si>
  <si>
    <t>Yankee Street</t>
  </si>
  <si>
    <t>GT, PV</t>
  </si>
  <si>
    <t>new ones added in 2011</t>
  </si>
  <si>
    <t>listed through 2010</t>
  </si>
  <si>
    <t>Match w/previous</t>
  </si>
  <si>
    <t>New?</t>
  </si>
  <si>
    <t>Above size ref for shitty EIA #57310</t>
  </si>
  <si>
    <t>500 Virginia</t>
  </si>
  <si>
    <t>145 Talmadge</t>
  </si>
  <si>
    <t>Y</t>
  </si>
  <si>
    <t>Too short, 9 yrs, died 2021</t>
  </si>
  <si>
    <t>TMY2 Source</t>
  </si>
  <si>
    <t>Burlington</t>
  </si>
  <si>
    <t>El Paso</t>
  </si>
  <si>
    <t>Albuquerque</t>
  </si>
  <si>
    <t>Phoenix</t>
  </si>
  <si>
    <t>Sacramento</t>
  </si>
  <si>
    <t>Colorado Springs</t>
  </si>
  <si>
    <t>San Francisco</t>
  </si>
  <si>
    <t>Las Vegas</t>
  </si>
  <si>
    <t>Alamosa</t>
  </si>
  <si>
    <t>Daggett</t>
  </si>
  <si>
    <t>Fresno</t>
  </si>
  <si>
    <t>Boulder</t>
  </si>
  <si>
    <t>Chicago</t>
  </si>
  <si>
    <t>Lihue</t>
  </si>
  <si>
    <t>N</t>
  </si>
  <si>
    <t>Include in last batch of 24 for the Top 100?</t>
  </si>
  <si>
    <t>Running total</t>
  </si>
  <si>
    <t>Huge bogus jump in 2022, then died after 11 yrs operation</t>
  </si>
  <si>
    <t>Showed second half 50% increase - nonsense unless size is changing</t>
  </si>
  <si>
    <t>Hyder</t>
  </si>
  <si>
    <t>Santa Maria</t>
  </si>
  <si>
    <t>Baltimore</t>
  </si>
  <si>
    <t>SPS4 Monument SunE</t>
  </si>
  <si>
    <t>Midland</t>
  </si>
  <si>
    <t>Stroud</t>
  </si>
  <si>
    <t>Vineland West</t>
  </si>
  <si>
    <t>Atlantic City</t>
  </si>
  <si>
    <t>Webberville</t>
  </si>
  <si>
    <t>Austin</t>
  </si>
  <si>
    <t>this was the worst case degradation (Pacific Cruise Lines rooftop fixed-tilt)</t>
  </si>
  <si>
    <t>p90(rank)</t>
  </si>
  <si>
    <t>stdev PI &gt;</t>
  </si>
  <si>
    <t>avg PI &gt;</t>
  </si>
  <si>
    <r>
      <t>p90(1.28</t>
    </r>
    <r>
      <rPr>
        <sz val="11"/>
        <color theme="1"/>
        <rFont val="Calibri"/>
        <family val="2"/>
      </rPr>
      <t>σ</t>
    </r>
    <r>
      <rPr>
        <sz val="11"/>
        <color theme="1"/>
        <rFont val="Calibri"/>
        <family val="2"/>
        <scheme val="minor"/>
      </rPr>
      <t>)</t>
    </r>
  </si>
  <si>
    <t>Total</t>
  </si>
  <si>
    <t>Count</t>
  </si>
  <si>
    <t>SLD Degr</t>
  </si>
  <si>
    <t>System Size Differentiator</t>
  </si>
  <si>
    <t>&gt;5 MW,ac</t>
  </si>
  <si>
    <t>SLD</t>
  </si>
  <si>
    <t>Ownership Differentiator</t>
  </si>
  <si>
    <t>1st full yr</t>
  </si>
  <si>
    <t>1st kWh</t>
  </si>
  <si>
    <t>EIA list#</t>
  </si>
  <si>
    <t>in 2011,</t>
  </si>
  <si>
    <t>Sector</t>
  </si>
  <si>
    <t>Boston</t>
  </si>
  <si>
    <t>Kahului</t>
  </si>
  <si>
    <t>Philadelphia</t>
  </si>
  <si>
    <t>Raleigh</t>
  </si>
  <si>
    <t>Reno</t>
  </si>
  <si>
    <t>Yakima</t>
  </si>
  <si>
    <t>Tampa</t>
  </si>
  <si>
    <t>Newark</t>
  </si>
  <si>
    <t>Allentown</t>
  </si>
  <si>
    <t>For Kohl's San Bernardino, 57009, use Meteonorm at 10 degree POA</t>
  </si>
  <si>
    <t>56889 NJ Merck: azimuth is SE but slope appears to be negligible, so use Newark GHI</t>
  </si>
  <si>
    <t>Los Angeles</t>
  </si>
  <si>
    <t>WWRF Rifle SunE</t>
  </si>
  <si>
    <t>Grand Junction</t>
  </si>
  <si>
    <t>Woodland Walgreens SunE</t>
  </si>
  <si>
    <t>San Antonio</t>
  </si>
  <si>
    <t>Charlotte</t>
  </si>
  <si>
    <t>Greensboro</t>
  </si>
  <si>
    <t>Harrisburg</t>
  </si>
  <si>
    <t>Long Beach</t>
  </si>
  <si>
    <t>Worcester</t>
  </si>
  <si>
    <t>Wilkes-Barre</t>
  </si>
  <si>
    <t>Tucson</t>
  </si>
  <si>
    <t>Daytona Beach</t>
  </si>
  <si>
    <t>Mansfield</t>
  </si>
  <si>
    <t>Bridgeport</t>
  </si>
  <si>
    <t>Salem</t>
  </si>
  <si>
    <t>average&gt;</t>
  </si>
  <si>
    <t>median&gt;</t>
  </si>
  <si>
    <t>&lt;avg degr</t>
  </si>
  <si>
    <t>&lt;median degr</t>
  </si>
  <si>
    <t>&lt;5 MW,ac</t>
  </si>
  <si>
    <t>Size</t>
  </si>
  <si>
    <t>Average PI and SLD degr by temperature</t>
  </si>
  <si>
    <t>States</t>
  </si>
  <si>
    <t>Sectors</t>
  </si>
  <si>
    <t>Mariani Packing SunE</t>
  </si>
  <si>
    <t>All</t>
  </si>
  <si>
    <t>All Commercial</t>
  </si>
  <si>
    <t># at mode</t>
  </si>
  <si>
    <t>&lt; min, # &gt;</t>
  </si>
  <si>
    <t>&lt; max, # &gt;</t>
  </si>
  <si>
    <t>Most common</t>
  </si>
  <si>
    <t>There were 2-3 examples of small lifetime annual improvement, not degradation, mostly due to zero output in some early year</t>
  </si>
  <si>
    <t>avg&gt;&gt;</t>
  </si>
  <si>
    <t>m</t>
  </si>
  <si>
    <t>b</t>
  </si>
  <si>
    <t>For ex., enter yr#</t>
  </si>
  <si>
    <t>p90obs/median</t>
  </si>
  <si>
    <t>p90stat/median</t>
  </si>
  <si>
    <t>The p90observed/p50 ratio is:</t>
  </si>
  <si>
    <t>The p90statistical/p50 ratio is:</t>
  </si>
  <si>
    <t>y=mx+b equation to get p90obs/p50 by yr &gt;&gt;</t>
  </si>
  <si>
    <t>y=mx+b equation to get p90stat/p50 by yr &gt;&gt;</t>
  </si>
  <si>
    <t>Lifetime Degr</t>
  </si>
  <si>
    <t>Annual T,air</t>
  </si>
  <si>
    <t>Estim. Tmod</t>
  </si>
  <si>
    <t>Temp. Zone (&gt;50,&gt;40,&lt;40)</t>
  </si>
  <si>
    <t>H&gt;50, M&gt;40,</t>
  </si>
  <si>
    <t>Tmod ranking</t>
  </si>
  <si>
    <t>Range</t>
  </si>
  <si>
    <t>Number</t>
  </si>
  <si>
    <t>Top100 calcs, wtd by energy</t>
  </si>
  <si>
    <t>&lt; Fleet PI, wtd.</t>
  </si>
  <si>
    <t>MedianPI&gt;</t>
  </si>
  <si>
    <t>(unwghtd)</t>
  </si>
  <si>
    <t>Expected PR</t>
  </si>
  <si>
    <t>(user input)</t>
  </si>
  <si>
    <t>POA (by eqn.)</t>
  </si>
  <si>
    <t>data w/eqn.</t>
  </si>
  <si>
    <t>just data</t>
  </si>
  <si>
    <t>&lt; data entry color key</t>
  </si>
  <si>
    <t>and C&lt;40</t>
  </si>
  <si>
    <t>MWh-wtd PI</t>
  </si>
  <si>
    <t>Top 12 states w/more than 1% (8 more states had 1 system apiece)</t>
  </si>
  <si>
    <t>Developer Differentiator</t>
  </si>
  <si>
    <t>SunEdison</t>
  </si>
  <si>
    <t>Avg PI</t>
  </si>
  <si>
    <t>Avg SLD</t>
  </si>
  <si>
    <t>SunPower</t>
  </si>
  <si>
    <t>MMA</t>
  </si>
  <si>
    <t>First Solar</t>
  </si>
  <si>
    <t>these two were removed and replaced with PI equivalents in order to introduce two new states into the national mix</t>
  </si>
  <si>
    <t>Module type</t>
  </si>
  <si>
    <t>Module type differentiator</t>
  </si>
  <si>
    <t>CdSCdTe</t>
  </si>
  <si>
    <t>HIT</t>
  </si>
  <si>
    <t>c-Si</t>
  </si>
  <si>
    <t>Si_IBT</t>
  </si>
  <si>
    <t>Unknown</t>
  </si>
  <si>
    <t>Duke</t>
  </si>
  <si>
    <t>NRG</t>
  </si>
  <si>
    <t>NextEra</t>
  </si>
  <si>
    <t>PG&amp;E</t>
  </si>
  <si>
    <t>Developer</t>
  </si>
  <si>
    <t>Other utility</t>
  </si>
  <si>
    <t>totals&amp;avgs</t>
  </si>
  <si>
    <t>medians</t>
  </si>
  <si>
    <t>ann. p90 expon degr, Yr1-Yr16 &gt;</t>
  </si>
  <si>
    <t>ann. p50 expon degr, Yr1-Yr16 &gt;</t>
  </si>
  <si>
    <t>Delay Differentiator: years between start-up &amp; full ops</t>
  </si>
  <si>
    <t>(First Solar was sometimes used by</t>
  </si>
  <si>
    <t>developers other than FS)</t>
  </si>
  <si>
    <t>Can't find info on 56996, Solar Photovoltaic Project #02. Called SCE on 4/21 to ask for location and metadata; the "helpful" media rep Diane Castro says nope, won't tell you shit because of "privacy." Right. The fucking thing hasn't operated since 2022, so it ran for 13 of its design 30 years. Weeeee!</t>
  </si>
  <si>
    <t>https://www.californiadgstats.ca.gov/downloads/</t>
  </si>
  <si>
    <t>Sleuthing it out, maybe this is a two Satcon x 500 kW ac, and 808 kWp array in Fontana. Filtering the CSI Working Data set for SCE systems in 2009, this is the only one large enough to meet the possibility. Mitsubishi mods, Fixed 30 south.</t>
  </si>
  <si>
    <t>https://www.powermag.com/california-greenlights-sces-solar-rooftop-program/</t>
  </si>
  <si>
    <t>This ref suggest it's a First Solar job for SCE's #1 and #2 installs, with the second on a Chino rooftop of 458,000 sq ft industrial</t>
  </si>
  <si>
    <t>ann. p50 SLD degr, yr1-7&gt;</t>
  </si>
  <si>
    <t>p50 SLD degr, yr7-16&gt;</t>
  </si>
  <si>
    <t>San Bernardino (Meteonorm)</t>
  </si>
  <si>
    <t>Chino (Meteonorm)</t>
  </si>
  <si>
    <t>Moreno Valley (Meteonorm)</t>
  </si>
  <si>
    <t>Expctd Degr</t>
  </si>
  <si>
    <t>Wilmington DE</t>
  </si>
  <si>
    <t>Wilmington NC</t>
  </si>
  <si>
    <t>Northernmost</t>
  </si>
  <si>
    <t>Southernmost</t>
  </si>
  <si>
    <t>Easternmost</t>
  </si>
  <si>
    <t>Westernmost</t>
  </si>
  <si>
    <t>Tmod</t>
  </si>
  <si>
    <t>SLD degr rate over 16 yrs for the p90 system</t>
  </si>
  <si>
    <t>SLD degr rate over 16 yrs for the median system</t>
  </si>
  <si>
    <t>Fleet median degradation, 1st 7 yrs</t>
  </si>
  <si>
    <t>Fleet median degradation, last 9 yrs</t>
  </si>
  <si>
    <t>Line#, p10</t>
  </si>
  <si>
    <t>p10 (obs.rank)</t>
  </si>
  <si>
    <t>Rank,p10</t>
  </si>
  <si>
    <t>Year</t>
  </si>
  <si>
    <t>Mod type</t>
  </si>
  <si>
    <t>Structure</t>
  </si>
  <si>
    <r>
      <t>MW</t>
    </r>
    <r>
      <rPr>
        <vertAlign val="subscript"/>
        <sz val="11"/>
        <color theme="1"/>
        <rFont val="Calibri"/>
        <family val="2"/>
        <scheme val="minor"/>
      </rPr>
      <t>P</t>
    </r>
  </si>
  <si>
    <t>Data yrs</t>
  </si>
  <si>
    <t>Degradation</t>
  </si>
  <si>
    <t>PI rank #</t>
  </si>
  <si>
    <t>PI (@0.5% degr)</t>
  </si>
  <si>
    <t>America's longest-running PV systems, ranked by lifetime Performance Index, after allowing for an acceptable 0.5%/yr degradation</t>
  </si>
  <si>
    <t>TMY2 (Meteonorm at 3 CA sites)</t>
  </si>
  <si>
    <t>MN</t>
  </si>
  <si>
    <t>CT</t>
  </si>
  <si>
    <t>SC</t>
  </si>
  <si>
    <t>DF</t>
  </si>
  <si>
    <t>GHI</t>
  </si>
  <si>
    <t>DHI</t>
  </si>
  <si>
    <t>Kt</t>
  </si>
  <si>
    <t>Est.Clip</t>
  </si>
  <si>
    <t>CCC-based</t>
  </si>
  <si>
    <t>Corr'n.</t>
  </si>
  <si>
    <t>Visible</t>
  </si>
  <si>
    <t>estim.</t>
  </si>
  <si>
    <t>Elbe Solar Center</t>
  </si>
  <si>
    <t>Grange Hall Solar</t>
  </si>
  <si>
    <t>Oak Hill Solar Array</t>
  </si>
  <si>
    <t>Kearsarge SKSC2 LLC</t>
  </si>
  <si>
    <t>Facebook 2 Solar Energy Center</t>
  </si>
  <si>
    <t>Pima Community College</t>
  </si>
  <si>
    <t>Cottage Grove Project CSG</t>
  </si>
  <si>
    <t>Krause CSG</t>
  </si>
  <si>
    <t>RJC I CSG</t>
  </si>
  <si>
    <t>USS Dubhe Solar CSG</t>
  </si>
  <si>
    <t>Waterville CSG Solar Holdings LLC</t>
  </si>
  <si>
    <t>Copperfield</t>
  </si>
  <si>
    <t>Red Toad 4451 Buffalo Road, LLC</t>
  </si>
  <si>
    <t>Santa Rosa Junior College Petaluma Solar</t>
  </si>
  <si>
    <t>Curtis Hill Solar CSG</t>
  </si>
  <si>
    <t>Montague Site 36-Grosolar</t>
  </si>
  <si>
    <t>CBP Solar</t>
  </si>
  <si>
    <t>Jessamine Solar</t>
  </si>
  <si>
    <t>Hunterdon Health System Solar Project</t>
  </si>
  <si>
    <t>Eddy II</t>
  </si>
  <si>
    <t>Oak Leaf Solar XXVII LLC</t>
  </si>
  <si>
    <t>Jefferson Solar (CT)</t>
  </si>
  <si>
    <t>Bd of Educ of Queen Anne's Cnty, Cnty HS</t>
  </si>
  <si>
    <t>IN</t>
  </si>
  <si>
    <t>RI</t>
  </si>
  <si>
    <t>No data for 2024, so period is too short</t>
  </si>
  <si>
    <t>WyEast Solar</t>
  </si>
  <si>
    <t>Avangrid</t>
  </si>
  <si>
    <t>WyEast (Meteonorm)</t>
  </si>
  <si>
    <t>RMS variability</t>
  </si>
  <si>
    <t>TMY2 variability</t>
  </si>
  <si>
    <t>% explained variability</t>
  </si>
  <si>
    <t>orientation</t>
  </si>
  <si>
    <t>specific</t>
  </si>
  <si>
    <t>Evansville</t>
  </si>
  <si>
    <t>Providence</t>
  </si>
  <si>
    <t>Minneapolis</t>
  </si>
  <si>
    <t>Saint Cloud</t>
  </si>
  <si>
    <t>Rochester</t>
  </si>
  <si>
    <t>County of San Diego SBRC</t>
  </si>
  <si>
    <t>San Diego</t>
  </si>
  <si>
    <t>New York City</t>
  </si>
  <si>
    <t>Minisink Community Solar 2 LLC</t>
  </si>
  <si>
    <t>Waco</t>
  </si>
  <si>
    <t>Hartford</t>
  </si>
  <si>
    <t>25 system summary from 2018 start dates</t>
  </si>
  <si>
    <t>Degr, first 7 yrs</t>
  </si>
  <si>
    <t>Degr, beyond 7 yrs</t>
  </si>
  <si>
    <t>Median ILR</t>
  </si>
  <si>
    <t>Median daily POA</t>
  </si>
  <si>
    <t>Median MWp</t>
  </si>
  <si>
    <t>Median DF</t>
  </si>
  <si>
    <t>Typical clip%</t>
  </si>
  <si>
    <t>Set A</t>
  </si>
  <si>
    <t>Set B</t>
  </si>
  <si>
    <t>% hot locations (Tmod&gt;50)</t>
  </si>
  <si>
    <t>% cold locations (Tmod&lt;40)</t>
  </si>
  <si>
    <t>n/a</t>
  </si>
  <si>
    <t>ann. p90 expon degr, Yr1-Yr7 &gt;</t>
  </si>
  <si>
    <t>ann. p50 expon degr, Yr1-Yr7 &gt;</t>
  </si>
  <si>
    <t>Hidden clipping portion</t>
  </si>
  <si>
    <t>% tracking systems</t>
  </si>
  <si>
    <t>Finding</t>
  </si>
  <si>
    <t>Median age</t>
  </si>
  <si>
    <t>Median PI, overall lifetime</t>
  </si>
  <si>
    <t>Median PI, first 7 years</t>
  </si>
  <si>
    <t>Based on Townsend PVsyst modeling w/1% dc degr.</t>
  </si>
  <si>
    <t>7-year MWh</t>
  </si>
  <si>
    <t>yr 1 MWh</t>
  </si>
  <si>
    <t>yr 2 MWh</t>
  </si>
  <si>
    <t>yr 3 MWh</t>
  </si>
  <si>
    <t>yr 4 MWh</t>
  </si>
  <si>
    <t>yr 5 MWh</t>
  </si>
  <si>
    <t>yr 6 MWh</t>
  </si>
  <si>
    <t>yr 7 MWh</t>
  </si>
  <si>
    <t>7-year</t>
  </si>
  <si>
    <t>Median 7-yr PI</t>
  </si>
  <si>
    <t>Median lifetime, years</t>
  </si>
  <si>
    <t>Set B was chosen to compare against first 7 years of Set A.</t>
  </si>
  <si>
    <t>Newer PV is either more stable or some degr is hidden by clipping.</t>
  </si>
  <si>
    <t>Set A: 100 longest-running systems (typical full operation begins 2011)</t>
  </si>
  <si>
    <t>Set B: 25 systems (typical full operation begins 2019)</t>
  </si>
  <si>
    <t>Newer systems are performing a bit worse than the oldies!?</t>
  </si>
  <si>
    <t>Beyond 7 years, performance is nosediving among older systems.</t>
  </si>
  <si>
    <t>Newer systems are only moderately larger.</t>
  </si>
  <si>
    <t>Newer systems have much higher ILRs.</t>
  </si>
  <si>
    <t>Newer systems include many cloudier places.</t>
  </si>
  <si>
    <t>Yes, newer systems are definitely going into much cloudier places.</t>
  </si>
  <si>
    <t>Based on Townsend's CCC work, clip =f(POA,ILR,DF).</t>
  </si>
  <si>
    <t>Developers known to me, but I was too lazy to add them to the named list, include:</t>
  </si>
  <si>
    <t>Surprisingly, a slight dip in tracker popularity?</t>
  </si>
  <si>
    <t>And a notable shift away from hot locations, moving to</t>
  </si>
  <si>
    <t>colder locations.</t>
  </si>
  <si>
    <t>Std deviation of lifetime PI</t>
  </si>
  <si>
    <t>Std deviation of 7-yr PI</t>
  </si>
  <si>
    <t>More significant was the disappearance of the name brand developers that dominated the earlier years</t>
  </si>
  <si>
    <t>Std dev of 7-yr PI</t>
  </si>
  <si>
    <t>Newer set has a higher std dev, but 1/4th the sample size.</t>
  </si>
  <si>
    <t>Unweighted for size. Expected PR: 0.8 fixed, 0.76 trkr</t>
  </si>
  <si>
    <t>However, shouldn't compare PI over vastly different lifetimes.</t>
  </si>
  <si>
    <t>For Set B, the lifetime std dev is of course the same as for 7 yrs.</t>
  </si>
  <si>
    <t>Hot</t>
  </si>
  <si>
    <t>Cold</t>
  </si>
  <si>
    <t>Median PI</t>
  </si>
  <si>
    <t>Median Degr</t>
  </si>
  <si>
    <t>Full lifetime</t>
  </si>
  <si>
    <t>7-yr only</t>
  </si>
  <si>
    <t>Summary statistics for U.S. PV system fleet samples</t>
  </si>
  <si>
    <t>7-yr PI in hot locations</t>
  </si>
  <si>
    <t>7-yr PI in cold locations</t>
  </si>
  <si>
    <t>In Set A's 100 cases, the PI is markedly worse in hot locations.</t>
  </si>
  <si>
    <t>In Set B's 25 cases, the comparison is meaningless, since there</t>
  </si>
  <si>
    <t>was only 1 hot location out of the 25 I randomly selected.</t>
  </si>
  <si>
    <t>16-yr degr in hot locations</t>
  </si>
  <si>
    <t>16-yr degr in cold locations</t>
  </si>
  <si>
    <t>In Set A's 100 cases, the degr is markedly worse in hot locations.</t>
  </si>
  <si>
    <t>In Set B's 25 cases, a degr comparison isn't meaningful.</t>
  </si>
  <si>
    <t>Count (all)</t>
  </si>
  <si>
    <t>Count (newer 25)</t>
  </si>
  <si>
    <t>this was the worst case degradation (Santa Rosa JC carport)</t>
  </si>
  <si>
    <t>% of systems</t>
  </si>
  <si>
    <t>CHP=Combined Heat &amp; Power</t>
  </si>
  <si>
    <t>Squared deviation from straight-line fit, by year</t>
  </si>
  <si>
    <t>NOTE: This table was created using the yellow user input expectation of 0% degradation. Just beware of changing it.</t>
  </si>
  <si>
    <t>This table created from data in the main PlanData tab, saved as frozen values</t>
  </si>
  <si>
    <t>"Avg" Location &gt;&gt;</t>
  </si>
  <si>
    <t>"Avg" Location (excl. HI) &gt;&gt;</t>
  </si>
  <si>
    <t>St. Louis!</t>
  </si>
  <si>
    <t>Wichita!</t>
  </si>
  <si>
    <t>Average Tmod</t>
  </si>
  <si>
    <t>Bin</t>
  </si>
  <si>
    <t>&gt;40</t>
  </si>
  <si>
    <t>40to50</t>
  </si>
  <si>
    <t>&gt;50</t>
  </si>
  <si>
    <t>#</t>
  </si>
  <si>
    <t>Inter-annual variability (IAV) analysis of generation and insolation (to the right)</t>
  </si>
  <si>
    <t>slope</t>
  </si>
  <si>
    <t>intercept</t>
  </si>
  <si>
    <t>Subsequent years: linear degr.</t>
  </si>
  <si>
    <t>First 7 years: linear degr.</t>
  </si>
  <si>
    <t># of systems</t>
  </si>
  <si>
    <t>7-year PI probability overlaps for Old 100 and New 25 systems</t>
  </si>
  <si>
    <t>Set</t>
  </si>
  <si>
    <t>Old 100</t>
  </si>
  <si>
    <t>New 25</t>
  </si>
  <si>
    <t>PI7</t>
  </si>
  <si>
    <t>Stdev</t>
  </si>
  <si>
    <t>Cumul Prob</t>
  </si>
  <si>
    <t>1-sided</t>
  </si>
  <si>
    <t>Density</t>
  </si>
  <si>
    <t>The probability that these are the same value, that is, the null hypothesis, looks</t>
  </si>
  <si>
    <t>at the % overlapping area beneath the two curves</t>
  </si>
  <si>
    <t>Question: is the new distribution different from</t>
  </si>
  <si>
    <t>the old one?</t>
  </si>
  <si>
    <t>Answer: we use the null hypothesis, assuming they</t>
  </si>
  <si>
    <t>are the same number, then calculate the probability</t>
  </si>
  <si>
    <t>that the two numbers are the same.</t>
  </si>
  <si>
    <t>Assume reference distribution is the old one</t>
  </si>
  <si>
    <t>The delta Z is:</t>
  </si>
  <si>
    <t>At this value of Z, the cumul area under the ref curve:</t>
  </si>
  <si>
    <t>Here, the area common to both distributions is pretty high, so they don't appear to</t>
  </si>
  <si>
    <t>be very different, at least not at a high confidence</t>
  </si>
  <si>
    <t>To the right of this crossover PI value, the ref curve holds</t>
  </si>
  <si>
    <t>of its area</t>
  </si>
  <si>
    <t>To the right of this crossover PI value, the newer test curve holds</t>
  </si>
  <si>
    <t>So the area common to both curves must be the sum of the gray</t>
  </si>
  <si>
    <t>portion to the left of the crossover, or</t>
  </si>
  <si>
    <t>plus the area beneath the gold curve to the right of the crossover:</t>
  </si>
  <si>
    <t>The total area common to both curves is:</t>
  </si>
  <si>
    <t>So the chance that these are different distributions is small, just</t>
  </si>
  <si>
    <t>RMS var.</t>
  </si>
  <si>
    <t>1st 7 yrs</t>
  </si>
  <si>
    <t>% explained</t>
  </si>
  <si>
    <t>Supplementary statistics for U.S. PV system fleet samples</t>
  </si>
  <si>
    <r>
      <t xml:space="preserve">Median 7-yr production variability, </t>
    </r>
    <r>
      <rPr>
        <sz val="11"/>
        <color theme="1"/>
        <rFont val="Calibri"/>
        <family val="2"/>
      </rPr>
      <t>±</t>
    </r>
    <r>
      <rPr>
        <sz val="9.9"/>
        <color theme="1"/>
        <rFont val="Calibri"/>
        <family val="2"/>
      </rPr>
      <t>%</t>
    </r>
  </si>
  <si>
    <r>
      <t xml:space="preserve">Inter-annual POA variability, </t>
    </r>
    <r>
      <rPr>
        <sz val="11"/>
        <color theme="1"/>
        <rFont val="Calibri"/>
        <family val="2"/>
      </rPr>
      <t>±</t>
    </r>
    <r>
      <rPr>
        <sz val="9.9"/>
        <color theme="1"/>
        <rFont val="Calibri"/>
        <family val="2"/>
      </rPr>
      <t>%</t>
    </r>
  </si>
  <si>
    <t>% "explainable" production variability</t>
  </si>
  <si>
    <r>
      <t xml:space="preserve">Median lifetime production variability, </t>
    </r>
    <r>
      <rPr>
        <sz val="11"/>
        <color theme="1"/>
        <rFont val="Calibri"/>
        <family val="2"/>
      </rPr>
      <t>±</t>
    </r>
    <r>
      <rPr>
        <sz val="9.9"/>
        <color theme="1"/>
        <rFont val="Calibri"/>
        <family val="2"/>
      </rPr>
      <t>%</t>
    </r>
  </si>
  <si>
    <t>7-yr</t>
  </si>
  <si>
    <t>same as</t>
  </si>
  <si>
    <t>above</t>
  </si>
  <si>
    <t>Newer set shows higher variability</t>
  </si>
  <si>
    <t>be explained by weather</t>
  </si>
  <si>
    <t>and a smaller percentage that can</t>
  </si>
  <si>
    <t>&lt; median Tmod</t>
  </si>
  <si>
    <t>PI rank</t>
  </si>
  <si>
    <t>1st 7 years</t>
  </si>
  <si>
    <t>Yr7 onward</t>
  </si>
  <si>
    <t>Yrs of data</t>
  </si>
  <si>
    <t>p50 Yr1 exp.</t>
  </si>
  <si>
    <t>MWh</t>
  </si>
  <si>
    <t>Variability</t>
  </si>
  <si>
    <t>Normal POA</t>
  </si>
  <si>
    <t>POA</t>
  </si>
  <si>
    <t>LTAvg</t>
  </si>
  <si>
    <t>PR</t>
  </si>
  <si>
    <t>Detailed look at the role of weather variability and system output variability for a few of the "most median" representative older systems</t>
  </si>
  <si>
    <t>TMY2</t>
  </si>
  <si>
    <t>variability</t>
  </si>
  <si>
    <t>lifetime</t>
  </si>
  <si>
    <t>degr.</t>
  </si>
  <si>
    <t>median</t>
  </si>
  <si>
    <t>Best-fit</t>
  </si>
  <si>
    <t>Estimated PI by year</t>
  </si>
  <si>
    <t>Estimated PI, based on actual MWh by year and lt-avg POA, size, and expected PR</t>
  </si>
  <si>
    <t>Explainable</t>
  </si>
  <si>
    <t>part of</t>
  </si>
  <si>
    <t>Predicted PI coefficients, straight line</t>
  </si>
  <si>
    <t>post-7</t>
  </si>
  <si>
    <t>Avg of 5</t>
  </si>
  <si>
    <t>Degr.Adj</t>
  </si>
  <si>
    <t>Life PI</t>
  </si>
  <si>
    <t>User degr entry from main PlantData tab</t>
  </si>
  <si>
    <t>Add'l degr here</t>
  </si>
  <si>
    <t xml:space="preserve">&lt;&lt; be careful not to impose add'l degr if </t>
  </si>
  <si>
    <t>entry on PlantData tab has already been chosen</t>
  </si>
  <si>
    <t>degr</t>
  </si>
  <si>
    <t>avg&gt;</t>
  </si>
  <si>
    <t>5 new states in Top 25 highlighted in italics</t>
  </si>
  <si>
    <t>Degr Frac.</t>
  </si>
  <si>
    <t>Conergy</t>
  </si>
  <si>
    <t>For Robert Schulz tracker 2008-09, started for real 2010, a May 2026 EPRI repowering report gave the true shit for this one: 417.6 kW Foirst Solar, 5760 mods by my count, so 72,5 W each, plus 6720 Conergy 175 W, and 7 x 250 kW Xantrex (misspelled Xantrax) inverters</t>
  </si>
  <si>
    <t>file:///C:/Users/50pea/Downloads/3002034859_PV%20Plant%20Decommissioning%20and%20Repowering%20Case%20Study_%20Robert%20O.%20Schulz%20Solar%20Farm,%20South%20San%20Joaquin%20Irrigation%20District.PDF</t>
  </si>
  <si>
    <t>BlueOak</t>
  </si>
  <si>
    <t>Cumulative starts</t>
  </si>
  <si>
    <t>Unique TMY locations as used in both data sets</t>
  </si>
  <si>
    <t>Pvsyst,10city correlation by Tim from 2004</t>
  </si>
  <si>
    <t>&lt;avg|Tmod|stdev&gt;</t>
  </si>
  <si>
    <t>Ann. MWh, EIA 100 oldest PV systems. Some oldies were excluded; their size kept changing (Springerville, Prescott), or they're solar thermal (SEGS), or mislabeled (Saguaro), or just stunk (a few ran sporadically for 1-5 yrs, then vanished)</t>
  </si>
  <si>
    <t>Dodge City!</t>
  </si>
  <si>
    <t>avg age&gt;</t>
  </si>
  <si>
    <t>Counts by age</t>
  </si>
  <si>
    <t>all</t>
  </si>
  <si>
    <t>Capped data points</t>
  </si>
  <si>
    <t># of capped data points</t>
  </si>
  <si>
    <t># of zero data points</t>
  </si>
  <si>
    <t>Total data points</t>
  </si>
  <si>
    <t>Zero data points</t>
  </si>
  <si>
    <t>Set A: 100</t>
  </si>
  <si>
    <t>Set B: 25</t>
  </si>
  <si>
    <t>1st 7yrs PI&gt;</t>
  </si>
  <si>
    <t>Age</t>
  </si>
  <si>
    <t>Fixed-tilt</t>
  </si>
  <si>
    <t>Tracking</t>
  </si>
  <si>
    <t>&lt;-min,#-&gt;</t>
  </si>
  <si>
    <t>&lt;-max,#-&gt;</t>
  </si>
  <si>
    <t>field age</t>
  </si>
  <si>
    <t># at 1 yr</t>
  </si>
  <si>
    <t># at 2 yr</t>
  </si>
  <si>
    <t>p50</t>
  </si>
  <si>
    <t>Min density</t>
  </si>
  <si>
    <t>Bin %</t>
  </si>
  <si>
    <r>
      <t>Cold: T</t>
    </r>
    <r>
      <rPr>
        <vertAlign val="subscript"/>
        <sz val="11"/>
        <color theme="1"/>
        <rFont val="Calibri"/>
        <family val="2"/>
        <scheme val="minor"/>
      </rPr>
      <t>MOD</t>
    </r>
    <r>
      <rPr>
        <sz val="11"/>
        <color theme="1"/>
        <rFont val="Calibri"/>
        <family val="2"/>
        <scheme val="minor"/>
      </rPr>
      <t xml:space="preserve"> &lt;40 </t>
    </r>
    <r>
      <rPr>
        <sz val="11"/>
        <color theme="1"/>
        <rFont val="Calibri"/>
        <family val="2"/>
      </rPr>
      <t>°</t>
    </r>
    <r>
      <rPr>
        <sz val="11"/>
        <color theme="1"/>
        <rFont val="Calibri"/>
        <family val="2"/>
        <scheme val="minor"/>
      </rPr>
      <t>C</t>
    </r>
  </si>
  <si>
    <r>
      <t>Medium: 40 °C &lt; T</t>
    </r>
    <r>
      <rPr>
        <vertAlign val="subscript"/>
        <sz val="11"/>
        <color theme="1"/>
        <rFont val="Calibri"/>
        <family val="2"/>
        <scheme val="minor"/>
      </rPr>
      <t>MOD</t>
    </r>
    <r>
      <rPr>
        <sz val="11"/>
        <color theme="1"/>
        <rFont val="Calibri"/>
        <family val="2"/>
        <scheme val="minor"/>
      </rPr>
      <t xml:space="preserve"> &lt; 50 </t>
    </r>
    <r>
      <rPr>
        <sz val="11"/>
        <color theme="1"/>
        <rFont val="Calibri"/>
        <family val="2"/>
      </rPr>
      <t>°</t>
    </r>
    <r>
      <rPr>
        <sz val="11"/>
        <color theme="1"/>
        <rFont val="Calibri"/>
        <family val="2"/>
        <scheme val="minor"/>
      </rPr>
      <t>C</t>
    </r>
  </si>
  <si>
    <r>
      <t>Hot: T</t>
    </r>
    <r>
      <rPr>
        <vertAlign val="subscript"/>
        <sz val="11"/>
        <color theme="1"/>
        <rFont val="Calibri"/>
        <family val="2"/>
        <scheme val="minor"/>
      </rPr>
      <t>MOD</t>
    </r>
    <r>
      <rPr>
        <sz val="11"/>
        <color theme="1"/>
        <rFont val="Calibri"/>
        <family val="2"/>
        <scheme val="minor"/>
      </rPr>
      <t xml:space="preserve"> &gt; 50 </t>
    </r>
    <r>
      <rPr>
        <sz val="11"/>
        <color theme="1"/>
        <rFont val="Calibri"/>
        <family val="2"/>
      </rPr>
      <t>°</t>
    </r>
    <r>
      <rPr>
        <sz val="11"/>
        <color theme="1"/>
        <rFont val="Calibri"/>
        <family val="2"/>
        <scheme val="minor"/>
      </rPr>
      <t>C</t>
    </r>
  </si>
  <si>
    <r>
      <t xml:space="preserve">Cold: Tmod &lt;40 </t>
    </r>
    <r>
      <rPr>
        <sz val="11"/>
        <color theme="1"/>
        <rFont val="Calibri"/>
        <family val="2"/>
      </rPr>
      <t>°</t>
    </r>
    <r>
      <rPr>
        <sz val="11"/>
        <color theme="1"/>
        <rFont val="Calibri"/>
        <family val="2"/>
        <scheme val="minor"/>
      </rPr>
      <t>C</t>
    </r>
  </si>
  <si>
    <r>
      <t xml:space="preserve">Hot: Tmod &gt; 50 </t>
    </r>
    <r>
      <rPr>
        <sz val="11"/>
        <color theme="1"/>
        <rFont val="Calibri"/>
        <family val="2"/>
      </rPr>
      <t>°</t>
    </r>
    <r>
      <rPr>
        <sz val="11"/>
        <color theme="1"/>
        <rFont val="Calibri"/>
        <family val="2"/>
        <scheme val="minor"/>
      </rPr>
      <t>C</t>
    </r>
  </si>
  <si>
    <t>Medium</t>
  </si>
  <si>
    <r>
      <t xml:space="preserve">Med.: Tmod 40-50 </t>
    </r>
    <r>
      <rPr>
        <sz val="11"/>
        <color theme="1"/>
        <rFont val="Calibri"/>
        <family val="2"/>
      </rPr>
      <t>°</t>
    </r>
    <r>
      <rPr>
        <sz val="11"/>
        <color theme="1"/>
        <rFont val="Calibri"/>
        <family val="2"/>
        <scheme val="minor"/>
      </rPr>
      <t>C</t>
    </r>
  </si>
  <si>
    <t>Lifetime</t>
  </si>
  <si>
    <t>Tracker only</t>
  </si>
  <si>
    <t>PR adj.</t>
  </si>
  <si>
    <t>Tm expec.</t>
  </si>
  <si>
    <t># of 1st full yr</t>
  </si>
  <si>
    <t>Cumulative 1st full yr</t>
  </si>
  <si>
    <t># of starts</t>
  </si>
  <si>
    <t>Tmod corr.</t>
  </si>
  <si>
    <t>A</t>
  </si>
  <si>
    <t>B</t>
  </si>
  <si>
    <t>The PR is just the demonstrated PR and has no need to be adjusted for whatever temperature it happened to operate at, but we are still, as in the graph, interested in relating the demonstrated PR to temperature. Fixed? No. Trkr? Yes, but it's erratic.</t>
  </si>
  <si>
    <t>The PI can be adjusted for temperature deviation from the group average, though. This should reduce the scatter a bit and "balance" the calculated Pis across varying climates somewhat.</t>
  </si>
  <si>
    <t>Investigating the relationship between demonstrated lifetime PRs and two key variables: temperature and fixed vs tracking. This page only looks at Set A, the oldest 100.</t>
  </si>
  <si>
    <t>Orig.</t>
  </si>
  <si>
    <t>PI w/</t>
  </si>
  <si>
    <t>Fixed-tilt only</t>
  </si>
  <si>
    <t>True</t>
  </si>
  <si>
    <t>corr.</t>
  </si>
  <si>
    <t>Median&gt;</t>
  </si>
  <si>
    <t>stdev of above temperature adjustments</t>
  </si>
  <si>
    <t>min&gt;</t>
  </si>
  <si>
    <t>max&gt;</t>
  </si>
  <si>
    <t>Cypress Creek Renewables (Copperfield system), Altus, GroSolar</t>
  </si>
  <si>
    <t>Iterate to find the PI densities with an equal probability:</t>
  </si>
  <si>
    <t>Si_IBC</t>
  </si>
  <si>
    <t>p90 degradation yrs1-7&gt;&gt;</t>
  </si>
  <si>
    <t>p90 degradation yrs7-16&gt;&gt;</t>
  </si>
  <si>
    <t>Avg</t>
  </si>
  <si>
    <t>see cell F3</t>
  </si>
  <si>
    <t>PI, based on actual MWh by year and lt-avg POA, size, and expected PR. Watch out, as it does contain a potential degradation adjustment</t>
  </si>
  <si>
    <t>High range for variability band</t>
  </si>
  <si>
    <t>Low range for variability band</t>
  </si>
  <si>
    <t>count</t>
  </si>
  <si>
    <t>Set B p50</t>
  </si>
  <si>
    <t>Set B p90</t>
  </si>
  <si>
    <t>p90</t>
  </si>
  <si>
    <t>ann. p90 SLD degr, yr1-7&gt;</t>
  </si>
  <si>
    <t>p10 (Gaussian)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</si>
</sst>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
    <numFmt numFmtId="167" formatCode="0.0000"/>
    <numFmt numFmtId="168" formatCode="0.0E+00"/>
  </numFmts>
  <fonts count="17"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2"/>
      <color theme="1"/>
      <name val="Calibri"/>
      <family val="2"/>
      <scheme val="minor"/>
    </font>
    <font>
      <b/>
      <sz val="11"/>
      <color theme="7" tint="-0.249977111117893"/>
      <name val="Calibri"/>
      <family val="2"/>
      <scheme val="minor"/>
    </font>
    <font>
      <sz val="11"/>
      <color theme="1"/>
      <name val="Calibri"/>
      <family val="2"/>
    </font>
    <font>
      <u/>
      <sz val="11"/>
      <color theme="10"/>
      <name val="Calibri"/>
      <family val="2"/>
      <scheme val="minor"/>
    </font>
    <font>
      <sz val="9"/>
      <color theme="1"/>
      <name val="Calibri"/>
      <family val="2"/>
      <scheme val="minor"/>
    </font>
    <font>
      <i/>
      <sz val="9"/>
      <color theme="1"/>
      <name val="Calibri"/>
      <family val="2"/>
      <scheme val="minor"/>
    </font>
    <font>
      <vertAlign val="subscript"/>
      <sz val="11"/>
      <color theme="1"/>
      <name val="Calibri"/>
      <family val="2"/>
      <scheme val="minor"/>
    </font>
    <font>
      <b/>
      <sz val="14"/>
      <color theme="1"/>
      <name val="Calibri"/>
      <family val="2"/>
      <scheme val="minor"/>
    </font>
    <font>
      <b/>
      <sz val="11"/>
      <color rgb="FFFF0000"/>
      <name val="Calibri"/>
      <family val="2"/>
      <scheme val="minor"/>
    </font>
    <font>
      <sz val="9.9"/>
      <color theme="1"/>
      <name val="Calibri"/>
      <family val="2"/>
    </font>
    <font>
      <sz val="11"/>
      <color rgb="FFFF0000"/>
      <name val="Calibri"/>
      <family val="2"/>
      <scheme val="minor"/>
    </font>
    <font>
      <sz val="9"/>
      <color indexed="81"/>
      <name val="Tahoma"/>
      <charset val="1"/>
    </font>
    <font>
      <i/>
      <sz val="10"/>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rgb="FFFF00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232">
    <xf numFmtId="0" fontId="0" fillId="0" borderId="0" xfId="0"/>
    <xf numFmtId="164" fontId="0" fillId="0" borderId="0" xfId="0" applyNumberFormat="1"/>
    <xf numFmtId="2" fontId="0" fillId="0" borderId="0" xfId="0" applyNumberFormat="1"/>
    <xf numFmtId="1" fontId="0" fillId="0" borderId="0" xfId="0" applyNumberFormat="1"/>
    <xf numFmtId="9" fontId="0" fillId="0" borderId="0" xfId="1" applyFont="1"/>
    <xf numFmtId="164" fontId="0" fillId="0" borderId="0" xfId="1" applyNumberFormat="1" applyFont="1"/>
    <xf numFmtId="0" fontId="0" fillId="2" borderId="0" xfId="0" applyFill="1"/>
    <xf numFmtId="0" fontId="0" fillId="0" borderId="0" xfId="0" applyAlignment="1">
      <alignment horizontal="right"/>
    </xf>
    <xf numFmtId="0" fontId="0" fillId="0" borderId="2" xfId="0" applyBorder="1" applyAlignment="1">
      <alignment horizontal="right"/>
    </xf>
    <xf numFmtId="0" fontId="0" fillId="2" borderId="3" xfId="0" applyFill="1" applyBorder="1" applyAlignment="1">
      <alignment horizontal="left"/>
    </xf>
    <xf numFmtId="0" fontId="0" fillId="0" borderId="4" xfId="0" applyBorder="1"/>
    <xf numFmtId="0" fontId="0" fillId="0" borderId="2" xfId="0" applyBorder="1"/>
    <xf numFmtId="164" fontId="0" fillId="2" borderId="0" xfId="0" applyNumberFormat="1" applyFill="1"/>
    <xf numFmtId="2" fontId="0" fillId="2" borderId="0" xfId="0" applyNumberFormat="1" applyFill="1"/>
    <xf numFmtId="165" fontId="0" fillId="2" borderId="0" xfId="0" applyNumberFormat="1" applyFill="1"/>
    <xf numFmtId="1" fontId="0" fillId="2" borderId="0" xfId="0" applyNumberFormat="1" applyFill="1"/>
    <xf numFmtId="1" fontId="2" fillId="2" borderId="0" xfId="0" applyNumberFormat="1" applyFont="1" applyFill="1"/>
    <xf numFmtId="0" fontId="0" fillId="2" borderId="0" xfId="0" applyFill="1" applyAlignment="1">
      <alignment horizontal="center"/>
    </xf>
    <xf numFmtId="0" fontId="2" fillId="0" borderId="0" xfId="0" applyFont="1"/>
    <xf numFmtId="2" fontId="0" fillId="0" borderId="8" xfId="0" applyNumberFormat="1" applyBorder="1"/>
    <xf numFmtId="2" fontId="0" fillId="0" borderId="9" xfId="0" applyNumberFormat="1" applyBorder="1"/>
    <xf numFmtId="2" fontId="0" fillId="0" borderId="11" xfId="0" applyNumberFormat="1" applyBorder="1"/>
    <xf numFmtId="2" fontId="0" fillId="0" borderId="12" xfId="0" applyNumberFormat="1" applyBorder="1"/>
    <xf numFmtId="0" fontId="0" fillId="0" borderId="9" xfId="0" applyBorder="1"/>
    <xf numFmtId="0" fontId="3" fillId="0" borderId="9" xfId="0" applyFont="1" applyBorder="1"/>
    <xf numFmtId="0" fontId="3" fillId="0" borderId="0" xfId="0" applyFont="1"/>
    <xf numFmtId="0" fontId="0" fillId="0" borderId="5" xfId="0" applyBorder="1"/>
    <xf numFmtId="1" fontId="0" fillId="0" borderId="7" xfId="0" applyNumberFormat="1" applyBorder="1"/>
    <xf numFmtId="0" fontId="0" fillId="0" borderId="8" xfId="0" applyBorder="1"/>
    <xf numFmtId="1" fontId="0" fillId="0" borderId="9" xfId="0" applyNumberFormat="1" applyBorder="1"/>
    <xf numFmtId="0" fontId="0" fillId="0" borderId="10" xfId="0" applyBorder="1"/>
    <xf numFmtId="165" fontId="0" fillId="0" borderId="12" xfId="0" applyNumberFormat="1" applyBorder="1"/>
    <xf numFmtId="0" fontId="0" fillId="2" borderId="8" xfId="0" applyFill="1" applyBorder="1"/>
    <xf numFmtId="0" fontId="0" fillId="0" borderId="11" xfId="0" applyBorder="1"/>
    <xf numFmtId="0" fontId="0" fillId="0" borderId="7" xfId="0" applyBorder="1"/>
    <xf numFmtId="0" fontId="0" fillId="0" borderId="12" xfId="0" applyBorder="1"/>
    <xf numFmtId="0" fontId="4" fillId="0" borderId="0" xfId="0" applyFont="1"/>
    <xf numFmtId="1" fontId="0" fillId="0" borderId="11" xfId="0" applyNumberFormat="1" applyBorder="1"/>
    <xf numFmtId="9" fontId="0" fillId="0" borderId="0" xfId="1" applyFont="1" applyBorder="1" applyAlignment="1">
      <alignment horizontal="center"/>
    </xf>
    <xf numFmtId="0" fontId="0" fillId="0" borderId="13" xfId="0" applyBorder="1"/>
    <xf numFmtId="0" fontId="0" fillId="0" borderId="1" xfId="0" applyBorder="1"/>
    <xf numFmtId="9" fontId="0" fillId="0" borderId="16" xfId="1" applyFont="1" applyBorder="1" applyAlignment="1">
      <alignment horizontal="center"/>
    </xf>
    <xf numFmtId="0" fontId="0" fillId="0" borderId="5" xfId="0" applyBorder="1" applyAlignment="1">
      <alignment horizontal="right"/>
    </xf>
    <xf numFmtId="2" fontId="0" fillId="0" borderId="6" xfId="0" applyNumberFormat="1" applyBorder="1" applyAlignment="1">
      <alignment horizontal="center"/>
    </xf>
    <xf numFmtId="0" fontId="0" fillId="0" borderId="6" xfId="0" applyBorder="1" applyAlignment="1">
      <alignment horizontal="right"/>
    </xf>
    <xf numFmtId="2" fontId="0" fillId="0" borderId="7" xfId="0" applyNumberFormat="1" applyBorder="1" applyAlignment="1">
      <alignment horizontal="center"/>
    </xf>
    <xf numFmtId="0" fontId="0" fillId="0" borderId="8" xfId="0" applyBorder="1" applyAlignment="1">
      <alignment horizontal="right"/>
    </xf>
    <xf numFmtId="2" fontId="0" fillId="0" borderId="0" xfId="0" applyNumberFormat="1" applyAlignment="1">
      <alignment horizontal="center"/>
    </xf>
    <xf numFmtId="2" fontId="0" fillId="0" borderId="9" xfId="0" applyNumberFormat="1" applyBorder="1" applyAlignment="1">
      <alignment horizontal="center"/>
    </xf>
    <xf numFmtId="0" fontId="0" fillId="0" borderId="10" xfId="0" applyBorder="1" applyAlignment="1">
      <alignment horizontal="right"/>
    </xf>
    <xf numFmtId="2" fontId="0" fillId="0" borderId="11" xfId="0" applyNumberFormat="1" applyBorder="1" applyAlignment="1">
      <alignment horizontal="center"/>
    </xf>
    <xf numFmtId="0" fontId="0" fillId="0" borderId="0" xfId="0" applyAlignment="1">
      <alignment horizontal="center"/>
    </xf>
    <xf numFmtId="9" fontId="0" fillId="0" borderId="6" xfId="1" applyFont="1" applyBorder="1" applyAlignment="1">
      <alignment horizontal="center"/>
    </xf>
    <xf numFmtId="9" fontId="0" fillId="0" borderId="11" xfId="1" applyFont="1" applyBorder="1" applyAlignment="1">
      <alignment horizontal="center"/>
    </xf>
    <xf numFmtId="0" fontId="0" fillId="0" borderId="11" xfId="0" applyBorder="1" applyAlignment="1">
      <alignment horizontal="right"/>
    </xf>
    <xf numFmtId="9" fontId="0" fillId="0" borderId="8" xfId="1" applyFont="1" applyBorder="1"/>
    <xf numFmtId="9" fontId="0" fillId="0" borderId="9" xfId="1" applyFont="1" applyBorder="1"/>
    <xf numFmtId="165" fontId="0" fillId="0" borderId="10" xfId="0" applyNumberFormat="1" applyBorder="1"/>
    <xf numFmtId="166" fontId="0" fillId="0" borderId="0" xfId="1" applyNumberFormat="1" applyFont="1"/>
    <xf numFmtId="166" fontId="0" fillId="0" borderId="0" xfId="0" applyNumberFormat="1"/>
    <xf numFmtId="166" fontId="0" fillId="0" borderId="11" xfId="1" applyNumberFormat="1" applyFont="1" applyBorder="1"/>
    <xf numFmtId="0" fontId="0" fillId="0" borderId="4" xfId="0" applyBorder="1" applyAlignment="1">
      <alignment horizontal="center"/>
    </xf>
    <xf numFmtId="0" fontId="5" fillId="0" borderId="0" xfId="0" applyFont="1"/>
    <xf numFmtId="0" fontId="0" fillId="2" borderId="11" xfId="0" applyFill="1" applyBorder="1"/>
    <xf numFmtId="0" fontId="0" fillId="2" borderId="11" xfId="0" applyFill="1" applyBorder="1" applyAlignment="1">
      <alignment horizontal="center"/>
    </xf>
    <xf numFmtId="164" fontId="0" fillId="2" borderId="11" xfId="0" applyNumberFormat="1" applyFill="1" applyBorder="1"/>
    <xf numFmtId="1" fontId="0" fillId="2" borderId="11" xfId="0" applyNumberFormat="1" applyFill="1" applyBorder="1"/>
    <xf numFmtId="0" fontId="0" fillId="2" borderId="10" xfId="0" applyFill="1" applyBorder="1"/>
    <xf numFmtId="0" fontId="3" fillId="0" borderId="11" xfId="0" applyFont="1" applyBorder="1"/>
    <xf numFmtId="166" fontId="0" fillId="0" borderId="0" xfId="1" applyNumberFormat="1" applyFont="1" applyBorder="1"/>
    <xf numFmtId="9" fontId="0" fillId="0" borderId="0" xfId="1" applyFont="1" applyAlignment="1">
      <alignment horizontal="center"/>
    </xf>
    <xf numFmtId="165" fontId="0" fillId="0" borderId="11" xfId="0" applyNumberFormat="1" applyBorder="1"/>
    <xf numFmtId="165" fontId="0" fillId="0" borderId="0" xfId="0" applyNumberFormat="1"/>
    <xf numFmtId="0" fontId="0" fillId="0" borderId="6" xfId="0" applyBorder="1"/>
    <xf numFmtId="9" fontId="0" fillId="0" borderId="7" xfId="1" applyFont="1"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13" xfId="0" applyBorder="1" applyAlignment="1">
      <alignment horizontal="right"/>
    </xf>
    <xf numFmtId="164" fontId="0" fillId="0" borderId="13" xfId="0" applyNumberFormat="1" applyBorder="1"/>
    <xf numFmtId="164" fontId="0" fillId="0" borderId="3" xfId="0" applyNumberFormat="1" applyBorder="1"/>
    <xf numFmtId="1" fontId="0" fillId="0" borderId="2" xfId="0" applyNumberFormat="1" applyBorder="1"/>
    <xf numFmtId="1" fontId="0" fillId="0" borderId="13" xfId="0" applyNumberFormat="1" applyBorder="1"/>
    <xf numFmtId="2" fontId="0" fillId="0" borderId="3" xfId="0" applyNumberFormat="1" applyBorder="1" applyAlignment="1">
      <alignment horizontal="center"/>
    </xf>
    <xf numFmtId="2" fontId="0" fillId="0" borderId="12" xfId="0" applyNumberFormat="1" applyBorder="1" applyAlignment="1">
      <alignment horizontal="center"/>
    </xf>
    <xf numFmtId="1" fontId="0" fillId="0" borderId="10" xfId="0" applyNumberFormat="1" applyBorder="1"/>
    <xf numFmtId="1" fontId="0" fillId="0" borderId="0" xfId="1" applyNumberFormat="1" applyFont="1"/>
    <xf numFmtId="9" fontId="0" fillId="0" borderId="9" xfId="1" applyFont="1" applyBorder="1" applyAlignment="1">
      <alignment horizontal="center"/>
    </xf>
    <xf numFmtId="9" fontId="0" fillId="0" borderId="12" xfId="1" applyFont="1" applyBorder="1" applyAlignment="1">
      <alignment horizontal="center"/>
    </xf>
    <xf numFmtId="1" fontId="0" fillId="0" borderId="8" xfId="0" applyNumberFormat="1" applyBorder="1"/>
    <xf numFmtId="166" fontId="0" fillId="0" borderId="9" xfId="1" applyNumberFormat="1" applyFont="1" applyBorder="1"/>
    <xf numFmtId="166" fontId="0" fillId="0" borderId="12" xfId="1" applyNumberFormat="1" applyFont="1" applyBorder="1"/>
    <xf numFmtId="166" fontId="4" fillId="0" borderId="3" xfId="1" applyNumberFormat="1" applyFont="1" applyBorder="1" applyAlignment="1">
      <alignment horizontal="left"/>
    </xf>
    <xf numFmtId="0" fontId="7" fillId="0" borderId="0" xfId="2"/>
    <xf numFmtId="0" fontId="0" fillId="2" borderId="9" xfId="0" applyFill="1" applyBorder="1"/>
    <xf numFmtId="1" fontId="0" fillId="3" borderId="0" xfId="0" applyNumberFormat="1" applyFill="1"/>
    <xf numFmtId="164" fontId="0" fillId="3" borderId="0" xfId="0" applyNumberFormat="1" applyFill="1"/>
    <xf numFmtId="166" fontId="0" fillId="0" borderId="0" xfId="1" applyNumberFormat="1" applyFont="1" applyFill="1" applyBorder="1"/>
    <xf numFmtId="164" fontId="0" fillId="0" borderId="11" xfId="0" applyNumberFormat="1" applyBorder="1"/>
    <xf numFmtId="1" fontId="0" fillId="0" borderId="0" xfId="1" applyNumberFormat="1" applyFont="1" applyBorder="1"/>
    <xf numFmtId="1" fontId="0" fillId="0" borderId="11" xfId="1" applyNumberFormat="1" applyFont="1" applyBorder="1"/>
    <xf numFmtId="0" fontId="5" fillId="0" borderId="11" xfId="0" applyFont="1" applyBorder="1"/>
    <xf numFmtId="1" fontId="0" fillId="3" borderId="11" xfId="0" applyNumberFormat="1" applyFill="1" applyBorder="1"/>
    <xf numFmtId="0" fontId="0" fillId="2" borderId="12" xfId="0" applyFill="1" applyBorder="1"/>
    <xf numFmtId="0" fontId="3" fillId="0" borderId="12" xfId="0" applyFont="1" applyBorder="1"/>
    <xf numFmtId="167" fontId="0" fillId="0" borderId="0" xfId="0" applyNumberFormat="1"/>
    <xf numFmtId="2" fontId="0" fillId="0" borderId="4" xfId="0" applyNumberFormat="1" applyBorder="1"/>
    <xf numFmtId="0" fontId="0" fillId="0" borderId="0" xfId="0" quotePrefix="1"/>
    <xf numFmtId="0" fontId="0" fillId="0" borderId="0" xfId="0" applyAlignment="1">
      <alignment horizontal="left"/>
    </xf>
    <xf numFmtId="0" fontId="0" fillId="0" borderId="4" xfId="0" applyBorder="1" applyAlignment="1">
      <alignment horizontal="left"/>
    </xf>
    <xf numFmtId="1" fontId="0" fillId="0" borderId="4" xfId="0" applyNumberFormat="1" applyBorder="1"/>
    <xf numFmtId="166" fontId="2" fillId="0" borderId="0" xfId="0" applyNumberFormat="1" applyFont="1"/>
    <xf numFmtId="166" fontId="2" fillId="0" borderId="5" xfId="1" applyNumberFormat="1" applyFont="1" applyBorder="1"/>
    <xf numFmtId="164" fontId="0" fillId="0" borderId="6" xfId="0" applyNumberFormat="1" applyBorder="1"/>
    <xf numFmtId="9" fontId="0" fillId="0" borderId="15" xfId="1" applyFont="1" applyBorder="1" applyAlignment="1">
      <alignment horizontal="center"/>
    </xf>
    <xf numFmtId="166" fontId="0" fillId="0" borderId="0" xfId="1" applyNumberFormat="1" applyFont="1" applyAlignment="1">
      <alignment horizontal="center"/>
    </xf>
    <xf numFmtId="0" fontId="0" fillId="2" borderId="1" xfId="0" applyFill="1" applyBorder="1"/>
    <xf numFmtId="2" fontId="0" fillId="0" borderId="7" xfId="0" applyNumberFormat="1" applyBorder="1"/>
    <xf numFmtId="1" fontId="0" fillId="0" borderId="14" xfId="0" applyNumberFormat="1" applyBorder="1"/>
    <xf numFmtId="1" fontId="0" fillId="0" borderId="15" xfId="0" applyNumberFormat="1" applyBorder="1"/>
    <xf numFmtId="9" fontId="0" fillId="0" borderId="10" xfId="1" applyFont="1" applyBorder="1"/>
    <xf numFmtId="9" fontId="0" fillId="0" borderId="12" xfId="1" applyFont="1" applyBorder="1"/>
    <xf numFmtId="165" fontId="0" fillId="2" borderId="11" xfId="0" applyNumberFormat="1" applyFill="1" applyBorder="1"/>
    <xf numFmtId="1" fontId="0" fillId="0" borderId="6" xfId="0" applyNumberFormat="1" applyBorder="1"/>
    <xf numFmtId="166" fontId="0" fillId="2" borderId="7" xfId="1" applyNumberFormat="1" applyFont="1" applyFill="1" applyBorder="1"/>
    <xf numFmtId="0" fontId="0" fillId="0" borderId="3" xfId="0" applyBorder="1"/>
    <xf numFmtId="164" fontId="8" fillId="3" borderId="1" xfId="0" applyNumberFormat="1" applyFont="1" applyFill="1" applyBorder="1"/>
    <xf numFmtId="0" fontId="8" fillId="2" borderId="1" xfId="0" applyFont="1" applyFill="1" applyBorder="1" applyAlignment="1">
      <alignment horizontal="center"/>
    </xf>
    <xf numFmtId="0" fontId="9" fillId="0" borderId="0" xfId="0" applyFont="1"/>
    <xf numFmtId="1" fontId="0" fillId="0" borderId="0" xfId="0" applyNumberFormat="1" applyAlignment="1">
      <alignment horizontal="center"/>
    </xf>
    <xf numFmtId="0" fontId="3" fillId="0" borderId="0" xfId="0" applyFont="1" applyAlignment="1">
      <alignment horizontal="right"/>
    </xf>
    <xf numFmtId="166" fontId="2" fillId="0" borderId="13" xfId="1" applyNumberFormat="1" applyFont="1" applyBorder="1"/>
    <xf numFmtId="1" fontId="0" fillId="4" borderId="10" xfId="0" applyNumberFormat="1" applyFill="1" applyBorder="1"/>
    <xf numFmtId="1" fontId="0" fillId="5" borderId="8" xfId="0" applyNumberFormat="1" applyFill="1" applyBorder="1"/>
    <xf numFmtId="1" fontId="0" fillId="6" borderId="8" xfId="0" applyNumberFormat="1" applyFill="1" applyBorder="1"/>
    <xf numFmtId="166" fontId="2" fillId="0" borderId="10" xfId="1" applyNumberFormat="1" applyFont="1" applyBorder="1"/>
    <xf numFmtId="166" fontId="2" fillId="0" borderId="7" xfId="0" applyNumberFormat="1" applyFont="1" applyBorder="1" applyAlignment="1">
      <alignment horizontal="center"/>
    </xf>
    <xf numFmtId="166" fontId="2" fillId="0" borderId="12" xfId="0" applyNumberFormat="1" applyFont="1" applyBorder="1" applyAlignment="1">
      <alignment horizontal="center"/>
    </xf>
    <xf numFmtId="1" fontId="0" fillId="0" borderId="12" xfId="0" applyNumberFormat="1" applyBorder="1"/>
    <xf numFmtId="0" fontId="0" fillId="0" borderId="11" xfId="0" applyBorder="1" applyAlignment="1">
      <alignment horizontal="center"/>
    </xf>
    <xf numFmtId="0" fontId="11" fillId="0" borderId="17" xfId="0" applyFont="1" applyBorder="1"/>
    <xf numFmtId="0" fontId="0" fillId="0" borderId="18" xfId="0" applyBorder="1"/>
    <xf numFmtId="0" fontId="0" fillId="0" borderId="19" xfId="0" applyBorder="1"/>
    <xf numFmtId="1" fontId="0" fillId="0" borderId="22" xfId="1" applyNumberFormat="1" applyFont="1" applyBorder="1"/>
    <xf numFmtId="166" fontId="0" fillId="0" borderId="23" xfId="1" applyNumberFormat="1" applyFont="1" applyBorder="1"/>
    <xf numFmtId="1" fontId="0" fillId="0" borderId="24" xfId="1" applyNumberFormat="1" applyFont="1" applyBorder="1"/>
    <xf numFmtId="165" fontId="0" fillId="0" borderId="4" xfId="0" applyNumberFormat="1" applyBorder="1"/>
    <xf numFmtId="166" fontId="0" fillId="0" borderId="25" xfId="1" applyNumberFormat="1" applyFont="1" applyBorder="1"/>
    <xf numFmtId="0" fontId="0" fillId="0" borderId="26" xfId="0" applyBorder="1"/>
    <xf numFmtId="0" fontId="0" fillId="0" borderId="27" xfId="0" applyBorder="1"/>
    <xf numFmtId="0" fontId="0" fillId="0" borderId="27" xfId="0" applyBorder="1" applyAlignment="1">
      <alignment horizontal="center"/>
    </xf>
    <xf numFmtId="0" fontId="0" fillId="0" borderId="27" xfId="0" applyBorder="1" applyAlignment="1">
      <alignment wrapText="1"/>
    </xf>
    <xf numFmtId="0" fontId="0" fillId="0" borderId="28" xfId="0" applyBorder="1"/>
    <xf numFmtId="1" fontId="0" fillId="0" borderId="20" xfId="1" applyNumberFormat="1" applyFont="1" applyBorder="1"/>
    <xf numFmtId="166" fontId="0" fillId="0" borderId="21" xfId="1" applyNumberFormat="1" applyFont="1" applyBorder="1"/>
    <xf numFmtId="1" fontId="0" fillId="2" borderId="0" xfId="0" applyNumberFormat="1" applyFill="1" applyAlignment="1">
      <alignment horizontal="center"/>
    </xf>
    <xf numFmtId="1" fontId="0" fillId="2" borderId="11" xfId="0" applyNumberFormat="1" applyFill="1" applyBorder="1" applyAlignment="1">
      <alignment horizontal="center"/>
    </xf>
    <xf numFmtId="164" fontId="0" fillId="2" borderId="0" xfId="0" applyNumberFormat="1" applyFill="1" applyAlignment="1">
      <alignment horizontal="center"/>
    </xf>
    <xf numFmtId="164" fontId="0" fillId="2" borderId="11" xfId="0" applyNumberFormat="1" applyFill="1" applyBorder="1" applyAlignment="1">
      <alignment horizontal="center"/>
    </xf>
    <xf numFmtId="164" fontId="0" fillId="0" borderId="0" xfId="0" applyNumberFormat="1" applyAlignment="1">
      <alignment horizontal="center"/>
    </xf>
    <xf numFmtId="0" fontId="0" fillId="2" borderId="29" xfId="0" applyFill="1" applyBorder="1"/>
    <xf numFmtId="166" fontId="0" fillId="2" borderId="0" xfId="1" applyNumberFormat="1" applyFont="1" applyFill="1"/>
    <xf numFmtId="9" fontId="0" fillId="0" borderId="0" xfId="0" applyNumberFormat="1"/>
    <xf numFmtId="9" fontId="0" fillId="0" borderId="0" xfId="1" applyFont="1" applyFill="1"/>
    <xf numFmtId="166" fontId="2" fillId="0" borderId="3" xfId="0" applyNumberFormat="1" applyFont="1" applyBorder="1" applyAlignment="1">
      <alignment horizontal="center"/>
    </xf>
    <xf numFmtId="1" fontId="0" fillId="0" borderId="11" xfId="0" applyNumberFormat="1" applyBorder="1" applyAlignment="1">
      <alignment horizontal="center"/>
    </xf>
    <xf numFmtId="166" fontId="0" fillId="0" borderId="11" xfId="0" applyNumberFormat="1" applyBorder="1"/>
    <xf numFmtId="0" fontId="0" fillId="0" borderId="12" xfId="0" applyBorder="1" applyAlignment="1">
      <alignment horizontal="center"/>
    </xf>
    <xf numFmtId="2" fontId="12" fillId="0" borderId="9" xfId="0" applyNumberFormat="1" applyFont="1" applyBorder="1"/>
    <xf numFmtId="166" fontId="12" fillId="0" borderId="9" xfId="1" applyNumberFormat="1" applyFont="1" applyBorder="1"/>
    <xf numFmtId="0" fontId="0" fillId="0" borderId="9" xfId="0" applyBorder="1" applyAlignment="1">
      <alignment horizontal="right"/>
    </xf>
    <xf numFmtId="165" fontId="0" fillId="0" borderId="9" xfId="0" applyNumberFormat="1" applyBorder="1"/>
    <xf numFmtId="9" fontId="12" fillId="0" borderId="9" xfId="1" applyFont="1" applyBorder="1"/>
    <xf numFmtId="9" fontId="0" fillId="0" borderId="9" xfId="0" applyNumberFormat="1" applyBorder="1"/>
    <xf numFmtId="0" fontId="0" fillId="0" borderId="17" xfId="0" applyBorder="1"/>
    <xf numFmtId="0" fontId="0" fillId="0" borderId="22" xfId="0" applyBorder="1"/>
    <xf numFmtId="0" fontId="0" fillId="0" borderId="23" xfId="0" applyBorder="1"/>
    <xf numFmtId="2" fontId="12" fillId="0" borderId="0" xfId="0" applyNumberFormat="1" applyFont="1"/>
    <xf numFmtId="166" fontId="12" fillId="0" borderId="0" xfId="1" applyNumberFormat="1" applyFont="1" applyBorder="1"/>
    <xf numFmtId="9" fontId="12" fillId="0" borderId="0" xfId="1" applyFont="1" applyBorder="1"/>
    <xf numFmtId="9" fontId="0" fillId="0" borderId="0" xfId="1" applyFont="1" applyBorder="1"/>
    <xf numFmtId="0" fontId="0" fillId="0" borderId="24" xfId="0" applyBorder="1"/>
    <xf numFmtId="0" fontId="0" fillId="0" borderId="25" xfId="0" applyBorder="1"/>
    <xf numFmtId="1" fontId="0" fillId="0" borderId="29" xfId="0" applyNumberFormat="1" applyBorder="1"/>
    <xf numFmtId="9" fontId="0" fillId="0" borderId="11" xfId="1" applyFont="1" applyBorder="1"/>
    <xf numFmtId="166" fontId="0" fillId="2" borderId="11" xfId="1" applyNumberFormat="1" applyFont="1" applyFill="1" applyBorder="1"/>
    <xf numFmtId="9" fontId="0" fillId="0" borderId="11" xfId="0" applyNumberFormat="1" applyBorder="1"/>
    <xf numFmtId="168" fontId="0" fillId="0" borderId="0" xfId="0" applyNumberFormat="1"/>
    <xf numFmtId="2" fontId="0" fillId="0" borderId="0" xfId="1" applyNumberFormat="1" applyFont="1"/>
    <xf numFmtId="9" fontId="12" fillId="0" borderId="0" xfId="0" applyNumberFormat="1" applyFont="1"/>
    <xf numFmtId="166" fontId="0" fillId="0" borderId="9" xfId="0" applyNumberFormat="1" applyBorder="1"/>
    <xf numFmtId="0" fontId="0" fillId="0" borderId="9" xfId="0" applyBorder="1" applyAlignment="1">
      <alignment horizontal="center"/>
    </xf>
    <xf numFmtId="0" fontId="4" fillId="0" borderId="22" xfId="0" applyFont="1" applyBorder="1"/>
    <xf numFmtId="0" fontId="0" fillId="0" borderId="20" xfId="0" applyBorder="1"/>
    <xf numFmtId="9" fontId="0" fillId="0" borderId="4" xfId="0" applyNumberFormat="1" applyBorder="1"/>
    <xf numFmtId="0" fontId="0" fillId="0" borderId="30" xfId="0" applyBorder="1" applyAlignment="1">
      <alignment horizontal="center"/>
    </xf>
    <xf numFmtId="0" fontId="0" fillId="0" borderId="14" xfId="0" applyBorder="1"/>
    <xf numFmtId="0" fontId="0" fillId="0" borderId="31" xfId="0" applyBorder="1"/>
    <xf numFmtId="166" fontId="0" fillId="2" borderId="16" xfId="1" applyNumberFormat="1" applyFont="1" applyFill="1" applyBorder="1"/>
    <xf numFmtId="0" fontId="0" fillId="0" borderId="6" xfId="0" applyBorder="1" applyAlignment="1">
      <alignment horizontal="center"/>
    </xf>
    <xf numFmtId="0" fontId="0" fillId="0" borderId="7" xfId="0" applyBorder="1" applyAlignment="1">
      <alignment horizontal="right"/>
    </xf>
    <xf numFmtId="0" fontId="0" fillId="0" borderId="14" xfId="0" applyBorder="1" applyAlignment="1">
      <alignment horizontal="center"/>
    </xf>
    <xf numFmtId="2" fontId="0" fillId="0" borderId="16" xfId="0" applyNumberFormat="1" applyBorder="1"/>
    <xf numFmtId="0" fontId="0" fillId="0" borderId="16" xfId="0" applyBorder="1" applyAlignment="1">
      <alignment horizontal="center"/>
    </xf>
    <xf numFmtId="9" fontId="0" fillId="0" borderId="14" xfId="0" applyNumberFormat="1" applyBorder="1"/>
    <xf numFmtId="0" fontId="0" fillId="0" borderId="32" xfId="0" applyBorder="1" applyAlignment="1">
      <alignment horizontal="center"/>
    </xf>
    <xf numFmtId="0" fontId="0" fillId="0" borderId="32" xfId="0" applyBorder="1"/>
    <xf numFmtId="0" fontId="11" fillId="0" borderId="0" xfId="0" applyFont="1"/>
    <xf numFmtId="1" fontId="0" fillId="0" borderId="4" xfId="0" applyNumberFormat="1" applyBorder="1" applyAlignment="1">
      <alignment horizontal="right"/>
    </xf>
    <xf numFmtId="1" fontId="0" fillId="0" borderId="6" xfId="0" applyNumberFormat="1" applyBorder="1" applyAlignment="1">
      <alignment horizontal="right"/>
    </xf>
    <xf numFmtId="1" fontId="0" fillId="0" borderId="0" xfId="0" applyNumberFormat="1" applyAlignment="1">
      <alignment horizontal="right"/>
    </xf>
    <xf numFmtId="9" fontId="0" fillId="0" borderId="6" xfId="1" applyFont="1" applyBorder="1"/>
    <xf numFmtId="166" fontId="0" fillId="0" borderId="6" xfId="1" applyNumberFormat="1" applyFont="1" applyBorder="1"/>
    <xf numFmtId="167" fontId="0" fillId="0" borderId="13" xfId="0" applyNumberFormat="1" applyBorder="1"/>
    <xf numFmtId="167" fontId="0" fillId="0" borderId="3" xfId="0" applyNumberFormat="1" applyBorder="1"/>
    <xf numFmtId="1" fontId="0" fillId="0" borderId="0" xfId="0" applyNumberFormat="1" applyAlignment="1">
      <alignment horizontal="left"/>
    </xf>
    <xf numFmtId="165" fontId="0" fillId="0" borderId="6" xfId="0" applyNumberFormat="1" applyBorder="1"/>
    <xf numFmtId="10" fontId="0" fillId="2" borderId="0" xfId="1" applyNumberFormat="1" applyFont="1" applyFill="1"/>
    <xf numFmtId="0" fontId="3" fillId="0" borderId="0" xfId="0" applyFont="1" applyAlignment="1">
      <alignment horizontal="center"/>
    </xf>
    <xf numFmtId="0" fontId="3" fillId="0" borderId="11" xfId="0" applyFont="1"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165" fontId="0" fillId="0" borderId="9" xfId="0" applyNumberFormat="1" applyBorder="1" applyAlignment="1">
      <alignment horizontal="center"/>
    </xf>
    <xf numFmtId="165" fontId="0" fillId="0" borderId="12" xfId="0" applyNumberFormat="1" applyBorder="1" applyAlignment="1">
      <alignment horizontal="center"/>
    </xf>
    <xf numFmtId="164" fontId="0" fillId="0" borderId="8" xfId="0" applyNumberFormat="1" applyBorder="1"/>
    <xf numFmtId="0" fontId="0" fillId="0" borderId="12" xfId="0" applyBorder="1" applyAlignment="1">
      <alignment horizontal="right"/>
    </xf>
    <xf numFmtId="0" fontId="0" fillId="0" borderId="0" xfId="0" quotePrefix="1" applyAlignment="1">
      <alignment horizontal="center"/>
    </xf>
    <xf numFmtId="2" fontId="14" fillId="0" borderId="0" xfId="1" applyNumberFormat="1" applyFont="1"/>
    <xf numFmtId="164" fontId="2" fillId="0" borderId="13" xfId="0" applyNumberFormat="1" applyFont="1" applyBorder="1"/>
    <xf numFmtId="166" fontId="2" fillId="0" borderId="0" xfId="1" applyNumberFormat="1" applyFont="1" applyBorder="1"/>
    <xf numFmtId="0" fontId="16" fillId="0" borderId="16" xfId="0" applyFont="1" applyBorder="1" applyAlignment="1">
      <alignment horizontal="center"/>
    </xf>
  </cellXfs>
  <cellStyles count="3">
    <cellStyle name="Hyperlink" xfId="2" builtinId="8"/>
    <cellStyle name="Normal" xfId="0" builtinId="0"/>
    <cellStyle name="Percent" xfId="1" builtinId="5"/>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6.xml"/><Relationship Id="rId18" Type="http://schemas.openxmlformats.org/officeDocument/2006/relationships/chartsheet" Target="chartsheets/sheet11.xml"/><Relationship Id="rId26" Type="http://schemas.openxmlformats.org/officeDocument/2006/relationships/chartsheet" Target="chartsheets/sheet19.xml"/><Relationship Id="rId39" Type="http://schemas.openxmlformats.org/officeDocument/2006/relationships/worksheet" Target="worksheets/sheet12.xml"/><Relationship Id="rId21" Type="http://schemas.openxmlformats.org/officeDocument/2006/relationships/chartsheet" Target="chartsheets/sheet14.xml"/><Relationship Id="rId34" Type="http://schemas.openxmlformats.org/officeDocument/2006/relationships/worksheet" Target="worksheets/sheet9.xml"/><Relationship Id="rId42" Type="http://schemas.openxmlformats.org/officeDocument/2006/relationships/worksheet" Target="worksheets/sheet15.xml"/><Relationship Id="rId47" Type="http://schemas.openxmlformats.org/officeDocument/2006/relationships/styles" Target="styles.xml"/><Relationship Id="rId50" Type="http://schemas.microsoft.com/office/2017/10/relationships/person" Target="persons/person.xml"/><Relationship Id="rId7" Type="http://schemas.openxmlformats.org/officeDocument/2006/relationships/chartsheet" Target="chartsheets/sheet3.xml"/><Relationship Id="rId2" Type="http://schemas.openxmlformats.org/officeDocument/2006/relationships/worksheet" Target="worksheets/sheet2.xml"/><Relationship Id="rId16" Type="http://schemas.openxmlformats.org/officeDocument/2006/relationships/worksheet" Target="worksheets/sheet7.xml"/><Relationship Id="rId29" Type="http://schemas.openxmlformats.org/officeDocument/2006/relationships/chartsheet" Target="chartsheets/sheet22.xml"/><Relationship Id="rId11" Type="http://schemas.openxmlformats.org/officeDocument/2006/relationships/chartsheet" Target="chartsheets/sheet7.xml"/><Relationship Id="rId24" Type="http://schemas.openxmlformats.org/officeDocument/2006/relationships/chartsheet" Target="chartsheets/sheet17.xml"/><Relationship Id="rId32" Type="http://schemas.openxmlformats.org/officeDocument/2006/relationships/chartsheet" Target="chartsheets/sheet25.xml"/><Relationship Id="rId37" Type="http://schemas.openxmlformats.org/officeDocument/2006/relationships/chartsheet" Target="chartsheets/sheet26.xml"/><Relationship Id="rId40" Type="http://schemas.openxmlformats.org/officeDocument/2006/relationships/worksheet" Target="worksheets/sheet13.xml"/><Relationship Id="rId45" Type="http://schemas.openxmlformats.org/officeDocument/2006/relationships/chartsheet" Target="chartsheets/sheet28.xml"/><Relationship Id="rId5" Type="http://schemas.openxmlformats.org/officeDocument/2006/relationships/chartsheet" Target="chartsheets/sheet1.xml"/><Relationship Id="rId15" Type="http://schemas.openxmlformats.org/officeDocument/2006/relationships/chartsheet" Target="chartsheets/sheet9.xml"/><Relationship Id="rId23" Type="http://schemas.openxmlformats.org/officeDocument/2006/relationships/chartsheet" Target="chartsheets/sheet16.xml"/><Relationship Id="rId28" Type="http://schemas.openxmlformats.org/officeDocument/2006/relationships/chartsheet" Target="chartsheets/sheet21.xml"/><Relationship Id="rId36" Type="http://schemas.openxmlformats.org/officeDocument/2006/relationships/worksheet" Target="worksheets/sheet11.xml"/><Relationship Id="rId49" Type="http://schemas.openxmlformats.org/officeDocument/2006/relationships/sheetMetadata" Target="metadata.xml"/><Relationship Id="rId10" Type="http://schemas.openxmlformats.org/officeDocument/2006/relationships/chartsheet" Target="chartsheets/sheet6.xml"/><Relationship Id="rId19" Type="http://schemas.openxmlformats.org/officeDocument/2006/relationships/chartsheet" Target="chartsheets/sheet12.xml"/><Relationship Id="rId31" Type="http://schemas.openxmlformats.org/officeDocument/2006/relationships/chartsheet" Target="chartsheets/sheet24.xml"/><Relationship Id="rId44" Type="http://schemas.openxmlformats.org/officeDocument/2006/relationships/worksheet" Target="worksheets/sheet17.xml"/><Relationship Id="rId4" Type="http://schemas.openxmlformats.org/officeDocument/2006/relationships/worksheet" Target="worksheets/sheet4.xml"/><Relationship Id="rId9" Type="http://schemas.openxmlformats.org/officeDocument/2006/relationships/chartsheet" Target="chartsheets/sheet5.xml"/><Relationship Id="rId14" Type="http://schemas.openxmlformats.org/officeDocument/2006/relationships/chartsheet" Target="chartsheets/sheet8.xml"/><Relationship Id="rId22" Type="http://schemas.openxmlformats.org/officeDocument/2006/relationships/chartsheet" Target="chartsheets/sheet15.xml"/><Relationship Id="rId27" Type="http://schemas.openxmlformats.org/officeDocument/2006/relationships/chartsheet" Target="chartsheets/sheet20.xml"/><Relationship Id="rId30" Type="http://schemas.openxmlformats.org/officeDocument/2006/relationships/chartsheet" Target="chartsheets/sheet23.xml"/><Relationship Id="rId35" Type="http://schemas.openxmlformats.org/officeDocument/2006/relationships/worksheet" Target="worksheets/sheet10.xml"/><Relationship Id="rId43" Type="http://schemas.openxmlformats.org/officeDocument/2006/relationships/worksheet" Target="worksheets/sheet16.xml"/><Relationship Id="rId48" Type="http://schemas.openxmlformats.org/officeDocument/2006/relationships/sharedStrings" Target="sharedStrings.xml"/><Relationship Id="rId8" Type="http://schemas.openxmlformats.org/officeDocument/2006/relationships/chartsheet" Target="chartsheets/sheet4.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5.xml"/><Relationship Id="rId17" Type="http://schemas.openxmlformats.org/officeDocument/2006/relationships/chartsheet" Target="chartsheets/sheet10.xml"/><Relationship Id="rId25" Type="http://schemas.openxmlformats.org/officeDocument/2006/relationships/chartsheet" Target="chartsheets/sheet18.xml"/><Relationship Id="rId33" Type="http://schemas.openxmlformats.org/officeDocument/2006/relationships/worksheet" Target="worksheets/sheet8.xml"/><Relationship Id="rId38" Type="http://schemas.openxmlformats.org/officeDocument/2006/relationships/chartsheet" Target="chartsheets/sheet27.xml"/><Relationship Id="rId46" Type="http://schemas.openxmlformats.org/officeDocument/2006/relationships/theme" Target="theme/theme1.xml"/><Relationship Id="rId20" Type="http://schemas.openxmlformats.org/officeDocument/2006/relationships/chartsheet" Target="chartsheets/sheet13.xml"/><Relationship Id="rId41" Type="http://schemas.openxmlformats.org/officeDocument/2006/relationships/worksheet" Target="worksheets/sheet14.xml"/><Relationship Id="rId1" Type="http://schemas.openxmlformats.org/officeDocument/2006/relationships/worksheet" Target="worksheets/sheet1.xml"/><Relationship Id="rId6" Type="http://schemas.openxmlformats.org/officeDocument/2006/relationships/chartsheet" Target="chartsheets/sheet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0.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1.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Ex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4.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Lifetime PRs</a:t>
            </a:r>
            <a:r>
              <a:rPr lang="en-US" sz="1600" b="1" baseline="0"/>
              <a:t> vs Tmod </a:t>
            </a:r>
            <a:r>
              <a:rPr lang="en-US" sz="1600" b="1"/>
              <a:t>for 100</a:t>
            </a:r>
            <a:r>
              <a:rPr lang="en-US" sz="1600" b="1" baseline="0"/>
              <a:t> longest-running U.S. PV systems, by structure type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PRanalysis!$O$5</c:f>
              <c:strCache>
                <c:ptCount val="1"/>
                <c:pt idx="0">
                  <c:v>Fixed-tilt only</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olid"/>
              </a:ln>
              <a:effectLst/>
            </c:spPr>
            <c:trendlineType val="linear"/>
            <c:dispRSqr val="0"/>
            <c:dispEq val="1"/>
            <c:trendlineLbl>
              <c:layout>
                <c:manualLayout>
                  <c:x val="-0.19573374057780143"/>
                  <c:y val="0.20831787387833064"/>
                </c:manualLayout>
              </c:layout>
              <c:numFmt formatCode="General" sourceLinked="0"/>
              <c:spPr>
                <a:noFill/>
                <a:ln>
                  <a:solidFill>
                    <a:srgbClr val="0070C0"/>
                  </a:solid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trendlineLbl>
          </c:trendline>
          <c:xVal>
            <c:numRef>
              <c:f>PRanalysis!$P$7:$P$106</c:f>
              <c:numCache>
                <c:formatCode>0</c:formatCode>
                <c:ptCount val="100"/>
                <c:pt idx="3">
                  <c:v>34.822499999999998</c:v>
                </c:pt>
                <c:pt idx="5">
                  <c:v>48.323999999999998</c:v>
                </c:pt>
                <c:pt idx="6">
                  <c:v>43.248359999999998</c:v>
                </c:pt>
                <c:pt idx="7">
                  <c:v>33.551000000000002</c:v>
                </c:pt>
                <c:pt idx="10">
                  <c:v>36.0655</c:v>
                </c:pt>
                <c:pt idx="11">
                  <c:v>36.0655</c:v>
                </c:pt>
                <c:pt idx="13">
                  <c:v>42.231175</c:v>
                </c:pt>
                <c:pt idx="14">
                  <c:v>37.594999999999999</c:v>
                </c:pt>
                <c:pt idx="15">
                  <c:v>34.379999999999995</c:v>
                </c:pt>
                <c:pt idx="16">
                  <c:v>36.0655</c:v>
                </c:pt>
                <c:pt idx="17">
                  <c:v>35.637</c:v>
                </c:pt>
                <c:pt idx="18">
                  <c:v>48.895499999999998</c:v>
                </c:pt>
                <c:pt idx="21">
                  <c:v>35.007999999999996</c:v>
                </c:pt>
                <c:pt idx="22">
                  <c:v>45.585049999999995</c:v>
                </c:pt>
                <c:pt idx="24">
                  <c:v>34.736499999999999</c:v>
                </c:pt>
                <c:pt idx="25">
                  <c:v>34.094000000000001</c:v>
                </c:pt>
                <c:pt idx="27">
                  <c:v>48.895499999999998</c:v>
                </c:pt>
                <c:pt idx="28">
                  <c:v>43.130250000000004</c:v>
                </c:pt>
                <c:pt idx="32">
                  <c:v>43.580500000000001</c:v>
                </c:pt>
                <c:pt idx="33">
                  <c:v>44.79365</c:v>
                </c:pt>
                <c:pt idx="35">
                  <c:v>42.380499999999998</c:v>
                </c:pt>
                <c:pt idx="37">
                  <c:v>41.260562499999999</c:v>
                </c:pt>
                <c:pt idx="38">
                  <c:v>34.822499999999998</c:v>
                </c:pt>
                <c:pt idx="39">
                  <c:v>46.300399999999996</c:v>
                </c:pt>
                <c:pt idx="40">
                  <c:v>48.323999999999998</c:v>
                </c:pt>
                <c:pt idx="41">
                  <c:v>44.323499999999996</c:v>
                </c:pt>
                <c:pt idx="42">
                  <c:v>35.580500000000001</c:v>
                </c:pt>
                <c:pt idx="43">
                  <c:v>33.109499999999997</c:v>
                </c:pt>
                <c:pt idx="44">
                  <c:v>34.094000000000001</c:v>
                </c:pt>
                <c:pt idx="45">
                  <c:v>39.333375000000004</c:v>
                </c:pt>
                <c:pt idx="46">
                  <c:v>39.672750000000001</c:v>
                </c:pt>
                <c:pt idx="47">
                  <c:v>38.664612500000004</c:v>
                </c:pt>
                <c:pt idx="48">
                  <c:v>35.41525</c:v>
                </c:pt>
                <c:pt idx="49">
                  <c:v>34.293999999999997</c:v>
                </c:pt>
                <c:pt idx="51">
                  <c:v>33.962299999999999</c:v>
                </c:pt>
                <c:pt idx="52">
                  <c:v>34.365499999999997</c:v>
                </c:pt>
                <c:pt idx="53">
                  <c:v>44.7515</c:v>
                </c:pt>
                <c:pt idx="54">
                  <c:v>49.765999999999991</c:v>
                </c:pt>
                <c:pt idx="55">
                  <c:v>35.265500000000003</c:v>
                </c:pt>
                <c:pt idx="56">
                  <c:v>36.094000000000001</c:v>
                </c:pt>
                <c:pt idx="57">
                  <c:v>43.194499999999998</c:v>
                </c:pt>
                <c:pt idx="58">
                  <c:v>42.358750000000001</c:v>
                </c:pt>
                <c:pt idx="59">
                  <c:v>30.490623999999997</c:v>
                </c:pt>
                <c:pt idx="60">
                  <c:v>43.194499999999998</c:v>
                </c:pt>
                <c:pt idx="61">
                  <c:v>32.350999999999999</c:v>
                </c:pt>
                <c:pt idx="62">
                  <c:v>36.308999999999997</c:v>
                </c:pt>
                <c:pt idx="66">
                  <c:v>36.094000000000001</c:v>
                </c:pt>
                <c:pt idx="67">
                  <c:v>46.866</c:v>
                </c:pt>
                <c:pt idx="68">
                  <c:v>38.515749999999997</c:v>
                </c:pt>
                <c:pt idx="70">
                  <c:v>36.0655</c:v>
                </c:pt>
                <c:pt idx="72">
                  <c:v>35.41525</c:v>
                </c:pt>
                <c:pt idx="73">
                  <c:v>32.551000000000002</c:v>
                </c:pt>
                <c:pt idx="74">
                  <c:v>35.386749999999999</c:v>
                </c:pt>
                <c:pt idx="76">
                  <c:v>43.601749999999996</c:v>
                </c:pt>
                <c:pt idx="77">
                  <c:v>35.41525</c:v>
                </c:pt>
                <c:pt idx="78">
                  <c:v>34.051000000000002</c:v>
                </c:pt>
                <c:pt idx="82">
                  <c:v>46.124000000000002</c:v>
                </c:pt>
                <c:pt idx="83">
                  <c:v>41.952500000000001</c:v>
                </c:pt>
                <c:pt idx="88">
                  <c:v>44.323499999999996</c:v>
                </c:pt>
                <c:pt idx="90">
                  <c:v>41.476905000000002</c:v>
                </c:pt>
                <c:pt idx="91">
                  <c:v>36.736999999999995</c:v>
                </c:pt>
                <c:pt idx="92">
                  <c:v>42.081850000000003</c:v>
                </c:pt>
                <c:pt idx="94">
                  <c:v>44.7515</c:v>
                </c:pt>
                <c:pt idx="95">
                  <c:v>44.323499999999996</c:v>
                </c:pt>
                <c:pt idx="96">
                  <c:v>35.637</c:v>
                </c:pt>
                <c:pt idx="99">
                  <c:v>44.323499999999996</c:v>
                </c:pt>
              </c:numCache>
            </c:numRef>
          </c:xVal>
          <c:yVal>
            <c:numRef>
              <c:f>PRanalysis!$O$7:$O$106</c:f>
              <c:numCache>
                <c:formatCode>0.000</c:formatCode>
                <c:ptCount val="100"/>
                <c:pt idx="3">
                  <c:v>0.77657001947269855</c:v>
                </c:pt>
                <c:pt idx="5">
                  <c:v>0.69654170392572479</c:v>
                </c:pt>
                <c:pt idx="6">
                  <c:v>0.57590427500299135</c:v>
                </c:pt>
                <c:pt idx="7">
                  <c:v>0.65523486423406074</c:v>
                </c:pt>
                <c:pt idx="10">
                  <c:v>0.71825650914211558</c:v>
                </c:pt>
                <c:pt idx="11">
                  <c:v>0.59861966689482093</c:v>
                </c:pt>
                <c:pt idx="13">
                  <c:v>0.67289478178385598</c:v>
                </c:pt>
                <c:pt idx="14">
                  <c:v>0.63004660115755495</c:v>
                </c:pt>
                <c:pt idx="15">
                  <c:v>0.69313255760894366</c:v>
                </c:pt>
                <c:pt idx="16">
                  <c:v>0.55771034552690957</c:v>
                </c:pt>
                <c:pt idx="17">
                  <c:v>0.78043050327501673</c:v>
                </c:pt>
                <c:pt idx="18">
                  <c:v>0.62402376314080632</c:v>
                </c:pt>
                <c:pt idx="21">
                  <c:v>0.63082268613582781</c:v>
                </c:pt>
                <c:pt idx="22">
                  <c:v>0.59671854357532061</c:v>
                </c:pt>
                <c:pt idx="24">
                  <c:v>0.4961412034193235</c:v>
                </c:pt>
                <c:pt idx="25">
                  <c:v>0.68240742312050862</c:v>
                </c:pt>
                <c:pt idx="27">
                  <c:v>0.71405680029910013</c:v>
                </c:pt>
                <c:pt idx="28">
                  <c:v>0.330550442390318</c:v>
                </c:pt>
                <c:pt idx="32">
                  <c:v>0.74820760652382834</c:v>
                </c:pt>
                <c:pt idx="33">
                  <c:v>0.58097776635076381</c:v>
                </c:pt>
                <c:pt idx="35">
                  <c:v>0.74179801489863084</c:v>
                </c:pt>
                <c:pt idx="37">
                  <c:v>0.56668578229153177</c:v>
                </c:pt>
                <c:pt idx="38">
                  <c:v>0.48602157383972955</c:v>
                </c:pt>
                <c:pt idx="39">
                  <c:v>0.67812475555449869</c:v>
                </c:pt>
                <c:pt idx="40">
                  <c:v>0.70865273579012622</c:v>
                </c:pt>
                <c:pt idx="41">
                  <c:v>0.65538181361620862</c:v>
                </c:pt>
                <c:pt idx="42">
                  <c:v>0.6232675834318544</c:v>
                </c:pt>
                <c:pt idx="43">
                  <c:v>0.74188285008075949</c:v>
                </c:pt>
                <c:pt idx="44">
                  <c:v>0.56387497600983716</c:v>
                </c:pt>
                <c:pt idx="45">
                  <c:v>0.60394980698564482</c:v>
                </c:pt>
                <c:pt idx="46">
                  <c:v>0.57923371252730282</c:v>
                </c:pt>
                <c:pt idx="47">
                  <c:v>0.59635815650581048</c:v>
                </c:pt>
                <c:pt idx="48">
                  <c:v>0.68950256736006832</c:v>
                </c:pt>
                <c:pt idx="49">
                  <c:v>0.8170898704071542</c:v>
                </c:pt>
                <c:pt idx="51">
                  <c:v>0.57730966431815378</c:v>
                </c:pt>
                <c:pt idx="52">
                  <c:v>0.68763512706017849</c:v>
                </c:pt>
                <c:pt idx="53">
                  <c:v>0.69495380043089883</c:v>
                </c:pt>
                <c:pt idx="54">
                  <c:v>0.78255648070843142</c:v>
                </c:pt>
                <c:pt idx="55">
                  <c:v>0.79287669893419366</c:v>
                </c:pt>
                <c:pt idx="56">
                  <c:v>0.72775551792492243</c:v>
                </c:pt>
                <c:pt idx="57">
                  <c:v>0.57489085246060723</c:v>
                </c:pt>
                <c:pt idx="58">
                  <c:v>0.5141699268196106</c:v>
                </c:pt>
                <c:pt idx="59">
                  <c:v>0.69917284688845271</c:v>
                </c:pt>
                <c:pt idx="60">
                  <c:v>0.26614232683588018</c:v>
                </c:pt>
                <c:pt idx="61">
                  <c:v>0.75758069597905331</c:v>
                </c:pt>
                <c:pt idx="62">
                  <c:v>0.63389344703513084</c:v>
                </c:pt>
                <c:pt idx="66">
                  <c:v>0.76159808706009935</c:v>
                </c:pt>
                <c:pt idx="67">
                  <c:v>0.73976911402141288</c:v>
                </c:pt>
                <c:pt idx="68">
                  <c:v>0.71070412965880703</c:v>
                </c:pt>
                <c:pt idx="70">
                  <c:v>0.72321741568306097</c:v>
                </c:pt>
                <c:pt idx="72">
                  <c:v>0.71557778748420764</c:v>
                </c:pt>
                <c:pt idx="73">
                  <c:v>0.71342379829717262</c:v>
                </c:pt>
                <c:pt idx="74">
                  <c:v>0.79337212178219252</c:v>
                </c:pt>
                <c:pt idx="76">
                  <c:v>0.66025996210801141</c:v>
                </c:pt>
                <c:pt idx="77">
                  <c:v>0.74653744591602134</c:v>
                </c:pt>
                <c:pt idx="78">
                  <c:v>0.57289277001802663</c:v>
                </c:pt>
                <c:pt idx="82">
                  <c:v>0.75642074547201599</c:v>
                </c:pt>
                <c:pt idx="83">
                  <c:v>0.68128095408822908</c:v>
                </c:pt>
                <c:pt idx="88">
                  <c:v>0.67570012993119011</c:v>
                </c:pt>
                <c:pt idx="90">
                  <c:v>0.55913698817365276</c:v>
                </c:pt>
                <c:pt idx="91">
                  <c:v>0.65123153686674806</c:v>
                </c:pt>
                <c:pt idx="92">
                  <c:v>0.75038268056748558</c:v>
                </c:pt>
                <c:pt idx="94">
                  <c:v>0.62343054422843214</c:v>
                </c:pt>
                <c:pt idx="95">
                  <c:v>0.68604725762720653</c:v>
                </c:pt>
                <c:pt idx="96">
                  <c:v>0.61932618958777341</c:v>
                </c:pt>
                <c:pt idx="99">
                  <c:v>0.66596570217017625</c:v>
                </c:pt>
              </c:numCache>
            </c:numRef>
          </c:yVal>
          <c:smooth val="0"/>
          <c:extLst>
            <c:ext xmlns:c16="http://schemas.microsoft.com/office/drawing/2014/chart" uri="{C3380CC4-5D6E-409C-BE32-E72D297353CC}">
              <c16:uniqueId val="{00000000-4A17-4711-B050-1DA67D4133C1}"/>
            </c:ext>
          </c:extLst>
        </c:ser>
        <c:ser>
          <c:idx val="1"/>
          <c:order val="1"/>
          <c:tx>
            <c:strRef>
              <c:f>PRanalysis!$Q$5</c:f>
              <c:strCache>
                <c:ptCount val="1"/>
                <c:pt idx="0">
                  <c:v>Tracker only</c:v>
                </c:pt>
              </c:strCache>
            </c:strRef>
          </c:tx>
          <c:spPr>
            <a:ln w="25400" cap="rnd">
              <a:noFill/>
              <a:round/>
            </a:ln>
            <a:effectLst/>
          </c:spPr>
          <c:marker>
            <c:symbol val="square"/>
            <c:size val="5"/>
            <c:spPr>
              <a:solidFill>
                <a:schemeClr val="accent2"/>
              </a:solidFill>
              <a:ln w="9525">
                <a:solidFill>
                  <a:schemeClr val="accent2"/>
                </a:solidFill>
              </a:ln>
              <a:effectLst/>
            </c:spPr>
          </c:marker>
          <c:trendline>
            <c:spPr>
              <a:ln w="19050" cap="rnd">
                <a:solidFill>
                  <a:schemeClr val="accent2"/>
                </a:solidFill>
                <a:prstDash val="solid"/>
              </a:ln>
              <a:effectLst/>
            </c:spPr>
            <c:trendlineType val="linear"/>
            <c:dispRSqr val="0"/>
            <c:dispEq val="1"/>
            <c:trendlineLbl>
              <c:layout>
                <c:manualLayout>
                  <c:x val="4.0151720358798569E-2"/>
                  <c:y val="0.20292753981668521"/>
                </c:manualLayout>
              </c:layout>
              <c:numFmt formatCode="General" sourceLinked="0"/>
              <c:spPr>
                <a:noFill/>
                <a:ln>
                  <a:solidFill>
                    <a:schemeClr val="accent2"/>
                  </a:solid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trendlineLbl>
          </c:trendline>
          <c:xVal>
            <c:numRef>
              <c:f>PRanalysis!$R$7:$R$106</c:f>
              <c:numCache>
                <c:formatCode>0</c:formatCode>
                <c:ptCount val="100"/>
                <c:pt idx="0">
                  <c:v>54.682000000000002</c:v>
                </c:pt>
                <c:pt idx="1">
                  <c:v>53.1695102112676</c:v>
                </c:pt>
                <c:pt idx="2">
                  <c:v>36.71661358695652</c:v>
                </c:pt>
                <c:pt idx="4">
                  <c:v>53.300587500000006</c:v>
                </c:pt>
                <c:pt idx="8">
                  <c:v>38.155199999999994</c:v>
                </c:pt>
                <c:pt idx="9">
                  <c:v>54.992374999999996</c:v>
                </c:pt>
                <c:pt idx="12">
                  <c:v>41.349724999999999</c:v>
                </c:pt>
                <c:pt idx="19">
                  <c:v>50.097274999999996</c:v>
                </c:pt>
                <c:pt idx="20">
                  <c:v>34.002174999999994</c:v>
                </c:pt>
                <c:pt idx="23">
                  <c:v>44.986899999999999</c:v>
                </c:pt>
                <c:pt idx="26">
                  <c:v>38.155199999999994</c:v>
                </c:pt>
                <c:pt idx="29">
                  <c:v>44.986899999999999</c:v>
                </c:pt>
                <c:pt idx="30">
                  <c:v>52.913699999999999</c:v>
                </c:pt>
                <c:pt idx="31">
                  <c:v>38.965575000000001</c:v>
                </c:pt>
                <c:pt idx="34">
                  <c:v>52.913699999999999</c:v>
                </c:pt>
                <c:pt idx="36">
                  <c:v>41.202749999999995</c:v>
                </c:pt>
                <c:pt idx="50">
                  <c:v>38.213700000000003</c:v>
                </c:pt>
                <c:pt idx="63">
                  <c:v>44.986899999999999</c:v>
                </c:pt>
                <c:pt idx="64">
                  <c:v>52.539924999999997</c:v>
                </c:pt>
                <c:pt idx="65">
                  <c:v>42.007649999999998</c:v>
                </c:pt>
                <c:pt idx="69">
                  <c:v>42.007649999999998</c:v>
                </c:pt>
                <c:pt idx="71">
                  <c:v>52.539924999999997</c:v>
                </c:pt>
                <c:pt idx="75">
                  <c:v>44.986899999999999</c:v>
                </c:pt>
                <c:pt idx="79">
                  <c:v>37.928974999999994</c:v>
                </c:pt>
                <c:pt idx="80">
                  <c:v>44.986899999999999</c:v>
                </c:pt>
                <c:pt idx="81">
                  <c:v>44.986899999999999</c:v>
                </c:pt>
                <c:pt idx="84">
                  <c:v>54.682000000000002</c:v>
                </c:pt>
                <c:pt idx="85">
                  <c:v>32.891799999999996</c:v>
                </c:pt>
                <c:pt idx="86">
                  <c:v>54.682000000000002</c:v>
                </c:pt>
                <c:pt idx="87">
                  <c:v>37.418025</c:v>
                </c:pt>
                <c:pt idx="89">
                  <c:v>54.682000000000002</c:v>
                </c:pt>
                <c:pt idx="93">
                  <c:v>47.676524999999998</c:v>
                </c:pt>
                <c:pt idx="97">
                  <c:v>36.818024999999999</c:v>
                </c:pt>
                <c:pt idx="98">
                  <c:v>48.255200000000002</c:v>
                </c:pt>
              </c:numCache>
            </c:numRef>
          </c:xVal>
          <c:yVal>
            <c:numRef>
              <c:f>PRanalysis!$Q$7:$Q$106</c:f>
              <c:numCache>
                <c:formatCode>0.000</c:formatCode>
                <c:ptCount val="100"/>
                <c:pt idx="0">
                  <c:v>0.28783061184089043</c:v>
                </c:pt>
                <c:pt idx="1">
                  <c:v>0.61133723477531254</c:v>
                </c:pt>
                <c:pt idx="2">
                  <c:v>0.57797579724949855</c:v>
                </c:pt>
                <c:pt idx="4">
                  <c:v>0.43741403352927921</c:v>
                </c:pt>
                <c:pt idx="8">
                  <c:v>0.51398870636550309</c:v>
                </c:pt>
                <c:pt idx="9">
                  <c:v>0.32547164220675512</c:v>
                </c:pt>
                <c:pt idx="12">
                  <c:v>0.50884397852948593</c:v>
                </c:pt>
                <c:pt idx="19">
                  <c:v>0.7110465750071342</c:v>
                </c:pt>
                <c:pt idx="20">
                  <c:v>0.73847821127081914</c:v>
                </c:pt>
                <c:pt idx="23">
                  <c:v>0.59428382142478053</c:v>
                </c:pt>
                <c:pt idx="26">
                  <c:v>0.66509810631987232</c:v>
                </c:pt>
                <c:pt idx="29">
                  <c:v>0.61182241548227789</c:v>
                </c:pt>
                <c:pt idx="30">
                  <c:v>0.55578642590962923</c:v>
                </c:pt>
                <c:pt idx="31">
                  <c:v>0.56818621252373391</c:v>
                </c:pt>
                <c:pt idx="34">
                  <c:v>0.57496677277649222</c:v>
                </c:pt>
                <c:pt idx="36">
                  <c:v>0.4299847995946558</c:v>
                </c:pt>
                <c:pt idx="50">
                  <c:v>0.76062358813898867</c:v>
                </c:pt>
                <c:pt idx="63">
                  <c:v>0.65368787324682243</c:v>
                </c:pt>
                <c:pt idx="64">
                  <c:v>0.48128581096867656</c:v>
                </c:pt>
                <c:pt idx="65">
                  <c:v>0.70715269789244106</c:v>
                </c:pt>
                <c:pt idx="69">
                  <c:v>0.62554158532350146</c:v>
                </c:pt>
                <c:pt idx="71">
                  <c:v>0.44390948452093781</c:v>
                </c:pt>
                <c:pt idx="75">
                  <c:v>0.5416092141542076</c:v>
                </c:pt>
                <c:pt idx="79">
                  <c:v>0.77435703596480809</c:v>
                </c:pt>
                <c:pt idx="80">
                  <c:v>0.66789435372597594</c:v>
                </c:pt>
                <c:pt idx="81">
                  <c:v>0.66798622255199147</c:v>
                </c:pt>
                <c:pt idx="84">
                  <c:v>0.48072222096862754</c:v>
                </c:pt>
                <c:pt idx="85">
                  <c:v>0.69613822180557294</c:v>
                </c:pt>
                <c:pt idx="86">
                  <c:v>0.65071592792332</c:v>
                </c:pt>
                <c:pt idx="87">
                  <c:v>0.75135956613394883</c:v>
                </c:pt>
                <c:pt idx="89">
                  <c:v>0.71968844064610582</c:v>
                </c:pt>
                <c:pt idx="93">
                  <c:v>0.73760518942557896</c:v>
                </c:pt>
                <c:pt idx="97">
                  <c:v>0.73891450172550843</c:v>
                </c:pt>
                <c:pt idx="98">
                  <c:v>0.69549213620055517</c:v>
                </c:pt>
              </c:numCache>
            </c:numRef>
          </c:yVal>
          <c:smooth val="0"/>
          <c:extLst>
            <c:ext xmlns:c16="http://schemas.microsoft.com/office/drawing/2014/chart" uri="{C3380CC4-5D6E-409C-BE32-E72D297353CC}">
              <c16:uniqueId val="{00000001-4A17-4711-B050-1DA67D4133C1}"/>
            </c:ext>
          </c:extLst>
        </c:ser>
        <c:dLbls>
          <c:showLegendKey val="0"/>
          <c:showVal val="0"/>
          <c:showCatName val="0"/>
          <c:showSerName val="0"/>
          <c:showPercent val="0"/>
          <c:showBubbleSize val="0"/>
        </c:dLbls>
        <c:axId val="81987232"/>
        <c:axId val="1942026287"/>
      </c:scatterChart>
      <c:valAx>
        <c:axId val="81987232"/>
        <c:scaling>
          <c:orientation val="minMax"/>
          <c:min val="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Annual wtd-avg module temperature, C</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942026287"/>
        <c:crosses val="autoZero"/>
        <c:crossBetween val="midCat"/>
        <c:majorUnit val="5"/>
      </c:valAx>
      <c:valAx>
        <c:axId val="1942026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Performance Ratio</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1987232"/>
        <c:crosses val="autoZero"/>
        <c:crossBetween val="midCat"/>
      </c:valAx>
      <c:spPr>
        <a:noFill/>
        <a:ln>
          <a:noFill/>
        </a:ln>
        <a:effectLst/>
      </c:spPr>
    </c:plotArea>
    <c:legend>
      <c:legendPos val="r"/>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Lifetime</a:t>
            </a:r>
            <a:r>
              <a:rPr lang="en-US" sz="1600" b="1" baseline="0"/>
              <a:t> PI, Oldest 100, w/ &amp; w/o Tmod corr.</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PRanalysis!$N$5:$N$6</c:f>
              <c:strCache>
                <c:ptCount val="2"/>
                <c:pt idx="0">
                  <c:v>Orig.</c:v>
                </c:pt>
                <c:pt idx="1">
                  <c:v>PI</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ash"/>
              </a:ln>
              <a:effectLst/>
            </c:spPr>
            <c:trendlineType val="linear"/>
            <c:dispRSqr val="0"/>
            <c:dispEq val="1"/>
            <c:trendlineLbl>
              <c:layout>
                <c:manualLayout>
                  <c:x val="0.27910225634607061"/>
                  <c:y val="2.300008449099625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trendlineLbl>
          </c:trendline>
          <c:xVal>
            <c:numRef>
              <c:f>PRanalysis!$J$7:$J$106</c:f>
              <c:numCache>
                <c:formatCode>0</c:formatCode>
                <c:ptCount val="100"/>
                <c:pt idx="0">
                  <c:v>54.682000000000002</c:v>
                </c:pt>
                <c:pt idx="1">
                  <c:v>53.1695102112676</c:v>
                </c:pt>
                <c:pt idx="2">
                  <c:v>36.71661358695652</c:v>
                </c:pt>
                <c:pt idx="3">
                  <c:v>34.822499999999998</c:v>
                </c:pt>
                <c:pt idx="4">
                  <c:v>53.300587500000006</c:v>
                </c:pt>
                <c:pt idx="5">
                  <c:v>48.323999999999998</c:v>
                </c:pt>
                <c:pt idx="6">
                  <c:v>43.248359999999998</c:v>
                </c:pt>
                <c:pt idx="7">
                  <c:v>33.551000000000002</c:v>
                </c:pt>
                <c:pt idx="8">
                  <c:v>38.155199999999994</c:v>
                </c:pt>
                <c:pt idx="9">
                  <c:v>54.992374999999996</c:v>
                </c:pt>
                <c:pt idx="10">
                  <c:v>36.0655</c:v>
                </c:pt>
                <c:pt idx="11">
                  <c:v>36.0655</c:v>
                </c:pt>
                <c:pt idx="12">
                  <c:v>41.349724999999999</c:v>
                </c:pt>
                <c:pt idx="13">
                  <c:v>42.231175</c:v>
                </c:pt>
                <c:pt idx="14">
                  <c:v>37.594999999999999</c:v>
                </c:pt>
                <c:pt idx="15">
                  <c:v>34.379999999999995</c:v>
                </c:pt>
                <c:pt idx="16">
                  <c:v>36.0655</c:v>
                </c:pt>
                <c:pt idx="17">
                  <c:v>35.637</c:v>
                </c:pt>
                <c:pt idx="18">
                  <c:v>48.895499999999998</c:v>
                </c:pt>
                <c:pt idx="19">
                  <c:v>50.097274999999996</c:v>
                </c:pt>
                <c:pt idx="20">
                  <c:v>34.002174999999994</c:v>
                </c:pt>
                <c:pt idx="21">
                  <c:v>35.007999999999996</c:v>
                </c:pt>
                <c:pt idx="22">
                  <c:v>45.585049999999995</c:v>
                </c:pt>
                <c:pt idx="23">
                  <c:v>44.986899999999999</c:v>
                </c:pt>
                <c:pt idx="24">
                  <c:v>34.736499999999999</c:v>
                </c:pt>
                <c:pt idx="25">
                  <c:v>34.094000000000001</c:v>
                </c:pt>
                <c:pt idx="26">
                  <c:v>38.155199999999994</c:v>
                </c:pt>
                <c:pt idx="27">
                  <c:v>48.895499999999998</c:v>
                </c:pt>
                <c:pt idx="28">
                  <c:v>43.130250000000004</c:v>
                </c:pt>
                <c:pt idx="29">
                  <c:v>44.986899999999999</c:v>
                </c:pt>
                <c:pt idx="30">
                  <c:v>52.913699999999999</c:v>
                </c:pt>
                <c:pt idx="31">
                  <c:v>38.965575000000001</c:v>
                </c:pt>
                <c:pt idx="32">
                  <c:v>43.580500000000001</c:v>
                </c:pt>
                <c:pt idx="33">
                  <c:v>44.79365</c:v>
                </c:pt>
                <c:pt idx="34">
                  <c:v>52.913699999999999</c:v>
                </c:pt>
                <c:pt idx="35">
                  <c:v>42.380499999999998</c:v>
                </c:pt>
                <c:pt idx="36">
                  <c:v>41.202749999999995</c:v>
                </c:pt>
                <c:pt idx="37">
                  <c:v>41.260562499999999</c:v>
                </c:pt>
                <c:pt idx="38">
                  <c:v>34.822499999999998</c:v>
                </c:pt>
                <c:pt idx="39">
                  <c:v>46.300399999999996</c:v>
                </c:pt>
                <c:pt idx="40">
                  <c:v>48.323999999999998</c:v>
                </c:pt>
                <c:pt idx="41">
                  <c:v>44.323499999999996</c:v>
                </c:pt>
                <c:pt idx="42">
                  <c:v>35.580500000000001</c:v>
                </c:pt>
                <c:pt idx="43">
                  <c:v>33.109499999999997</c:v>
                </c:pt>
                <c:pt idx="44">
                  <c:v>34.094000000000001</c:v>
                </c:pt>
                <c:pt idx="45">
                  <c:v>39.333375000000004</c:v>
                </c:pt>
                <c:pt idx="46">
                  <c:v>39.672750000000001</c:v>
                </c:pt>
                <c:pt idx="47">
                  <c:v>38.664612500000004</c:v>
                </c:pt>
                <c:pt idx="48">
                  <c:v>35.41525</c:v>
                </c:pt>
                <c:pt idx="49">
                  <c:v>34.293999999999997</c:v>
                </c:pt>
                <c:pt idx="50">
                  <c:v>38.213700000000003</c:v>
                </c:pt>
                <c:pt idx="51">
                  <c:v>33.962299999999999</c:v>
                </c:pt>
                <c:pt idx="52">
                  <c:v>34.365499999999997</c:v>
                </c:pt>
                <c:pt idx="53">
                  <c:v>44.7515</c:v>
                </c:pt>
                <c:pt idx="54">
                  <c:v>49.765999999999991</c:v>
                </c:pt>
                <c:pt idx="55">
                  <c:v>35.265500000000003</c:v>
                </c:pt>
                <c:pt idx="56">
                  <c:v>36.094000000000001</c:v>
                </c:pt>
                <c:pt idx="57">
                  <c:v>43.194499999999998</c:v>
                </c:pt>
                <c:pt idx="58">
                  <c:v>42.358750000000001</c:v>
                </c:pt>
                <c:pt idx="59">
                  <c:v>30.490623999999997</c:v>
                </c:pt>
                <c:pt idx="60">
                  <c:v>43.194499999999998</c:v>
                </c:pt>
                <c:pt idx="61">
                  <c:v>32.350999999999999</c:v>
                </c:pt>
                <c:pt idx="62">
                  <c:v>36.308999999999997</c:v>
                </c:pt>
                <c:pt idx="63">
                  <c:v>44.986899999999999</c:v>
                </c:pt>
                <c:pt idx="64">
                  <c:v>52.539924999999997</c:v>
                </c:pt>
                <c:pt idx="65">
                  <c:v>42.007649999999998</c:v>
                </c:pt>
                <c:pt idx="66">
                  <c:v>36.094000000000001</c:v>
                </c:pt>
                <c:pt idx="67">
                  <c:v>46.866</c:v>
                </c:pt>
                <c:pt idx="68">
                  <c:v>38.515749999999997</c:v>
                </c:pt>
                <c:pt idx="69">
                  <c:v>42.007649999999998</c:v>
                </c:pt>
                <c:pt idx="70">
                  <c:v>36.0655</c:v>
                </c:pt>
                <c:pt idx="71">
                  <c:v>52.539924999999997</c:v>
                </c:pt>
                <c:pt idx="72">
                  <c:v>35.41525</c:v>
                </c:pt>
                <c:pt idx="73">
                  <c:v>32.551000000000002</c:v>
                </c:pt>
                <c:pt idx="74">
                  <c:v>35.386749999999999</c:v>
                </c:pt>
                <c:pt idx="75">
                  <c:v>44.986899999999999</c:v>
                </c:pt>
                <c:pt idx="76">
                  <c:v>43.601749999999996</c:v>
                </c:pt>
                <c:pt idx="77">
                  <c:v>35.41525</c:v>
                </c:pt>
                <c:pt idx="78">
                  <c:v>34.051000000000002</c:v>
                </c:pt>
                <c:pt idx="79">
                  <c:v>37.928974999999994</c:v>
                </c:pt>
                <c:pt idx="80">
                  <c:v>44.986899999999999</c:v>
                </c:pt>
                <c:pt idx="81">
                  <c:v>44.986899999999999</c:v>
                </c:pt>
                <c:pt idx="82">
                  <c:v>46.124000000000002</c:v>
                </c:pt>
                <c:pt idx="83">
                  <c:v>41.952500000000001</c:v>
                </c:pt>
                <c:pt idx="84">
                  <c:v>54.682000000000002</c:v>
                </c:pt>
                <c:pt idx="85">
                  <c:v>32.891799999999996</c:v>
                </c:pt>
                <c:pt idx="86">
                  <c:v>54.682000000000002</c:v>
                </c:pt>
                <c:pt idx="87">
                  <c:v>37.418025</c:v>
                </c:pt>
                <c:pt idx="88">
                  <c:v>44.323499999999996</c:v>
                </c:pt>
                <c:pt idx="89">
                  <c:v>54.682000000000002</c:v>
                </c:pt>
                <c:pt idx="90">
                  <c:v>41.476905000000002</c:v>
                </c:pt>
                <c:pt idx="91">
                  <c:v>36.736999999999995</c:v>
                </c:pt>
                <c:pt idx="92">
                  <c:v>42.081850000000003</c:v>
                </c:pt>
                <c:pt idx="93">
                  <c:v>47.676524999999998</c:v>
                </c:pt>
                <c:pt idx="94">
                  <c:v>44.7515</c:v>
                </c:pt>
                <c:pt idx="95">
                  <c:v>44.323499999999996</c:v>
                </c:pt>
                <c:pt idx="96">
                  <c:v>35.637</c:v>
                </c:pt>
                <c:pt idx="97">
                  <c:v>36.818024999999999</c:v>
                </c:pt>
                <c:pt idx="98">
                  <c:v>48.255200000000002</c:v>
                </c:pt>
                <c:pt idx="99">
                  <c:v>44.323499999999996</c:v>
                </c:pt>
              </c:numCache>
            </c:numRef>
          </c:xVal>
          <c:yVal>
            <c:numRef>
              <c:f>PRanalysis!$N$7:$N$106</c:f>
              <c:numCache>
                <c:formatCode>0.00</c:formatCode>
                <c:ptCount val="100"/>
                <c:pt idx="0">
                  <c:v>0.39997188542591477</c:v>
                </c:pt>
                <c:pt idx="1">
                  <c:v>0.8883293062644867</c:v>
                </c:pt>
                <c:pt idx="2">
                  <c:v>0.79137163456607884</c:v>
                </c:pt>
                <c:pt idx="3">
                  <c:v>1.007631172943402</c:v>
                </c:pt>
                <c:pt idx="4">
                  <c:v>0.59743420237988365</c:v>
                </c:pt>
                <c:pt idx="5">
                  <c:v>0.90379117984395607</c:v>
                </c:pt>
                <c:pt idx="6">
                  <c:v>0.88031106349258481</c:v>
                </c:pt>
                <c:pt idx="7">
                  <c:v>0.84809324842923262</c:v>
                </c:pt>
                <c:pt idx="8">
                  <c:v>0.70202236161037102</c:v>
                </c:pt>
                <c:pt idx="9">
                  <c:v>0.44453967192172372</c:v>
                </c:pt>
                <c:pt idx="10">
                  <c:v>0.93196702246183927</c:v>
                </c:pt>
                <c:pt idx="11">
                  <c:v>0.77673335562167312</c:v>
                </c:pt>
                <c:pt idx="12">
                  <c:v>0.69499552631116313</c:v>
                </c:pt>
                <c:pt idx="13">
                  <c:v>0.86450043186843828</c:v>
                </c:pt>
                <c:pt idx="14">
                  <c:v>0.81751108053909416</c:v>
                </c:pt>
                <c:pt idx="15">
                  <c:v>0.897145549576014</c:v>
                </c:pt>
                <c:pt idx="16">
                  <c:v>0.72007881396057061</c:v>
                </c:pt>
                <c:pt idx="17">
                  <c:v>1.0101383134877513</c:v>
                </c:pt>
                <c:pt idx="18">
                  <c:v>0.80969620334439452</c:v>
                </c:pt>
                <c:pt idx="19">
                  <c:v>0.96877082594642827</c:v>
                </c:pt>
                <c:pt idx="20">
                  <c:v>1.0086373717042003</c:v>
                </c:pt>
                <c:pt idx="21">
                  <c:v>0.81851808235136037</c:v>
                </c:pt>
                <c:pt idx="22">
                  <c:v>0.77426657082145778</c:v>
                </c:pt>
                <c:pt idx="23">
                  <c:v>0.8116920208880708</c:v>
                </c:pt>
                <c:pt idx="24">
                  <c:v>0.64217279613066391</c:v>
                </c:pt>
                <c:pt idx="25">
                  <c:v>0.88326363540349828</c:v>
                </c:pt>
                <c:pt idx="26">
                  <c:v>0.9061679845493148</c:v>
                </c:pt>
                <c:pt idx="27">
                  <c:v>0.92422852382336318</c:v>
                </c:pt>
                <c:pt idx="28">
                  <c:v>0.42784292130765422</c:v>
                </c:pt>
                <c:pt idx="29">
                  <c:v>0.83564679862362345</c:v>
                </c:pt>
                <c:pt idx="30">
                  <c:v>0.75911103577946715</c:v>
                </c:pt>
                <c:pt idx="31">
                  <c:v>0.77604706447910987</c:v>
                </c:pt>
                <c:pt idx="32">
                  <c:v>0.96843109876031108</c:v>
                </c:pt>
                <c:pt idx="33">
                  <c:v>0.7538422724064987</c:v>
                </c:pt>
                <c:pt idx="34">
                  <c:v>0.78336786215283571</c:v>
                </c:pt>
                <c:pt idx="35">
                  <c:v>0.96013494164285862</c:v>
                </c:pt>
                <c:pt idx="36">
                  <c:v>0.58583606769154994</c:v>
                </c:pt>
                <c:pt idx="37">
                  <c:v>0.73529784202651705</c:v>
                </c:pt>
                <c:pt idx="38">
                  <c:v>0.62907460799763359</c:v>
                </c:pt>
                <c:pt idx="39">
                  <c:v>0.87554995816986281</c:v>
                </c:pt>
                <c:pt idx="40">
                  <c:v>0.91496567275538632</c:v>
                </c:pt>
                <c:pt idx="41">
                  <c:v>0.84618577156610553</c:v>
                </c:pt>
                <c:pt idx="42">
                  <c:v>0.80671688630496685</c:v>
                </c:pt>
                <c:pt idx="43">
                  <c:v>0.95787020461155381</c:v>
                </c:pt>
                <c:pt idx="44">
                  <c:v>0.72623632811216499</c:v>
                </c:pt>
                <c:pt idx="45">
                  <c:v>0.77785024845942718</c:v>
                </c:pt>
                <c:pt idx="46">
                  <c:v>0.74972231740331219</c:v>
                </c:pt>
                <c:pt idx="47">
                  <c:v>0.76617013209821849</c:v>
                </c:pt>
                <c:pt idx="48">
                  <c:v>0.89024023834151833</c:v>
                </c:pt>
                <c:pt idx="49">
                  <c:v>1.0549725489243071</c:v>
                </c:pt>
                <c:pt idx="50">
                  <c:v>1.0311962668605568</c:v>
                </c:pt>
                <c:pt idx="51">
                  <c:v>0.74538416169677002</c:v>
                </c:pt>
                <c:pt idx="52">
                  <c:v>0.88782912259465774</c:v>
                </c:pt>
                <c:pt idx="53">
                  <c:v>0.89727851094260791</c:v>
                </c:pt>
                <c:pt idx="54">
                  <c:v>1.0103853138196743</c:v>
                </c:pt>
                <c:pt idx="55">
                  <c:v>1.023710098915422</c:v>
                </c:pt>
                <c:pt idx="56">
                  <c:v>0.93962992511020904</c:v>
                </c:pt>
                <c:pt idx="57">
                  <c:v>0.7404241002334887</c:v>
                </c:pt>
                <c:pt idx="58">
                  <c:v>0.66386229706508892</c:v>
                </c:pt>
                <c:pt idx="59">
                  <c:v>0.90272586545838196</c:v>
                </c:pt>
                <c:pt idx="60">
                  <c:v>0.34362541880342501</c:v>
                </c:pt>
                <c:pt idx="61">
                  <c:v>0.97813822787280391</c:v>
                </c:pt>
                <c:pt idx="62">
                  <c:v>0.81844140991716796</c:v>
                </c:pt>
                <c:pt idx="63">
                  <c:v>0.89282799184008466</c:v>
                </c:pt>
                <c:pt idx="64">
                  <c:v>0.65410999534072334</c:v>
                </c:pt>
                <c:pt idx="65">
                  <c:v>0.96108307658733183</c:v>
                </c:pt>
                <c:pt idx="66">
                  <c:v>0.98332521826675512</c:v>
                </c:pt>
                <c:pt idx="67">
                  <c:v>0.95514108802469544</c:v>
                </c:pt>
                <c:pt idx="68">
                  <c:v>0.91761429721748056</c:v>
                </c:pt>
                <c:pt idx="69">
                  <c:v>0.85016635466116897</c:v>
                </c:pt>
                <c:pt idx="70">
                  <c:v>0.93145960139800998</c:v>
                </c:pt>
                <c:pt idx="71">
                  <c:v>0.60181910001236938</c:v>
                </c:pt>
                <c:pt idx="72">
                  <c:v>0.92390684275605861</c:v>
                </c:pt>
                <c:pt idx="73">
                  <c:v>0.92340920734101395</c:v>
                </c:pt>
                <c:pt idx="74">
                  <c:v>1.0243497562207908</c:v>
                </c:pt>
                <c:pt idx="75">
                  <c:v>0.73609483694078526</c:v>
                </c:pt>
                <c:pt idx="76">
                  <c:v>0.84826786867721971</c:v>
                </c:pt>
                <c:pt idx="77">
                  <c:v>0.96149436769974117</c:v>
                </c:pt>
                <c:pt idx="78">
                  <c:v>0.73785069279726345</c:v>
                </c:pt>
                <c:pt idx="79">
                  <c:v>1.0498150427570017</c:v>
                </c:pt>
                <c:pt idx="80">
                  <c:v>0.9077275137708698</c:v>
                </c:pt>
                <c:pt idx="81">
                  <c:v>0.90785237163284593</c:v>
                </c:pt>
                <c:pt idx="82">
                  <c:v>0.97422345035910896</c:v>
                </c:pt>
                <c:pt idx="83">
                  <c:v>0.87962503354728916</c:v>
                </c:pt>
                <c:pt idx="84">
                  <c:v>0.65172704001020532</c:v>
                </c:pt>
                <c:pt idx="85">
                  <c:v>0.94377185606513114</c:v>
                </c:pt>
                <c:pt idx="86">
                  <c:v>0.8821917254801418</c:v>
                </c:pt>
                <c:pt idx="87">
                  <c:v>1.0211641214061711</c:v>
                </c:pt>
                <c:pt idx="88">
                  <c:v>0.87026025651753569</c:v>
                </c:pt>
                <c:pt idx="89">
                  <c:v>0.97569947194610129</c:v>
                </c:pt>
                <c:pt idx="90">
                  <c:v>0.72192080085081167</c:v>
                </c:pt>
                <c:pt idx="91">
                  <c:v>0.83874621184944742</c:v>
                </c:pt>
                <c:pt idx="92">
                  <c:v>0.96644679370340969</c:v>
                </c:pt>
                <c:pt idx="93">
                  <c:v>0.9999896527185318</c:v>
                </c:pt>
                <c:pt idx="94">
                  <c:v>0.80294024125221419</c:v>
                </c:pt>
                <c:pt idx="95">
                  <c:v>0.88358672132652105</c:v>
                </c:pt>
                <c:pt idx="96">
                  <c:v>0.79765408462119169</c:v>
                </c:pt>
                <c:pt idx="97">
                  <c:v>1.0017647198830217</c:v>
                </c:pt>
                <c:pt idx="98">
                  <c:v>0.94289594178327607</c:v>
                </c:pt>
                <c:pt idx="99">
                  <c:v>0.85772291158434166</c:v>
                </c:pt>
              </c:numCache>
            </c:numRef>
          </c:yVal>
          <c:smooth val="0"/>
          <c:extLst>
            <c:ext xmlns:c16="http://schemas.microsoft.com/office/drawing/2014/chart" uri="{C3380CC4-5D6E-409C-BE32-E72D297353CC}">
              <c16:uniqueId val="{00000000-3E11-4EBF-ABC3-860100DE9819}"/>
            </c:ext>
          </c:extLst>
        </c:ser>
        <c:ser>
          <c:idx val="1"/>
          <c:order val="1"/>
          <c:tx>
            <c:strRef>
              <c:f>PRanalysis!$L$5:$L$6</c:f>
              <c:strCache>
                <c:ptCount val="2"/>
                <c:pt idx="0">
                  <c:v>PI w/</c:v>
                </c:pt>
                <c:pt idx="1">
                  <c:v>Tmod corr.</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ash"/>
              </a:ln>
              <a:effectLst/>
            </c:spPr>
            <c:trendlineType val="linear"/>
            <c:dispRSqr val="0"/>
            <c:dispEq val="1"/>
            <c:trendlineLbl>
              <c:layout>
                <c:manualLayout>
                  <c:x val="0.28020941332511373"/>
                  <c:y val="0.2712945928487910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trendlineLbl>
          </c:trendline>
          <c:xVal>
            <c:numRef>
              <c:f>PRanalysis!$J$7:$J$106</c:f>
              <c:numCache>
                <c:formatCode>0</c:formatCode>
                <c:ptCount val="100"/>
                <c:pt idx="0">
                  <c:v>54.682000000000002</c:v>
                </c:pt>
                <c:pt idx="1">
                  <c:v>53.1695102112676</c:v>
                </c:pt>
                <c:pt idx="2">
                  <c:v>36.71661358695652</c:v>
                </c:pt>
                <c:pt idx="3">
                  <c:v>34.822499999999998</c:v>
                </c:pt>
                <c:pt idx="4">
                  <c:v>53.300587500000006</c:v>
                </c:pt>
                <c:pt idx="5">
                  <c:v>48.323999999999998</c:v>
                </c:pt>
                <c:pt idx="6">
                  <c:v>43.248359999999998</c:v>
                </c:pt>
                <c:pt idx="7">
                  <c:v>33.551000000000002</c:v>
                </c:pt>
                <c:pt idx="8">
                  <c:v>38.155199999999994</c:v>
                </c:pt>
                <c:pt idx="9">
                  <c:v>54.992374999999996</c:v>
                </c:pt>
                <c:pt idx="10">
                  <c:v>36.0655</c:v>
                </c:pt>
                <c:pt idx="11">
                  <c:v>36.0655</c:v>
                </c:pt>
                <c:pt idx="12">
                  <c:v>41.349724999999999</c:v>
                </c:pt>
                <c:pt idx="13">
                  <c:v>42.231175</c:v>
                </c:pt>
                <c:pt idx="14">
                  <c:v>37.594999999999999</c:v>
                </c:pt>
                <c:pt idx="15">
                  <c:v>34.379999999999995</c:v>
                </c:pt>
                <c:pt idx="16">
                  <c:v>36.0655</c:v>
                </c:pt>
                <c:pt idx="17">
                  <c:v>35.637</c:v>
                </c:pt>
                <c:pt idx="18">
                  <c:v>48.895499999999998</c:v>
                </c:pt>
                <c:pt idx="19">
                  <c:v>50.097274999999996</c:v>
                </c:pt>
                <c:pt idx="20">
                  <c:v>34.002174999999994</c:v>
                </c:pt>
                <c:pt idx="21">
                  <c:v>35.007999999999996</c:v>
                </c:pt>
                <c:pt idx="22">
                  <c:v>45.585049999999995</c:v>
                </c:pt>
                <c:pt idx="23">
                  <c:v>44.986899999999999</c:v>
                </c:pt>
                <c:pt idx="24">
                  <c:v>34.736499999999999</c:v>
                </c:pt>
                <c:pt idx="25">
                  <c:v>34.094000000000001</c:v>
                </c:pt>
                <c:pt idx="26">
                  <c:v>38.155199999999994</c:v>
                </c:pt>
                <c:pt idx="27">
                  <c:v>48.895499999999998</c:v>
                </c:pt>
                <c:pt idx="28">
                  <c:v>43.130250000000004</c:v>
                </c:pt>
                <c:pt idx="29">
                  <c:v>44.986899999999999</c:v>
                </c:pt>
                <c:pt idx="30">
                  <c:v>52.913699999999999</c:v>
                </c:pt>
                <c:pt idx="31">
                  <c:v>38.965575000000001</c:v>
                </c:pt>
                <c:pt idx="32">
                  <c:v>43.580500000000001</c:v>
                </c:pt>
                <c:pt idx="33">
                  <c:v>44.79365</c:v>
                </c:pt>
                <c:pt idx="34">
                  <c:v>52.913699999999999</c:v>
                </c:pt>
                <c:pt idx="35">
                  <c:v>42.380499999999998</c:v>
                </c:pt>
                <c:pt idx="36">
                  <c:v>41.202749999999995</c:v>
                </c:pt>
                <c:pt idx="37">
                  <c:v>41.260562499999999</c:v>
                </c:pt>
                <c:pt idx="38">
                  <c:v>34.822499999999998</c:v>
                </c:pt>
                <c:pt idx="39">
                  <c:v>46.300399999999996</c:v>
                </c:pt>
                <c:pt idx="40">
                  <c:v>48.323999999999998</c:v>
                </c:pt>
                <c:pt idx="41">
                  <c:v>44.323499999999996</c:v>
                </c:pt>
                <c:pt idx="42">
                  <c:v>35.580500000000001</c:v>
                </c:pt>
                <c:pt idx="43">
                  <c:v>33.109499999999997</c:v>
                </c:pt>
                <c:pt idx="44">
                  <c:v>34.094000000000001</c:v>
                </c:pt>
                <c:pt idx="45">
                  <c:v>39.333375000000004</c:v>
                </c:pt>
                <c:pt idx="46">
                  <c:v>39.672750000000001</c:v>
                </c:pt>
                <c:pt idx="47">
                  <c:v>38.664612500000004</c:v>
                </c:pt>
                <c:pt idx="48">
                  <c:v>35.41525</c:v>
                </c:pt>
                <c:pt idx="49">
                  <c:v>34.293999999999997</c:v>
                </c:pt>
                <c:pt idx="50">
                  <c:v>38.213700000000003</c:v>
                </c:pt>
                <c:pt idx="51">
                  <c:v>33.962299999999999</c:v>
                </c:pt>
                <c:pt idx="52">
                  <c:v>34.365499999999997</c:v>
                </c:pt>
                <c:pt idx="53">
                  <c:v>44.7515</c:v>
                </c:pt>
                <c:pt idx="54">
                  <c:v>49.765999999999991</c:v>
                </c:pt>
                <c:pt idx="55">
                  <c:v>35.265500000000003</c:v>
                </c:pt>
                <c:pt idx="56">
                  <c:v>36.094000000000001</c:v>
                </c:pt>
                <c:pt idx="57">
                  <c:v>43.194499999999998</c:v>
                </c:pt>
                <c:pt idx="58">
                  <c:v>42.358750000000001</c:v>
                </c:pt>
                <c:pt idx="59">
                  <c:v>30.490623999999997</c:v>
                </c:pt>
                <c:pt idx="60">
                  <c:v>43.194499999999998</c:v>
                </c:pt>
                <c:pt idx="61">
                  <c:v>32.350999999999999</c:v>
                </c:pt>
                <c:pt idx="62">
                  <c:v>36.308999999999997</c:v>
                </c:pt>
                <c:pt idx="63">
                  <c:v>44.986899999999999</c:v>
                </c:pt>
                <c:pt idx="64">
                  <c:v>52.539924999999997</c:v>
                </c:pt>
                <c:pt idx="65">
                  <c:v>42.007649999999998</c:v>
                </c:pt>
                <c:pt idx="66">
                  <c:v>36.094000000000001</c:v>
                </c:pt>
                <c:pt idx="67">
                  <c:v>46.866</c:v>
                </c:pt>
                <c:pt idx="68">
                  <c:v>38.515749999999997</c:v>
                </c:pt>
                <c:pt idx="69">
                  <c:v>42.007649999999998</c:v>
                </c:pt>
                <c:pt idx="70">
                  <c:v>36.0655</c:v>
                </c:pt>
                <c:pt idx="71">
                  <c:v>52.539924999999997</c:v>
                </c:pt>
                <c:pt idx="72">
                  <c:v>35.41525</c:v>
                </c:pt>
                <c:pt idx="73">
                  <c:v>32.551000000000002</c:v>
                </c:pt>
                <c:pt idx="74">
                  <c:v>35.386749999999999</c:v>
                </c:pt>
                <c:pt idx="75">
                  <c:v>44.986899999999999</c:v>
                </c:pt>
                <c:pt idx="76">
                  <c:v>43.601749999999996</c:v>
                </c:pt>
                <c:pt idx="77">
                  <c:v>35.41525</c:v>
                </c:pt>
                <c:pt idx="78">
                  <c:v>34.051000000000002</c:v>
                </c:pt>
                <c:pt idx="79">
                  <c:v>37.928974999999994</c:v>
                </c:pt>
                <c:pt idx="80">
                  <c:v>44.986899999999999</c:v>
                </c:pt>
                <c:pt idx="81">
                  <c:v>44.986899999999999</c:v>
                </c:pt>
                <c:pt idx="82">
                  <c:v>46.124000000000002</c:v>
                </c:pt>
                <c:pt idx="83">
                  <c:v>41.952500000000001</c:v>
                </c:pt>
                <c:pt idx="84">
                  <c:v>54.682000000000002</c:v>
                </c:pt>
                <c:pt idx="85">
                  <c:v>32.891799999999996</c:v>
                </c:pt>
                <c:pt idx="86">
                  <c:v>54.682000000000002</c:v>
                </c:pt>
                <c:pt idx="87">
                  <c:v>37.418025</c:v>
                </c:pt>
                <c:pt idx="88">
                  <c:v>44.323499999999996</c:v>
                </c:pt>
                <c:pt idx="89">
                  <c:v>54.682000000000002</c:v>
                </c:pt>
                <c:pt idx="90">
                  <c:v>41.476905000000002</c:v>
                </c:pt>
                <c:pt idx="91">
                  <c:v>36.736999999999995</c:v>
                </c:pt>
                <c:pt idx="92">
                  <c:v>42.081850000000003</c:v>
                </c:pt>
                <c:pt idx="93">
                  <c:v>47.676524999999998</c:v>
                </c:pt>
                <c:pt idx="94">
                  <c:v>44.7515</c:v>
                </c:pt>
                <c:pt idx="95">
                  <c:v>44.323499999999996</c:v>
                </c:pt>
                <c:pt idx="96">
                  <c:v>35.637</c:v>
                </c:pt>
                <c:pt idx="97">
                  <c:v>36.818024999999999</c:v>
                </c:pt>
                <c:pt idx="98">
                  <c:v>48.255200000000002</c:v>
                </c:pt>
                <c:pt idx="99">
                  <c:v>44.323499999999996</c:v>
                </c:pt>
              </c:numCache>
            </c:numRef>
          </c:xVal>
          <c:yVal>
            <c:numRef>
              <c:f>PRanalysis!$L$7:$L$106</c:f>
              <c:numCache>
                <c:formatCode>0.00</c:formatCode>
                <c:ptCount val="100"/>
                <c:pt idx="0">
                  <c:v>0.4223254391495242</c:v>
                </c:pt>
                <c:pt idx="1">
                  <c:v>0.8883293062644867</c:v>
                </c:pt>
                <c:pt idx="2">
                  <c:v>0.77666786901755636</c:v>
                </c:pt>
                <c:pt idx="3">
                  <c:v>0.98161033978231671</c:v>
                </c:pt>
                <c:pt idx="4">
                  <c:v>0.62716432381056253</c:v>
                </c:pt>
                <c:pt idx="5">
                  <c:v>0.91959539690607461</c:v>
                </c:pt>
                <c:pt idx="6">
                  <c:v>0.88031106349258481</c:v>
                </c:pt>
                <c:pt idx="7">
                  <c:v>0.82211896532774376</c:v>
                </c:pt>
                <c:pt idx="8">
                  <c:v>0.69289177196237006</c:v>
                </c:pt>
                <c:pt idx="9">
                  <c:v>0.47000013773752236</c:v>
                </c:pt>
                <c:pt idx="10">
                  <c:v>0.91231903506818879</c:v>
                </c:pt>
                <c:pt idx="11">
                  <c:v>0.7603580474705659</c:v>
                </c:pt>
                <c:pt idx="12">
                  <c:v>0.69471804757805666</c:v>
                </c:pt>
                <c:pt idx="13">
                  <c:v>0.86619296642192156</c:v>
                </c:pt>
                <c:pt idx="14">
                  <c:v>0.80509783098090337</c:v>
                </c:pt>
                <c:pt idx="15">
                  <c:v>0.87247347249856833</c:v>
                </c:pt>
                <c:pt idx="16">
                  <c:v>0.70489791257871792</c:v>
                </c:pt>
                <c:pt idx="17">
                  <c:v>0.98718593254235454</c:v>
                </c:pt>
                <c:pt idx="18">
                  <c:v>0.83455224708120468</c:v>
                </c:pt>
                <c:pt idx="19">
                  <c:v>1.0034820611743425</c:v>
                </c:pt>
                <c:pt idx="20">
                  <c:v>0.97945964878553882</c:v>
                </c:pt>
                <c:pt idx="21">
                  <c:v>0.80554561998610741</c:v>
                </c:pt>
                <c:pt idx="22">
                  <c:v>0.78728983102034367</c:v>
                </c:pt>
                <c:pt idx="23">
                  <c:v>0.82334171999690065</c:v>
                </c:pt>
                <c:pt idx="24">
                  <c:v>0.62537989993170884</c:v>
                </c:pt>
                <c:pt idx="25">
                  <c:v>0.85801874031390035</c:v>
                </c:pt>
                <c:pt idx="26">
                  <c:v>0.89438225168448626</c:v>
                </c:pt>
                <c:pt idx="27">
                  <c:v>0.94175918744763809</c:v>
                </c:pt>
                <c:pt idx="28">
                  <c:v>0.42964816540808276</c:v>
                </c:pt>
                <c:pt idx="29">
                  <c:v>0.84764030541524016</c:v>
                </c:pt>
                <c:pt idx="30">
                  <c:v>0.79559419125408937</c:v>
                </c:pt>
                <c:pt idx="31">
                  <c:v>0.76841211249920605</c:v>
                </c:pt>
                <c:pt idx="32">
                  <c:v>0.973617858036258</c:v>
                </c:pt>
                <c:pt idx="33">
                  <c:v>0.76406259370075247</c:v>
                </c:pt>
                <c:pt idx="34">
                  <c:v>0.82101680962123635</c:v>
                </c:pt>
                <c:pt idx="35">
                  <c:v>0.96372354744028332</c:v>
                </c:pt>
                <c:pt idx="36">
                  <c:v>0.58525823520585085</c:v>
                </c:pt>
                <c:pt idx="37">
                  <c:v>0.73474233126129429</c:v>
                </c:pt>
                <c:pt idx="38">
                  <c:v>0.61282953156478992</c:v>
                </c:pt>
                <c:pt idx="39">
                  <c:v>0.88629814450810263</c:v>
                </c:pt>
                <c:pt idx="40">
                  <c:v>0.93096529348537627</c:v>
                </c:pt>
                <c:pt idx="41">
                  <c:v>0.85602638378363893</c:v>
                </c:pt>
                <c:pt idx="42">
                  <c:v>0.78821256226159175</c:v>
                </c:pt>
                <c:pt idx="43">
                  <c:v>0.93830633455926238</c:v>
                </c:pt>
                <c:pt idx="44">
                  <c:v>0.70547949042681068</c:v>
                </c:pt>
                <c:pt idx="45">
                  <c:v>0.77132115984055394</c:v>
                </c:pt>
                <c:pt idx="46">
                  <c:v>0.74443141109319233</c:v>
                </c:pt>
                <c:pt idx="47">
                  <c:v>0.7577291341019049</c:v>
                </c:pt>
                <c:pt idx="48">
                  <c:v>0.86925867059040318</c:v>
                </c:pt>
                <c:pt idx="49">
                  <c:v>1.0256170186128266</c:v>
                </c:pt>
                <c:pt idx="50">
                  <c:v>1.0180195189881553</c:v>
                </c:pt>
                <c:pt idx="51">
                  <c:v>0.7237096988614492</c:v>
                </c:pt>
                <c:pt idx="52">
                  <c:v>0.86336455517906363</c:v>
                </c:pt>
                <c:pt idx="53">
                  <c:v>0.90474702116995132</c:v>
                </c:pt>
                <c:pt idx="54">
                  <c:v>1.0451530490491237</c:v>
                </c:pt>
                <c:pt idx="55">
                  <c:v>0.99899855886389732</c:v>
                </c:pt>
                <c:pt idx="56">
                  <c:v>0.91992304657942037</c:v>
                </c:pt>
                <c:pt idx="57">
                  <c:v>0.74562835349594958</c:v>
                </c:pt>
                <c:pt idx="58">
                  <c:v>0.6662853690633892</c:v>
                </c:pt>
                <c:pt idx="59">
                  <c:v>0.86481595248123344</c:v>
                </c:pt>
                <c:pt idx="60">
                  <c:v>0.34604067474432193</c:v>
                </c:pt>
                <c:pt idx="61">
                  <c:v>0.95638389421698122</c:v>
                </c:pt>
                <c:pt idx="62">
                  <c:v>0.80195143430654292</c:v>
                </c:pt>
                <c:pt idx="63">
                  <c:v>0.90564218391443563</c:v>
                </c:pt>
                <c:pt idx="64">
                  <c:v>0.6844742218646962</c:v>
                </c:pt>
                <c:pt idx="65">
                  <c:v>0.96323329069185337</c:v>
                </c:pt>
                <c:pt idx="66">
                  <c:v>0.96270191741735811</c:v>
                </c:pt>
                <c:pt idx="67">
                  <c:v>0.97629315081514711</c:v>
                </c:pt>
                <c:pt idx="68">
                  <c:v>0.90697071291573272</c:v>
                </c:pt>
                <c:pt idx="69">
                  <c:v>0.85206841675290124</c:v>
                </c:pt>
                <c:pt idx="70">
                  <c:v>0.91182231159603933</c:v>
                </c:pt>
                <c:pt idx="71">
                  <c:v>0.62975594795750789</c:v>
                </c:pt>
                <c:pt idx="72">
                  <c:v>0.90213180588160924</c:v>
                </c:pt>
                <c:pt idx="73">
                  <c:v>0.90331368903344955</c:v>
                </c:pt>
                <c:pt idx="74">
                  <c:v>1.0000961133344008</c:v>
                </c:pt>
                <c:pt idx="75">
                  <c:v>0.74665953776972915</c:v>
                </c:pt>
                <c:pt idx="76">
                  <c:v>0.85563375268615716</c:v>
                </c:pt>
                <c:pt idx="77">
                  <c:v>0.9388334517476713</c:v>
                </c:pt>
                <c:pt idx="78">
                  <c:v>0.71664216108131984</c:v>
                </c:pt>
                <c:pt idx="79">
                  <c:v>1.0352364170030122</c:v>
                </c:pt>
                <c:pt idx="80">
                  <c:v>0.92075554920315983</c:v>
                </c:pt>
                <c:pt idx="81">
                  <c:v>0.92088219907058377</c:v>
                </c:pt>
                <c:pt idx="82">
                  <c:v>0.9857428960508694</c:v>
                </c:pt>
                <c:pt idx="83">
                  <c:v>0.88073238276924048</c:v>
                </c:pt>
                <c:pt idx="84">
                  <c:v>0.68815063860010051</c:v>
                </c:pt>
                <c:pt idx="85">
                  <c:v>0.91253477593530907</c:v>
                </c:pt>
                <c:pt idx="86">
                  <c:v>0.93149549119118624</c:v>
                </c:pt>
                <c:pt idx="87">
                  <c:v>1.0049579563391708</c:v>
                </c:pt>
                <c:pt idx="88">
                  <c:v>0.88038083996444283</c:v>
                </c:pt>
                <c:pt idx="89">
                  <c:v>1.030229181055579</c:v>
                </c:pt>
                <c:pt idx="90">
                  <c:v>0.7219997211877226</c:v>
                </c:pt>
                <c:pt idx="91">
                  <c:v>0.82322810520926371</c:v>
                </c:pt>
                <c:pt idx="92">
                  <c:v>0.96797685535191047</c:v>
                </c:pt>
                <c:pt idx="93">
                  <c:v>1.0255334217624725</c:v>
                </c:pt>
                <c:pt idx="94">
                  <c:v>0.81368716748018988</c:v>
                </c:pt>
                <c:pt idx="95">
                  <c:v>0.89386228323894068</c:v>
                </c:pt>
                <c:pt idx="96">
                  <c:v>0.77952977414962443</c:v>
                </c:pt>
                <c:pt idx="97">
                  <c:v>0.98354338658030449</c:v>
                </c:pt>
                <c:pt idx="98">
                  <c:v>0.96928221524482927</c:v>
                </c:pt>
                <c:pt idx="99">
                  <c:v>0.86769769353721438</c:v>
                </c:pt>
              </c:numCache>
            </c:numRef>
          </c:yVal>
          <c:smooth val="0"/>
          <c:extLst>
            <c:ext xmlns:c16="http://schemas.microsoft.com/office/drawing/2014/chart" uri="{C3380CC4-5D6E-409C-BE32-E72D297353CC}">
              <c16:uniqueId val="{00000001-3E11-4EBF-ABC3-860100DE9819}"/>
            </c:ext>
          </c:extLst>
        </c:ser>
        <c:dLbls>
          <c:showLegendKey val="0"/>
          <c:showVal val="0"/>
          <c:showCatName val="0"/>
          <c:showSerName val="0"/>
          <c:showPercent val="0"/>
          <c:showBubbleSize val="0"/>
        </c:dLbls>
        <c:axId val="152201920"/>
        <c:axId val="57966000"/>
      </c:scatterChart>
      <c:valAx>
        <c:axId val="152201920"/>
        <c:scaling>
          <c:orientation val="minMax"/>
          <c:min val="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lumMod val="65000"/>
                        <a:lumOff val="35000"/>
                      </a:sysClr>
                    </a:solidFill>
                  </a:rPr>
                  <a:t>Annual wtd-avg module temperature, C</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low"/>
        <c:spPr>
          <a:noFill/>
          <a:ln w="1587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57966000"/>
        <c:crossesAt val="1"/>
        <c:crossBetween val="midCat"/>
      </c:valAx>
      <c:valAx>
        <c:axId val="57966000"/>
        <c:scaling>
          <c:orientation val="minMax"/>
          <c:max val="1.1000000000000001"/>
          <c:min val="0.300000000000000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Performance Index</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52201920"/>
        <c:crosses val="autoZero"/>
        <c:crossBetween val="midCat"/>
        <c:majorUnit val="0.1"/>
      </c:valAx>
      <c:spPr>
        <a:noFill/>
        <a:ln>
          <a:noFill/>
        </a:ln>
        <a:effectLst/>
      </c:spPr>
    </c:plotArea>
    <c:legend>
      <c:legendPos val="r"/>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America's</a:t>
            </a:r>
            <a:r>
              <a:rPr lang="en-US" sz="1800" b="1" baseline="0"/>
              <a:t> Top 100 PV Systems (the 100 longest-running, avg 14+ years)</a:t>
            </a:r>
          </a:p>
          <a:p>
            <a:pPr>
              <a:defRPr sz="1800" b="1"/>
            </a:pPr>
            <a:r>
              <a:rPr lang="en-US" sz="1800" b="1" baseline="0"/>
              <a:t>Lifetime and 1st 7 yr degradation as </a:t>
            </a:r>
            <a:r>
              <a:rPr lang="en-US" sz="1800" b="1" i="1" baseline="0"/>
              <a:t>f</a:t>
            </a:r>
            <a:r>
              <a:rPr lang="en-US" sz="1800" b="1" baseline="0"/>
              <a:t>(PI)</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Lifetime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7008515495196128"/>
                  <c:y val="0.302791896808234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PlantData!$CB$7:$CB$106</c:f>
              <c:numCache>
                <c:formatCode>0.00</c:formatCode>
                <c:ptCount val="100"/>
                <c:pt idx="0">
                  <c:v>0.4223254391495242</c:v>
                </c:pt>
                <c:pt idx="1">
                  <c:v>0.8883293062644867</c:v>
                </c:pt>
                <c:pt idx="2">
                  <c:v>0.77666786901755636</c:v>
                </c:pt>
                <c:pt idx="3">
                  <c:v>0.98161033978231671</c:v>
                </c:pt>
                <c:pt idx="4">
                  <c:v>0.62716432381056253</c:v>
                </c:pt>
                <c:pt idx="5">
                  <c:v>0.91959539690607461</c:v>
                </c:pt>
                <c:pt idx="6">
                  <c:v>0.88031106349258481</c:v>
                </c:pt>
                <c:pt idx="7">
                  <c:v>0.82211896532774376</c:v>
                </c:pt>
                <c:pt idx="8">
                  <c:v>0.69289177196237006</c:v>
                </c:pt>
                <c:pt idx="9">
                  <c:v>0.47000013773752236</c:v>
                </c:pt>
                <c:pt idx="10">
                  <c:v>0.91231903506818879</c:v>
                </c:pt>
                <c:pt idx="11">
                  <c:v>0.7603580474705659</c:v>
                </c:pt>
                <c:pt idx="12">
                  <c:v>0.69471804757805666</c:v>
                </c:pt>
                <c:pt idx="13">
                  <c:v>0.86619296642192156</c:v>
                </c:pt>
                <c:pt idx="14">
                  <c:v>0.80509783098090337</c:v>
                </c:pt>
                <c:pt idx="15">
                  <c:v>0.87247347249856833</c:v>
                </c:pt>
                <c:pt idx="16">
                  <c:v>0.70489791257871792</c:v>
                </c:pt>
                <c:pt idx="17">
                  <c:v>0.98718593254235454</c:v>
                </c:pt>
                <c:pt idx="18">
                  <c:v>0.83455224708120468</c:v>
                </c:pt>
                <c:pt idx="19">
                  <c:v>1.0034820611743425</c:v>
                </c:pt>
                <c:pt idx="20">
                  <c:v>0.97945964878553882</c:v>
                </c:pt>
                <c:pt idx="21">
                  <c:v>0.80554561998610741</c:v>
                </c:pt>
                <c:pt idx="22">
                  <c:v>0.78728983102034367</c:v>
                </c:pt>
                <c:pt idx="23">
                  <c:v>0.82334171999690065</c:v>
                </c:pt>
                <c:pt idx="24">
                  <c:v>0.62537989993170884</c:v>
                </c:pt>
                <c:pt idx="25">
                  <c:v>0.85801874031390035</c:v>
                </c:pt>
                <c:pt idx="26">
                  <c:v>0.89438225168448626</c:v>
                </c:pt>
                <c:pt idx="27">
                  <c:v>0.94175918744763809</c:v>
                </c:pt>
                <c:pt idx="28">
                  <c:v>0.42964816540808276</c:v>
                </c:pt>
                <c:pt idx="29">
                  <c:v>0.84764030541524016</c:v>
                </c:pt>
                <c:pt idx="30">
                  <c:v>0.79559419125408937</c:v>
                </c:pt>
                <c:pt idx="31">
                  <c:v>0.76841211249920605</c:v>
                </c:pt>
                <c:pt idx="32">
                  <c:v>0.973617858036258</c:v>
                </c:pt>
                <c:pt idx="33">
                  <c:v>0.76406259370075247</c:v>
                </c:pt>
                <c:pt idx="34">
                  <c:v>0.82101680962123635</c:v>
                </c:pt>
                <c:pt idx="35">
                  <c:v>0.96372354744028332</c:v>
                </c:pt>
                <c:pt idx="36">
                  <c:v>0.58525823520585085</c:v>
                </c:pt>
                <c:pt idx="37">
                  <c:v>0.73474233126129429</c:v>
                </c:pt>
                <c:pt idx="38">
                  <c:v>0.61282953156478992</c:v>
                </c:pt>
                <c:pt idx="39">
                  <c:v>0.88629814450810263</c:v>
                </c:pt>
                <c:pt idx="40">
                  <c:v>0.93096529348537627</c:v>
                </c:pt>
                <c:pt idx="41">
                  <c:v>0.85602638378363893</c:v>
                </c:pt>
                <c:pt idx="42">
                  <c:v>0.78821256226159175</c:v>
                </c:pt>
                <c:pt idx="43">
                  <c:v>0.93830633455926238</c:v>
                </c:pt>
                <c:pt idx="44">
                  <c:v>0.70547949042681068</c:v>
                </c:pt>
                <c:pt idx="45">
                  <c:v>0.77132115984055394</c:v>
                </c:pt>
                <c:pt idx="46">
                  <c:v>0.74443141109319233</c:v>
                </c:pt>
                <c:pt idx="47">
                  <c:v>0.7577291341019049</c:v>
                </c:pt>
                <c:pt idx="48">
                  <c:v>0.86925867059040318</c:v>
                </c:pt>
                <c:pt idx="49">
                  <c:v>1.0256170186128266</c:v>
                </c:pt>
                <c:pt idx="50">
                  <c:v>1.0180195189881553</c:v>
                </c:pt>
                <c:pt idx="51">
                  <c:v>0.7237096988614492</c:v>
                </c:pt>
                <c:pt idx="52">
                  <c:v>0.86336455517906363</c:v>
                </c:pt>
                <c:pt idx="53">
                  <c:v>0.90474702116995132</c:v>
                </c:pt>
                <c:pt idx="54">
                  <c:v>1.0451530490491237</c:v>
                </c:pt>
                <c:pt idx="55">
                  <c:v>0.99899855886389732</c:v>
                </c:pt>
                <c:pt idx="56">
                  <c:v>0.91992304657942037</c:v>
                </c:pt>
                <c:pt idx="57">
                  <c:v>0.74562835349594958</c:v>
                </c:pt>
                <c:pt idx="58">
                  <c:v>0.6662853690633892</c:v>
                </c:pt>
                <c:pt idx="59">
                  <c:v>0.86481595248123344</c:v>
                </c:pt>
                <c:pt idx="60">
                  <c:v>0.34604067474432193</c:v>
                </c:pt>
                <c:pt idx="61">
                  <c:v>0.95638389421698122</c:v>
                </c:pt>
                <c:pt idx="62">
                  <c:v>0.80195143430654292</c:v>
                </c:pt>
                <c:pt idx="63">
                  <c:v>0.90564218391443563</c:v>
                </c:pt>
                <c:pt idx="64">
                  <c:v>0.6844742218646962</c:v>
                </c:pt>
                <c:pt idx="65">
                  <c:v>0.96323329069185337</c:v>
                </c:pt>
                <c:pt idx="66">
                  <c:v>0.96270191741735811</c:v>
                </c:pt>
                <c:pt idx="67">
                  <c:v>0.97629315081514711</c:v>
                </c:pt>
                <c:pt idx="68">
                  <c:v>0.90697071291573272</c:v>
                </c:pt>
                <c:pt idx="69">
                  <c:v>0.85206841675290124</c:v>
                </c:pt>
                <c:pt idx="70">
                  <c:v>0.91182231159603933</c:v>
                </c:pt>
                <c:pt idx="71">
                  <c:v>0.62975594795750789</c:v>
                </c:pt>
                <c:pt idx="72">
                  <c:v>0.90213180588160924</c:v>
                </c:pt>
                <c:pt idx="73">
                  <c:v>0.90331368903344955</c:v>
                </c:pt>
                <c:pt idx="74">
                  <c:v>1.0000961133344008</c:v>
                </c:pt>
                <c:pt idx="75">
                  <c:v>0.74665953776972915</c:v>
                </c:pt>
                <c:pt idx="76">
                  <c:v>0.85563375268615716</c:v>
                </c:pt>
                <c:pt idx="77">
                  <c:v>0.9388334517476713</c:v>
                </c:pt>
                <c:pt idx="78">
                  <c:v>0.71664216108131984</c:v>
                </c:pt>
                <c:pt idx="79">
                  <c:v>1.0352364170030122</c:v>
                </c:pt>
                <c:pt idx="80">
                  <c:v>0.92075554920315983</c:v>
                </c:pt>
                <c:pt idx="81">
                  <c:v>0.92088219907058377</c:v>
                </c:pt>
                <c:pt idx="82">
                  <c:v>0.9857428960508694</c:v>
                </c:pt>
                <c:pt idx="83">
                  <c:v>0.88073238276924048</c:v>
                </c:pt>
                <c:pt idx="84">
                  <c:v>0.68815063860010051</c:v>
                </c:pt>
                <c:pt idx="85">
                  <c:v>0.91253477593530907</c:v>
                </c:pt>
                <c:pt idx="86">
                  <c:v>0.93149549119118624</c:v>
                </c:pt>
                <c:pt idx="87">
                  <c:v>1.0049579563391708</c:v>
                </c:pt>
                <c:pt idx="88">
                  <c:v>0.88038083996444283</c:v>
                </c:pt>
                <c:pt idx="89">
                  <c:v>1.030229181055579</c:v>
                </c:pt>
                <c:pt idx="90">
                  <c:v>0.7219997211877226</c:v>
                </c:pt>
                <c:pt idx="91">
                  <c:v>0.82322810520926371</c:v>
                </c:pt>
                <c:pt idx="92">
                  <c:v>0.96797685535191047</c:v>
                </c:pt>
                <c:pt idx="93">
                  <c:v>1.0255334217624725</c:v>
                </c:pt>
                <c:pt idx="94">
                  <c:v>0.81368716748018988</c:v>
                </c:pt>
                <c:pt idx="95">
                  <c:v>0.89386228323894068</c:v>
                </c:pt>
                <c:pt idx="96">
                  <c:v>0.77952977414962443</c:v>
                </c:pt>
                <c:pt idx="97">
                  <c:v>0.98354338658030449</c:v>
                </c:pt>
                <c:pt idx="98">
                  <c:v>0.96928221524482927</c:v>
                </c:pt>
                <c:pt idx="99">
                  <c:v>0.86769769353721438</c:v>
                </c:pt>
              </c:numCache>
            </c:numRef>
          </c:xVal>
          <c:yVal>
            <c:numRef>
              <c:f>PlantData!$CE$7:$CE$106</c:f>
              <c:numCache>
                <c:formatCode>0.0%</c:formatCode>
                <c:ptCount val="100"/>
                <c:pt idx="0">
                  <c:v>-7.6876015551506138E-2</c:v>
                </c:pt>
                <c:pt idx="1">
                  <c:v>-2.9172846589626326E-2</c:v>
                </c:pt>
                <c:pt idx="2">
                  <c:v>-1.8012392956256167E-2</c:v>
                </c:pt>
                <c:pt idx="3">
                  <c:v>-5.8961927455440455E-3</c:v>
                </c:pt>
                <c:pt idx="4">
                  <c:v>-7.9050240554450216E-2</c:v>
                </c:pt>
                <c:pt idx="5">
                  <c:v>-7.8419371691700931E-3</c:v>
                </c:pt>
                <c:pt idx="6">
                  <c:v>-1.6626178430542239E-2</c:v>
                </c:pt>
                <c:pt idx="7">
                  <c:v>2.2763685397168333E-3</c:v>
                </c:pt>
                <c:pt idx="8">
                  <c:v>-5.9447846859268287E-2</c:v>
                </c:pt>
                <c:pt idx="9">
                  <c:v>-9.9149805212294218E-2</c:v>
                </c:pt>
                <c:pt idx="10">
                  <c:v>-1.1274641426685463E-2</c:v>
                </c:pt>
                <c:pt idx="11">
                  <c:v>-2.170812915228031E-2</c:v>
                </c:pt>
                <c:pt idx="12">
                  <c:v>-3.3131534684130985E-2</c:v>
                </c:pt>
                <c:pt idx="13">
                  <c:v>-1.7202428298773213E-2</c:v>
                </c:pt>
                <c:pt idx="14">
                  <c:v>-2.3309115950285685E-2</c:v>
                </c:pt>
                <c:pt idx="15">
                  <c:v>-3.1854189141116887E-2</c:v>
                </c:pt>
                <c:pt idx="16">
                  <c:v>-5.0660560295433567E-3</c:v>
                </c:pt>
                <c:pt idx="17">
                  <c:v>-1.4660542667276443E-2</c:v>
                </c:pt>
                <c:pt idx="18">
                  <c:v>-3.9952041013202502E-2</c:v>
                </c:pt>
                <c:pt idx="19">
                  <c:v>-3.2296930869782012E-2</c:v>
                </c:pt>
                <c:pt idx="20">
                  <c:v>-1.0239890104034663E-2</c:v>
                </c:pt>
                <c:pt idx="21">
                  <c:v>-1.9509476031215157E-2</c:v>
                </c:pt>
                <c:pt idx="22">
                  <c:v>-5.5840328505384312E-2</c:v>
                </c:pt>
                <c:pt idx="23">
                  <c:v>-3.5557168771112299E-2</c:v>
                </c:pt>
                <c:pt idx="24">
                  <c:v>-4.9120148608280727E-2</c:v>
                </c:pt>
                <c:pt idx="25">
                  <c:v>-1.7654519841222294E-2</c:v>
                </c:pt>
                <c:pt idx="26">
                  <c:v>-2.943008214756836E-2</c:v>
                </c:pt>
                <c:pt idx="27">
                  <c:v>-1.5750661397304334E-2</c:v>
                </c:pt>
                <c:pt idx="28">
                  <c:v>-8.5117661391527627E-2</c:v>
                </c:pt>
                <c:pt idx="29">
                  <c:v>-4.1477129138236028E-2</c:v>
                </c:pt>
                <c:pt idx="30">
                  <c:v>-5.5174100669147595E-2</c:v>
                </c:pt>
                <c:pt idx="31">
                  <c:v>-4.2800950457500708E-2</c:v>
                </c:pt>
                <c:pt idx="32">
                  <c:v>1.8610378804119671E-3</c:v>
                </c:pt>
                <c:pt idx="33">
                  <c:v>-4.6433026846912362E-2</c:v>
                </c:pt>
                <c:pt idx="34">
                  <c:v>-4.6788613677723648E-2</c:v>
                </c:pt>
                <c:pt idx="35">
                  <c:v>-2.0403598252058598E-2</c:v>
                </c:pt>
                <c:pt idx="36">
                  <c:v>-3.7550386428772196E-2</c:v>
                </c:pt>
                <c:pt idx="37">
                  <c:v>-4.6054770908611306E-2</c:v>
                </c:pt>
                <c:pt idx="38">
                  <c:v>-2.6887200692374269E-2</c:v>
                </c:pt>
                <c:pt idx="39">
                  <c:v>-2.5732083605859889E-2</c:v>
                </c:pt>
                <c:pt idx="40">
                  <c:v>-1.0048840234531051E-2</c:v>
                </c:pt>
                <c:pt idx="41">
                  <c:v>-5.4677212584972684E-2</c:v>
                </c:pt>
                <c:pt idx="42">
                  <c:v>-3.8305895326163609E-3</c:v>
                </c:pt>
                <c:pt idx="43">
                  <c:v>-1.719462346747971E-2</c:v>
                </c:pt>
                <c:pt idx="44">
                  <c:v>-1.8321456879460941E-2</c:v>
                </c:pt>
                <c:pt idx="45">
                  <c:v>-4.8030983635180401E-2</c:v>
                </c:pt>
                <c:pt idx="46">
                  <c:v>-1.1651606732707808E-2</c:v>
                </c:pt>
                <c:pt idx="47">
                  <c:v>-8.7002140790120058E-2</c:v>
                </c:pt>
                <c:pt idx="48">
                  <c:v>-4.460817596753764E-2</c:v>
                </c:pt>
                <c:pt idx="49">
                  <c:v>-1.0895507138732602E-2</c:v>
                </c:pt>
                <c:pt idx="50">
                  <c:v>-7.4062914479541995E-3</c:v>
                </c:pt>
                <c:pt idx="51">
                  <c:v>-7.1918241928173407E-2</c:v>
                </c:pt>
                <c:pt idx="52">
                  <c:v>-5.319819479111516E-3</c:v>
                </c:pt>
                <c:pt idx="53">
                  <c:v>-3.4944275438332707E-2</c:v>
                </c:pt>
                <c:pt idx="54">
                  <c:v>-1.3643389601504833E-2</c:v>
                </c:pt>
                <c:pt idx="55">
                  <c:v>-5.3785312872523606E-3</c:v>
                </c:pt>
                <c:pt idx="56">
                  <c:v>2.3263826014566203E-3</c:v>
                </c:pt>
                <c:pt idx="57">
                  <c:v>-2.5743021558539702E-2</c:v>
                </c:pt>
                <c:pt idx="58">
                  <c:v>-8.1876034864036926E-2</c:v>
                </c:pt>
                <c:pt idx="59">
                  <c:v>-3.1370760213785933E-3</c:v>
                </c:pt>
                <c:pt idx="60">
                  <c:v>-0.20736373445480893</c:v>
                </c:pt>
                <c:pt idx="61">
                  <c:v>-2.0162706948399174E-2</c:v>
                </c:pt>
                <c:pt idx="62">
                  <c:v>-3.6587323708704989E-2</c:v>
                </c:pt>
                <c:pt idx="63">
                  <c:v>-3.1310529419465868E-2</c:v>
                </c:pt>
                <c:pt idx="64">
                  <c:v>-7.1123693733439103E-2</c:v>
                </c:pt>
                <c:pt idx="65">
                  <c:v>-2.979145284823605E-2</c:v>
                </c:pt>
                <c:pt idx="66">
                  <c:v>-1.3915518180341903E-3</c:v>
                </c:pt>
                <c:pt idx="67">
                  <c:v>-3.3586534252736333E-2</c:v>
                </c:pt>
                <c:pt idx="68">
                  <c:v>6.0236196207301331E-3</c:v>
                </c:pt>
                <c:pt idx="69">
                  <c:v>-2.8274083248515176E-2</c:v>
                </c:pt>
                <c:pt idx="70">
                  <c:v>-4.4098734334394709E-3</c:v>
                </c:pt>
                <c:pt idx="71">
                  <c:v>-8.3320177515830859E-2</c:v>
                </c:pt>
                <c:pt idx="72">
                  <c:v>1.611571825287008E-3</c:v>
                </c:pt>
                <c:pt idx="73">
                  <c:v>-2.330039679731085E-2</c:v>
                </c:pt>
                <c:pt idx="74">
                  <c:v>-1.3114177537429561E-3</c:v>
                </c:pt>
                <c:pt idx="75">
                  <c:v>-9.5794326441722991E-2</c:v>
                </c:pt>
                <c:pt idx="76">
                  <c:v>-5.4740016088863419E-2</c:v>
                </c:pt>
                <c:pt idx="77">
                  <c:v>-1.9809083750910918E-3</c:v>
                </c:pt>
                <c:pt idx="78">
                  <c:v>-4.0123653759263196E-2</c:v>
                </c:pt>
                <c:pt idx="79">
                  <c:v>-4.7607259154875941E-3</c:v>
                </c:pt>
                <c:pt idx="80">
                  <c:v>-1.6423013973833563E-2</c:v>
                </c:pt>
                <c:pt idx="81">
                  <c:v>-1.3711621247229635E-2</c:v>
                </c:pt>
                <c:pt idx="82">
                  <c:v>-4.5791953007661302E-3</c:v>
                </c:pt>
                <c:pt idx="83">
                  <c:v>2.9405488708434568E-2</c:v>
                </c:pt>
                <c:pt idx="84">
                  <c:v>-5.61370469275135E-2</c:v>
                </c:pt>
                <c:pt idx="85">
                  <c:v>-1.0982608543967069E-2</c:v>
                </c:pt>
                <c:pt idx="86">
                  <c:v>-1.1956378934225692E-2</c:v>
                </c:pt>
                <c:pt idx="87">
                  <c:v>-2.2192404433244342E-2</c:v>
                </c:pt>
                <c:pt idx="88">
                  <c:v>-4.3903520562051893E-2</c:v>
                </c:pt>
                <c:pt idx="89">
                  <c:v>-4.9940416414127288E-3</c:v>
                </c:pt>
                <c:pt idx="90">
                  <c:v>-2.1767528324164093E-2</c:v>
                </c:pt>
                <c:pt idx="91">
                  <c:v>-4.1487042470536181E-2</c:v>
                </c:pt>
                <c:pt idx="92">
                  <c:v>-1.8932495606414385E-2</c:v>
                </c:pt>
                <c:pt idx="93">
                  <c:v>1.9454850259742755E-4</c:v>
                </c:pt>
                <c:pt idx="94">
                  <c:v>-5.1296568633331027E-2</c:v>
                </c:pt>
                <c:pt idx="95">
                  <c:v>-4.9372998260313362E-2</c:v>
                </c:pt>
                <c:pt idx="96">
                  <c:v>-6.8615754959211933E-2</c:v>
                </c:pt>
                <c:pt idx="97">
                  <c:v>-6.6468347707656552E-3</c:v>
                </c:pt>
                <c:pt idx="98">
                  <c:v>2.9204067477620369E-4</c:v>
                </c:pt>
                <c:pt idx="99">
                  <c:v>-5.6726612146556596E-2</c:v>
                </c:pt>
              </c:numCache>
            </c:numRef>
          </c:yVal>
          <c:smooth val="0"/>
          <c:extLst>
            <c:ext xmlns:c16="http://schemas.microsoft.com/office/drawing/2014/chart" uri="{C3380CC4-5D6E-409C-BE32-E72D297353CC}">
              <c16:uniqueId val="{00000001-9823-448A-939C-948E85B2C252}"/>
            </c:ext>
          </c:extLst>
        </c:ser>
        <c:ser>
          <c:idx val="1"/>
          <c:order val="1"/>
          <c:tx>
            <c:v>1st 7 years</c:v>
          </c:tx>
          <c:spPr>
            <a:ln w="25400" cap="rnd">
              <a:noFill/>
              <a:round/>
            </a:ln>
            <a:effectLst/>
          </c:spPr>
          <c:marker>
            <c:symbol val="circle"/>
            <c:size val="5"/>
            <c:spPr>
              <a:no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0.2541613234125551"/>
                  <c:y val="-7.61451306612675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PlantData!$EB$7:$EB$106</c:f>
              <c:numCache>
                <c:formatCode>0.00</c:formatCode>
                <c:ptCount val="100"/>
                <c:pt idx="0">
                  <c:v>0.56851708568871795</c:v>
                </c:pt>
                <c:pt idx="1">
                  <c:v>1.0107724775877311</c:v>
                </c:pt>
                <c:pt idx="2">
                  <c:v>0.86570053296958449</c:v>
                </c:pt>
                <c:pt idx="3">
                  <c:v>0.97166868486001357</c:v>
                </c:pt>
                <c:pt idx="4">
                  <c:v>0.80931959967531575</c:v>
                </c:pt>
                <c:pt idx="5">
                  <c:v>0.92725191272090157</c:v>
                </c:pt>
                <c:pt idx="6">
                  <c:v>0.91620554355528239</c:v>
                </c:pt>
                <c:pt idx="7">
                  <c:v>0.76699884973983434</c:v>
                </c:pt>
                <c:pt idx="8">
                  <c:v>0.83150207918959695</c:v>
                </c:pt>
                <c:pt idx="9">
                  <c:v>0.64119090237038734</c:v>
                </c:pt>
                <c:pt idx="10">
                  <c:v>0.93855869104496215</c:v>
                </c:pt>
                <c:pt idx="11">
                  <c:v>0.81595547155658887</c:v>
                </c:pt>
                <c:pt idx="12">
                  <c:v>0.7944404876754263</c:v>
                </c:pt>
                <c:pt idx="13">
                  <c:v>0.89514964970305311</c:v>
                </c:pt>
                <c:pt idx="14">
                  <c:v>0.8541734388204415</c:v>
                </c:pt>
                <c:pt idx="15">
                  <c:v>1.0282994015601952</c:v>
                </c:pt>
                <c:pt idx="16">
                  <c:v>0.68527681325271939</c:v>
                </c:pt>
                <c:pt idx="17">
                  <c:v>1.0060490087511476</c:v>
                </c:pt>
                <c:pt idx="18">
                  <c:v>0.91837406341065808</c:v>
                </c:pt>
                <c:pt idx="19">
                  <c:v>1.0990750602302657</c:v>
                </c:pt>
                <c:pt idx="20">
                  <c:v>0.99802368864270752</c:v>
                </c:pt>
                <c:pt idx="21">
                  <c:v>0.85235898110007213</c:v>
                </c:pt>
                <c:pt idx="22">
                  <c:v>0.95596033384959567</c:v>
                </c:pt>
                <c:pt idx="23">
                  <c:v>0.93972672787108391</c:v>
                </c:pt>
                <c:pt idx="24">
                  <c:v>0.70347956038259984</c:v>
                </c:pt>
                <c:pt idx="25">
                  <c:v>0.90448528686718987</c:v>
                </c:pt>
                <c:pt idx="26">
                  <c:v>0.95981374475155001</c:v>
                </c:pt>
                <c:pt idx="27">
                  <c:v>0.98599309576541649</c:v>
                </c:pt>
                <c:pt idx="28">
                  <c:v>0.56160320900082894</c:v>
                </c:pt>
                <c:pt idx="29">
                  <c:v>0.97057866831494799</c:v>
                </c:pt>
                <c:pt idx="30">
                  <c:v>0.92278528390438863</c:v>
                </c:pt>
                <c:pt idx="31">
                  <c:v>0.92866628717477617</c:v>
                </c:pt>
                <c:pt idx="32">
                  <c:v>0.96416855506568466</c:v>
                </c:pt>
                <c:pt idx="33">
                  <c:v>0.94715657560250544</c:v>
                </c:pt>
                <c:pt idx="34">
                  <c:v>0.95553821381164306</c:v>
                </c:pt>
                <c:pt idx="35">
                  <c:v>1.0440374430785149</c:v>
                </c:pt>
                <c:pt idx="36">
                  <c:v>0.6124789474619371</c:v>
                </c:pt>
                <c:pt idx="37">
                  <c:v>0.93170881133279626</c:v>
                </c:pt>
                <c:pt idx="38">
                  <c:v>0.70432209767174636</c:v>
                </c:pt>
                <c:pt idx="39">
                  <c:v>0.94516121254911156</c:v>
                </c:pt>
                <c:pt idx="40">
                  <c:v>0.94492726141041383</c:v>
                </c:pt>
                <c:pt idx="41">
                  <c:v>0.99179467323066339</c:v>
                </c:pt>
                <c:pt idx="42">
                  <c:v>0.83720324598590745</c:v>
                </c:pt>
                <c:pt idx="43">
                  <c:v>0.96399003735735411</c:v>
                </c:pt>
                <c:pt idx="44">
                  <c:v>0.73792398816799987</c:v>
                </c:pt>
                <c:pt idx="45">
                  <c:v>0.8812164004388493</c:v>
                </c:pt>
                <c:pt idx="46">
                  <c:v>0.76760969653578959</c:v>
                </c:pt>
                <c:pt idx="47">
                  <c:v>0.94218950075248842</c:v>
                </c:pt>
                <c:pt idx="48">
                  <c:v>0.97527036693322988</c:v>
                </c:pt>
                <c:pt idx="49">
                  <c:v>1.0395810415840241</c:v>
                </c:pt>
                <c:pt idx="50">
                  <c:v>1.0198732144565279</c:v>
                </c:pt>
                <c:pt idx="51">
                  <c:v>0.90832959170427674</c:v>
                </c:pt>
                <c:pt idx="52">
                  <c:v>0.87502393022770553</c:v>
                </c:pt>
                <c:pt idx="53">
                  <c:v>1.004323289858716</c:v>
                </c:pt>
                <c:pt idx="54">
                  <c:v>1.0789825279131464</c:v>
                </c:pt>
                <c:pt idx="55">
                  <c:v>1.0064454102286391</c:v>
                </c:pt>
                <c:pt idx="56">
                  <c:v>0.90439169895144189</c:v>
                </c:pt>
                <c:pt idx="57">
                  <c:v>0.82425261599790101</c:v>
                </c:pt>
                <c:pt idx="58">
                  <c:v>0.86106476977359947</c:v>
                </c:pt>
                <c:pt idx="59">
                  <c:v>0.85788323825218171</c:v>
                </c:pt>
                <c:pt idx="60">
                  <c:v>0.58725746945327306</c:v>
                </c:pt>
                <c:pt idx="61">
                  <c:v>1.0089282830271644</c:v>
                </c:pt>
                <c:pt idx="62">
                  <c:v>0.88481005074214092</c:v>
                </c:pt>
                <c:pt idx="63">
                  <c:v>1.0093910805484663</c:v>
                </c:pt>
                <c:pt idx="64">
                  <c:v>0.87575248198479394</c:v>
                </c:pt>
                <c:pt idx="65">
                  <c:v>1.0486296544783484</c:v>
                </c:pt>
                <c:pt idx="66">
                  <c:v>0.96015699906993746</c:v>
                </c:pt>
                <c:pt idx="67">
                  <c:v>1.0570404918361203</c:v>
                </c:pt>
                <c:pt idx="68">
                  <c:v>0.86947852311680529</c:v>
                </c:pt>
                <c:pt idx="69">
                  <c:v>0.91730673548918706</c:v>
                </c:pt>
                <c:pt idx="70">
                  <c:v>0.91151769938688354</c:v>
                </c:pt>
                <c:pt idx="71">
                  <c:v>0.78779914602743595</c:v>
                </c:pt>
                <c:pt idx="72">
                  <c:v>0.89217734775336266</c:v>
                </c:pt>
                <c:pt idx="73">
                  <c:v>0.97497551108151526</c:v>
                </c:pt>
                <c:pt idx="74">
                  <c:v>1.0074858046053703</c:v>
                </c:pt>
                <c:pt idx="75">
                  <c:v>0.9949130920634377</c:v>
                </c:pt>
                <c:pt idx="76">
                  <c:v>0.92483352176554068</c:v>
                </c:pt>
                <c:pt idx="77">
                  <c:v>0.92412485782014075</c:v>
                </c:pt>
                <c:pt idx="78">
                  <c:v>0.81159065720887158</c:v>
                </c:pt>
                <c:pt idx="79">
                  <c:v>1.0343881739463339</c:v>
                </c:pt>
                <c:pt idx="80">
                  <c:v>0.95373781448674344</c:v>
                </c:pt>
                <c:pt idx="81">
                  <c:v>0.93038141181240874</c:v>
                </c:pt>
                <c:pt idx="82">
                  <c:v>0.98297362093743734</c:v>
                </c:pt>
                <c:pt idx="83">
                  <c:v>0.80203204729770472</c:v>
                </c:pt>
                <c:pt idx="84">
                  <c:v>0.7937879659417022</c:v>
                </c:pt>
                <c:pt idx="85">
                  <c:v>0.92478517099889335</c:v>
                </c:pt>
                <c:pt idx="86">
                  <c:v>0.93461853449205412</c:v>
                </c:pt>
                <c:pt idx="87">
                  <c:v>1.0495943153803831</c:v>
                </c:pt>
                <c:pt idx="88">
                  <c:v>0.99241126493858522</c:v>
                </c:pt>
                <c:pt idx="89">
                  <c:v>1.0327623927802236</c:v>
                </c:pt>
                <c:pt idx="90">
                  <c:v>0.75311772389827902</c:v>
                </c:pt>
                <c:pt idx="91">
                  <c:v>0.96661595347362406</c:v>
                </c:pt>
                <c:pt idx="92">
                  <c:v>0.99885109046809761</c:v>
                </c:pt>
                <c:pt idx="93">
                  <c:v>0.97583926010624655</c:v>
                </c:pt>
                <c:pt idx="94">
                  <c:v>0.93010697903359185</c:v>
                </c:pt>
                <c:pt idx="95">
                  <c:v>1.0108002414335442</c:v>
                </c:pt>
                <c:pt idx="96">
                  <c:v>0.9463804168590737</c:v>
                </c:pt>
                <c:pt idx="97">
                  <c:v>0.99224305059224016</c:v>
                </c:pt>
                <c:pt idx="98">
                  <c:v>0.94783027221040606</c:v>
                </c:pt>
                <c:pt idx="99">
                  <c:v>1.0020217765728923</c:v>
                </c:pt>
              </c:numCache>
            </c:numRef>
          </c:xVal>
          <c:yVal>
            <c:numRef>
              <c:f>PlantData!$EN$7:$EN$106</c:f>
              <c:numCache>
                <c:formatCode>0.0%</c:formatCode>
                <c:ptCount val="100"/>
                <c:pt idx="0">
                  <c:v>-1.7655367231638548E-3</c:v>
                </c:pt>
                <c:pt idx="1">
                  <c:v>-3.9453921854334323E-3</c:v>
                </c:pt>
                <c:pt idx="2">
                  <c:v>-8.0697609325605865E-3</c:v>
                </c:pt>
                <c:pt idx="3">
                  <c:v>3.9535220095463118E-3</c:v>
                </c:pt>
                <c:pt idx="4">
                  <c:v>2.0355647795969399E-2</c:v>
                </c:pt>
                <c:pt idx="5">
                  <c:v>-1.5530752708832267E-2</c:v>
                </c:pt>
                <c:pt idx="6">
                  <c:v>7.2641702475956501E-3</c:v>
                </c:pt>
                <c:pt idx="7">
                  <c:v>2.4296416278598913E-2</c:v>
                </c:pt>
                <c:pt idx="8">
                  <c:v>-4.8759810095920945E-2</c:v>
                </c:pt>
                <c:pt idx="9">
                  <c:v>3.4979024238657543E-2</c:v>
                </c:pt>
                <c:pt idx="10">
                  <c:v>2.5324675324675319E-3</c:v>
                </c:pt>
                <c:pt idx="11">
                  <c:v>-2.5718066045537235E-2</c:v>
                </c:pt>
                <c:pt idx="12">
                  <c:v>7.8896790313280785E-2</c:v>
                </c:pt>
                <c:pt idx="13">
                  <c:v>5.3634788348873633E-4</c:v>
                </c:pt>
                <c:pt idx="14">
                  <c:v>7.6010021922956486E-2</c:v>
                </c:pt>
                <c:pt idx="15">
                  <c:v>-5.7729845793480374E-2</c:v>
                </c:pt>
                <c:pt idx="16">
                  <c:v>9.2422653382275722E-3</c:v>
                </c:pt>
                <c:pt idx="17">
                  <c:v>-4.4353295704582414E-2</c:v>
                </c:pt>
                <c:pt idx="18">
                  <c:v>-1.3085546986575269E-2</c:v>
                </c:pt>
                <c:pt idx="19">
                  <c:v>-1.5798430208852441E-2</c:v>
                </c:pt>
                <c:pt idx="20">
                  <c:v>-1.3803757412667558E-3</c:v>
                </c:pt>
                <c:pt idx="21">
                  <c:v>-5.4436927974532437E-2</c:v>
                </c:pt>
                <c:pt idx="22">
                  <c:v>-4.0641476274165193E-2</c:v>
                </c:pt>
                <c:pt idx="23">
                  <c:v>3.6110064078401831E-2</c:v>
                </c:pt>
                <c:pt idx="24">
                  <c:v>-1.5487375220199644E-2</c:v>
                </c:pt>
                <c:pt idx="25">
                  <c:v>-6.3322504267386177E-3</c:v>
                </c:pt>
                <c:pt idx="26">
                  <c:v>2.0536962420853542E-2</c:v>
                </c:pt>
                <c:pt idx="27">
                  <c:v>-1.8573285910694001E-2</c:v>
                </c:pt>
                <c:pt idx="28">
                  <c:v>-0.10338885697874783</c:v>
                </c:pt>
                <c:pt idx="29">
                  <c:v>-6.6071189615950722E-3</c:v>
                </c:pt>
                <c:pt idx="30">
                  <c:v>-3.6141032432750603E-2</c:v>
                </c:pt>
                <c:pt idx="31">
                  <c:v>1.260719062229565E-2</c:v>
                </c:pt>
                <c:pt idx="32">
                  <c:v>1.7073075113689822E-2</c:v>
                </c:pt>
                <c:pt idx="33">
                  <c:v>-1.9469821776246812E-2</c:v>
                </c:pt>
                <c:pt idx="34">
                  <c:v>-9.2087312414733981E-3</c:v>
                </c:pt>
                <c:pt idx="35">
                  <c:v>-4.0706015815288087E-3</c:v>
                </c:pt>
                <c:pt idx="36">
                  <c:v>-9.0266291763149153E-2</c:v>
                </c:pt>
                <c:pt idx="37">
                  <c:v>-2.9838709677419348E-2</c:v>
                </c:pt>
                <c:pt idx="38">
                  <c:v>4.7177879133409338E-2</c:v>
                </c:pt>
                <c:pt idx="39">
                  <c:v>-3.5444105316912701E-2</c:v>
                </c:pt>
                <c:pt idx="40">
                  <c:v>-1.3804584851496075E-2</c:v>
                </c:pt>
                <c:pt idx="41">
                  <c:v>-1.0667615838960235E-2</c:v>
                </c:pt>
                <c:pt idx="42">
                  <c:v>-4.5519165964616679E-2</c:v>
                </c:pt>
                <c:pt idx="43">
                  <c:v>-2.1706212890875411E-2</c:v>
                </c:pt>
                <c:pt idx="44">
                  <c:v>-1.0705048376281246E-2</c:v>
                </c:pt>
                <c:pt idx="45">
                  <c:v>-3.6295299001458545E-2</c:v>
                </c:pt>
                <c:pt idx="46">
                  <c:v>0.10843304187758854</c:v>
                </c:pt>
                <c:pt idx="47">
                  <c:v>-1.1040951894298856E-2</c:v>
                </c:pt>
                <c:pt idx="48">
                  <c:v>-9.8557411517346031E-4</c:v>
                </c:pt>
                <c:pt idx="49">
                  <c:v>-1.2579073860091376E-2</c:v>
                </c:pt>
                <c:pt idx="50">
                  <c:v>-8.0126179167193425E-3</c:v>
                </c:pt>
                <c:pt idx="51">
                  <c:v>-1.2690243687868377E-2</c:v>
                </c:pt>
                <c:pt idx="52">
                  <c:v>9.3761490378722924E-3</c:v>
                </c:pt>
                <c:pt idx="53">
                  <c:v>-1.7998413699131601E-2</c:v>
                </c:pt>
                <c:pt idx="54">
                  <c:v>-3.7979491074822588E-5</c:v>
                </c:pt>
                <c:pt idx="55">
                  <c:v>-9.8329156223893044E-3</c:v>
                </c:pt>
                <c:pt idx="56">
                  <c:v>1.5911172161172157E-2</c:v>
                </c:pt>
                <c:pt idx="57">
                  <c:v>-3.9994293323188122E-2</c:v>
                </c:pt>
                <c:pt idx="58">
                  <c:v>1.9067392134402436E-2</c:v>
                </c:pt>
                <c:pt idx="59">
                  <c:v>2.2203719122953097E-3</c:v>
                </c:pt>
                <c:pt idx="60">
                  <c:v>-0.31976029502151204</c:v>
                </c:pt>
                <c:pt idx="61">
                  <c:v>-2.9324757615085118E-2</c:v>
                </c:pt>
                <c:pt idx="62">
                  <c:v>-4.9577473476437178E-3</c:v>
                </c:pt>
                <c:pt idx="63">
                  <c:v>8.477860672415519E-5</c:v>
                </c:pt>
                <c:pt idx="64">
                  <c:v>-4.4276306571388535E-2</c:v>
                </c:pt>
                <c:pt idx="65">
                  <c:v>-1.4617815852948513E-2</c:v>
                </c:pt>
                <c:pt idx="66">
                  <c:v>-2.5733179988499124E-3</c:v>
                </c:pt>
                <c:pt idx="67">
                  <c:v>-2.1583513229381502E-2</c:v>
                </c:pt>
                <c:pt idx="68">
                  <c:v>2.1292806625721191E-2</c:v>
                </c:pt>
                <c:pt idx="69">
                  <c:v>-1.057897326554043E-2</c:v>
                </c:pt>
                <c:pt idx="70">
                  <c:v>-8.8146865889212819E-3</c:v>
                </c:pt>
                <c:pt idx="71">
                  <c:v>-2.7413396155699526E-2</c:v>
                </c:pt>
                <c:pt idx="72">
                  <c:v>-2.7292324274386014E-2</c:v>
                </c:pt>
                <c:pt idx="73">
                  <c:v>-9.2080303509326552E-3</c:v>
                </c:pt>
                <c:pt idx="74">
                  <c:v>1.6013579304718546E-2</c:v>
                </c:pt>
                <c:pt idx="75">
                  <c:v>-9.2210196525206473E-3</c:v>
                </c:pt>
                <c:pt idx="76">
                  <c:v>-4.3044650646363702E-2</c:v>
                </c:pt>
                <c:pt idx="77">
                  <c:v>-1.1371984367194617E-2</c:v>
                </c:pt>
                <c:pt idx="78">
                  <c:v>-3.2524157435776573E-2</c:v>
                </c:pt>
                <c:pt idx="79">
                  <c:v>-5.0266975557179839E-3</c:v>
                </c:pt>
                <c:pt idx="80">
                  <c:v>-4.0717203812982293E-2</c:v>
                </c:pt>
                <c:pt idx="81">
                  <c:v>-5.6379563062748626E-2</c:v>
                </c:pt>
                <c:pt idx="82">
                  <c:v>-1.0096033923671739E-2</c:v>
                </c:pt>
                <c:pt idx="83">
                  <c:v>0.12271722217672588</c:v>
                </c:pt>
                <c:pt idx="84">
                  <c:v>-1.0314875135722073E-3</c:v>
                </c:pt>
                <c:pt idx="85">
                  <c:v>-1.1438198262103207E-2</c:v>
                </c:pt>
                <c:pt idx="86">
                  <c:v>-4.8236461681684842E-2</c:v>
                </c:pt>
                <c:pt idx="87">
                  <c:v>-2.1327973566480463E-2</c:v>
                </c:pt>
                <c:pt idx="88">
                  <c:v>-4.3708585894242126E-3</c:v>
                </c:pt>
                <c:pt idx="89">
                  <c:v>-1.0338466018452099E-2</c:v>
                </c:pt>
                <c:pt idx="90">
                  <c:v>-2.6577858251422667E-2</c:v>
                </c:pt>
                <c:pt idx="91">
                  <c:v>-2.985210881869637E-2</c:v>
                </c:pt>
                <c:pt idx="92">
                  <c:v>-2.3206487835308796E-2</c:v>
                </c:pt>
                <c:pt idx="93">
                  <c:v>-6.5764642799941486E-2</c:v>
                </c:pt>
                <c:pt idx="94">
                  <c:v>-2.9960273670271455E-2</c:v>
                </c:pt>
                <c:pt idx="95">
                  <c:v>-3.6943692704422118E-2</c:v>
                </c:pt>
                <c:pt idx="96">
                  <c:v>-5.794494475907528E-2</c:v>
                </c:pt>
                <c:pt idx="97">
                  <c:v>-1.4982361485785427E-2</c:v>
                </c:pt>
                <c:pt idx="98">
                  <c:v>-1.1426497332763378E-2</c:v>
                </c:pt>
                <c:pt idx="99">
                  <c:v>-3.1819434479547277E-2</c:v>
                </c:pt>
              </c:numCache>
            </c:numRef>
          </c:yVal>
          <c:smooth val="0"/>
          <c:extLst>
            <c:ext xmlns:c16="http://schemas.microsoft.com/office/drawing/2014/chart" uri="{C3380CC4-5D6E-409C-BE32-E72D297353CC}">
              <c16:uniqueId val="{00000003-9823-448A-939C-948E85B2C252}"/>
            </c:ext>
          </c:extLst>
        </c:ser>
        <c:dLbls>
          <c:showLegendKey val="0"/>
          <c:showVal val="0"/>
          <c:showCatName val="0"/>
          <c:showSerName val="0"/>
          <c:showPercent val="0"/>
          <c:showBubbleSize val="0"/>
        </c:dLbls>
        <c:axId val="1189405552"/>
        <c:axId val="1292772720"/>
      </c:scatterChart>
      <c:valAx>
        <c:axId val="1189405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2772720"/>
        <c:crosses val="autoZero"/>
        <c:crossBetween val="midCat"/>
        <c:majorUnit val="0.1"/>
      </c:valAx>
      <c:valAx>
        <c:axId val="1292772720"/>
        <c:scaling>
          <c:orientation val="minMax"/>
          <c:max val="6.0000000000000012E-2"/>
          <c:min val="-0.1200000000000000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Annual</a:t>
                </a:r>
                <a:r>
                  <a:rPr lang="en-US" sz="1400" b="1" baseline="0"/>
                  <a:t> degradation,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89405552"/>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America's</a:t>
            </a:r>
            <a:r>
              <a:rPr lang="en-US" sz="1800" b="1" baseline="0"/>
              <a:t> Top 100 PV Systems (the 100 longest-running, avg 14+ years)</a:t>
            </a:r>
          </a:p>
          <a:p>
            <a:pPr>
              <a:defRPr sz="1800" b="1"/>
            </a:pPr>
            <a:r>
              <a:rPr lang="en-US" sz="1800" b="1" baseline="0"/>
              <a:t>% of annual output variability attributable to normal POA fluctuation</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Lifetime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9858701148594964E-2"/>
                  <c:y val="8.14358317341085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PlantData!$CB$7:$CB$106</c:f>
              <c:numCache>
                <c:formatCode>0.00</c:formatCode>
                <c:ptCount val="100"/>
                <c:pt idx="0">
                  <c:v>0.4223254391495242</c:v>
                </c:pt>
                <c:pt idx="1">
                  <c:v>0.8883293062644867</c:v>
                </c:pt>
                <c:pt idx="2">
                  <c:v>0.77666786901755636</c:v>
                </c:pt>
                <c:pt idx="3">
                  <c:v>0.98161033978231671</c:v>
                </c:pt>
                <c:pt idx="4">
                  <c:v>0.62716432381056253</c:v>
                </c:pt>
                <c:pt idx="5">
                  <c:v>0.91959539690607461</c:v>
                </c:pt>
                <c:pt idx="6">
                  <c:v>0.88031106349258481</c:v>
                </c:pt>
                <c:pt idx="7">
                  <c:v>0.82211896532774376</c:v>
                </c:pt>
                <c:pt idx="8">
                  <c:v>0.69289177196237006</c:v>
                </c:pt>
                <c:pt idx="9">
                  <c:v>0.47000013773752236</c:v>
                </c:pt>
                <c:pt idx="10">
                  <c:v>0.91231903506818879</c:v>
                </c:pt>
                <c:pt idx="11">
                  <c:v>0.7603580474705659</c:v>
                </c:pt>
                <c:pt idx="12">
                  <c:v>0.69471804757805666</c:v>
                </c:pt>
                <c:pt idx="13">
                  <c:v>0.86619296642192156</c:v>
                </c:pt>
                <c:pt idx="14">
                  <c:v>0.80509783098090337</c:v>
                </c:pt>
                <c:pt idx="15">
                  <c:v>0.87247347249856833</c:v>
                </c:pt>
                <c:pt idx="16">
                  <c:v>0.70489791257871792</c:v>
                </c:pt>
                <c:pt idx="17">
                  <c:v>0.98718593254235454</c:v>
                </c:pt>
                <c:pt idx="18">
                  <c:v>0.83455224708120468</c:v>
                </c:pt>
                <c:pt idx="19">
                  <c:v>1.0034820611743425</c:v>
                </c:pt>
                <c:pt idx="20">
                  <c:v>0.97945964878553882</c:v>
                </c:pt>
                <c:pt idx="21">
                  <c:v>0.80554561998610741</c:v>
                </c:pt>
                <c:pt idx="22">
                  <c:v>0.78728983102034367</c:v>
                </c:pt>
                <c:pt idx="23">
                  <c:v>0.82334171999690065</c:v>
                </c:pt>
                <c:pt idx="24">
                  <c:v>0.62537989993170884</c:v>
                </c:pt>
                <c:pt idx="25">
                  <c:v>0.85801874031390035</c:v>
                </c:pt>
                <c:pt idx="26">
                  <c:v>0.89438225168448626</c:v>
                </c:pt>
                <c:pt idx="27">
                  <c:v>0.94175918744763809</c:v>
                </c:pt>
                <c:pt idx="28">
                  <c:v>0.42964816540808276</c:v>
                </c:pt>
                <c:pt idx="29">
                  <c:v>0.84764030541524016</c:v>
                </c:pt>
                <c:pt idx="30">
                  <c:v>0.79559419125408937</c:v>
                </c:pt>
                <c:pt idx="31">
                  <c:v>0.76841211249920605</c:v>
                </c:pt>
                <c:pt idx="32">
                  <c:v>0.973617858036258</c:v>
                </c:pt>
                <c:pt idx="33">
                  <c:v>0.76406259370075247</c:v>
                </c:pt>
                <c:pt idx="34">
                  <c:v>0.82101680962123635</c:v>
                </c:pt>
                <c:pt idx="35">
                  <c:v>0.96372354744028332</c:v>
                </c:pt>
                <c:pt idx="36">
                  <c:v>0.58525823520585085</c:v>
                </c:pt>
                <c:pt idx="37">
                  <c:v>0.73474233126129429</c:v>
                </c:pt>
                <c:pt idx="38">
                  <c:v>0.61282953156478992</c:v>
                </c:pt>
                <c:pt idx="39">
                  <c:v>0.88629814450810263</c:v>
                </c:pt>
                <c:pt idx="40">
                  <c:v>0.93096529348537627</c:v>
                </c:pt>
                <c:pt idx="41">
                  <c:v>0.85602638378363893</c:v>
                </c:pt>
                <c:pt idx="42">
                  <c:v>0.78821256226159175</c:v>
                </c:pt>
                <c:pt idx="43">
                  <c:v>0.93830633455926238</c:v>
                </c:pt>
                <c:pt idx="44">
                  <c:v>0.70547949042681068</c:v>
                </c:pt>
                <c:pt idx="45">
                  <c:v>0.77132115984055394</c:v>
                </c:pt>
                <c:pt idx="46">
                  <c:v>0.74443141109319233</c:v>
                </c:pt>
                <c:pt idx="47">
                  <c:v>0.7577291341019049</c:v>
                </c:pt>
                <c:pt idx="48">
                  <c:v>0.86925867059040318</c:v>
                </c:pt>
                <c:pt idx="49">
                  <c:v>1.0256170186128266</c:v>
                </c:pt>
                <c:pt idx="50">
                  <c:v>1.0180195189881553</c:v>
                </c:pt>
                <c:pt idx="51">
                  <c:v>0.7237096988614492</c:v>
                </c:pt>
                <c:pt idx="52">
                  <c:v>0.86336455517906363</c:v>
                </c:pt>
                <c:pt idx="53">
                  <c:v>0.90474702116995132</c:v>
                </c:pt>
                <c:pt idx="54">
                  <c:v>1.0451530490491237</c:v>
                </c:pt>
                <c:pt idx="55">
                  <c:v>0.99899855886389732</c:v>
                </c:pt>
                <c:pt idx="56">
                  <c:v>0.91992304657942037</c:v>
                </c:pt>
                <c:pt idx="57">
                  <c:v>0.74562835349594958</c:v>
                </c:pt>
                <c:pt idx="58">
                  <c:v>0.6662853690633892</c:v>
                </c:pt>
                <c:pt idx="59">
                  <c:v>0.86481595248123344</c:v>
                </c:pt>
                <c:pt idx="60">
                  <c:v>0.34604067474432193</c:v>
                </c:pt>
                <c:pt idx="61">
                  <c:v>0.95638389421698122</c:v>
                </c:pt>
                <c:pt idx="62">
                  <c:v>0.80195143430654292</c:v>
                </c:pt>
                <c:pt idx="63">
                  <c:v>0.90564218391443563</c:v>
                </c:pt>
                <c:pt idx="64">
                  <c:v>0.6844742218646962</c:v>
                </c:pt>
                <c:pt idx="65">
                  <c:v>0.96323329069185337</c:v>
                </c:pt>
                <c:pt idx="66">
                  <c:v>0.96270191741735811</c:v>
                </c:pt>
                <c:pt idx="67">
                  <c:v>0.97629315081514711</c:v>
                </c:pt>
                <c:pt idx="68">
                  <c:v>0.90697071291573272</c:v>
                </c:pt>
                <c:pt idx="69">
                  <c:v>0.85206841675290124</c:v>
                </c:pt>
                <c:pt idx="70">
                  <c:v>0.91182231159603933</c:v>
                </c:pt>
                <c:pt idx="71">
                  <c:v>0.62975594795750789</c:v>
                </c:pt>
                <c:pt idx="72">
                  <c:v>0.90213180588160924</c:v>
                </c:pt>
                <c:pt idx="73">
                  <c:v>0.90331368903344955</c:v>
                </c:pt>
                <c:pt idx="74">
                  <c:v>1.0000961133344008</c:v>
                </c:pt>
                <c:pt idx="75">
                  <c:v>0.74665953776972915</c:v>
                </c:pt>
                <c:pt idx="76">
                  <c:v>0.85563375268615716</c:v>
                </c:pt>
                <c:pt idx="77">
                  <c:v>0.9388334517476713</c:v>
                </c:pt>
                <c:pt idx="78">
                  <c:v>0.71664216108131984</c:v>
                </c:pt>
                <c:pt idx="79">
                  <c:v>1.0352364170030122</c:v>
                </c:pt>
                <c:pt idx="80">
                  <c:v>0.92075554920315983</c:v>
                </c:pt>
                <c:pt idx="81">
                  <c:v>0.92088219907058377</c:v>
                </c:pt>
                <c:pt idx="82">
                  <c:v>0.9857428960508694</c:v>
                </c:pt>
                <c:pt idx="83">
                  <c:v>0.88073238276924048</c:v>
                </c:pt>
                <c:pt idx="84">
                  <c:v>0.68815063860010051</c:v>
                </c:pt>
                <c:pt idx="85">
                  <c:v>0.91253477593530907</c:v>
                </c:pt>
                <c:pt idx="86">
                  <c:v>0.93149549119118624</c:v>
                </c:pt>
                <c:pt idx="87">
                  <c:v>1.0049579563391708</c:v>
                </c:pt>
                <c:pt idx="88">
                  <c:v>0.88038083996444283</c:v>
                </c:pt>
                <c:pt idx="89">
                  <c:v>1.030229181055579</c:v>
                </c:pt>
                <c:pt idx="90">
                  <c:v>0.7219997211877226</c:v>
                </c:pt>
                <c:pt idx="91">
                  <c:v>0.82322810520926371</c:v>
                </c:pt>
                <c:pt idx="92">
                  <c:v>0.96797685535191047</c:v>
                </c:pt>
                <c:pt idx="93">
                  <c:v>1.0255334217624725</c:v>
                </c:pt>
                <c:pt idx="94">
                  <c:v>0.81368716748018988</c:v>
                </c:pt>
                <c:pt idx="95">
                  <c:v>0.89386228323894068</c:v>
                </c:pt>
                <c:pt idx="96">
                  <c:v>0.77952977414962443</c:v>
                </c:pt>
                <c:pt idx="97">
                  <c:v>0.98354338658030449</c:v>
                </c:pt>
                <c:pt idx="98">
                  <c:v>0.96928221524482927</c:v>
                </c:pt>
                <c:pt idx="99">
                  <c:v>0.86769769353721438</c:v>
                </c:pt>
              </c:numCache>
            </c:numRef>
          </c:xVal>
          <c:yVal>
            <c:numRef>
              <c:f>PlantData!$FS$7:$FS$106</c:f>
              <c:numCache>
                <c:formatCode>0%</c:formatCode>
                <c:ptCount val="100"/>
                <c:pt idx="0">
                  <c:v>7.7276610194192741E-2</c:v>
                </c:pt>
                <c:pt idx="1">
                  <c:v>0.45562094903883787</c:v>
                </c:pt>
                <c:pt idx="2">
                  <c:v>7.2907231246048379E-2</c:v>
                </c:pt>
                <c:pt idx="3">
                  <c:v>0.4047583907986852</c:v>
                </c:pt>
                <c:pt idx="4">
                  <c:v>9.8941556719653975E-2</c:v>
                </c:pt>
                <c:pt idx="5">
                  <c:v>0.5765686154670312</c:v>
                </c:pt>
                <c:pt idx="6">
                  <c:v>0.17096428781229775</c:v>
                </c:pt>
                <c:pt idx="7">
                  <c:v>9.7205843496521491E-2</c:v>
                </c:pt>
                <c:pt idx="8">
                  <c:v>0.22351332808957783</c:v>
                </c:pt>
                <c:pt idx="9">
                  <c:v>0.22366626949182819</c:v>
                </c:pt>
                <c:pt idx="10">
                  <c:v>0.15210423090855538</c:v>
                </c:pt>
                <c:pt idx="11">
                  <c:v>0.16034723635180126</c:v>
                </c:pt>
                <c:pt idx="12">
                  <c:v>0.18609075461985483</c:v>
                </c:pt>
                <c:pt idx="13">
                  <c:v>1.4390127300103766</c:v>
                </c:pt>
                <c:pt idx="14">
                  <c:v>0.21617919272441569</c:v>
                </c:pt>
                <c:pt idx="15">
                  <c:v>0.12551043793870734</c:v>
                </c:pt>
                <c:pt idx="16">
                  <c:v>0.10606556453098767</c:v>
                </c:pt>
                <c:pt idx="17">
                  <c:v>0.37884639708677587</c:v>
                </c:pt>
                <c:pt idx="18">
                  <c:v>0.1078977358240306</c:v>
                </c:pt>
                <c:pt idx="19">
                  <c:v>1.1920478662036329</c:v>
                </c:pt>
                <c:pt idx="20">
                  <c:v>1.4993349815100001</c:v>
                </c:pt>
                <c:pt idx="21">
                  <c:v>0.27232756937944691</c:v>
                </c:pt>
                <c:pt idx="22">
                  <c:v>5.9783648861703086E-2</c:v>
                </c:pt>
                <c:pt idx="23">
                  <c:v>0.18032883017724188</c:v>
                </c:pt>
                <c:pt idx="24">
                  <c:v>0.10745488876702132</c:v>
                </c:pt>
                <c:pt idx="25">
                  <c:v>0.46868590647177005</c:v>
                </c:pt>
                <c:pt idx="26">
                  <c:v>0.41241381883772837</c:v>
                </c:pt>
                <c:pt idx="27">
                  <c:v>1.2673700904436529</c:v>
                </c:pt>
                <c:pt idx="28">
                  <c:v>6.6567611934821441E-2</c:v>
                </c:pt>
                <c:pt idx="29">
                  <c:v>0.25313417798611954</c:v>
                </c:pt>
                <c:pt idx="30">
                  <c:v>0.13443796210007364</c:v>
                </c:pt>
                <c:pt idx="31">
                  <c:v>0.16120754852728331</c:v>
                </c:pt>
                <c:pt idx="32">
                  <c:v>0.18289079328910809</c:v>
                </c:pt>
                <c:pt idx="33">
                  <c:v>0.17962434300227079</c:v>
                </c:pt>
                <c:pt idx="34">
                  <c:v>0.17868586735055672</c:v>
                </c:pt>
                <c:pt idx="35">
                  <c:v>0.41281372313250819</c:v>
                </c:pt>
                <c:pt idx="36">
                  <c:v>0.16371568703622977</c:v>
                </c:pt>
                <c:pt idx="37">
                  <c:v>0.14119985799261814</c:v>
                </c:pt>
                <c:pt idx="38">
                  <c:v>0.13757169018803969</c:v>
                </c:pt>
                <c:pt idx="39">
                  <c:v>0.50887291183818439</c:v>
                </c:pt>
                <c:pt idx="40">
                  <c:v>2.0360627957068949</c:v>
                </c:pt>
                <c:pt idx="41">
                  <c:v>0.25419700311295607</c:v>
                </c:pt>
                <c:pt idx="42">
                  <c:v>0.11979717248547199</c:v>
                </c:pt>
                <c:pt idx="43">
                  <c:v>0.48115199207806164</c:v>
                </c:pt>
                <c:pt idx="44">
                  <c:v>0.17814961260654061</c:v>
                </c:pt>
                <c:pt idx="45">
                  <c:v>0.27138608376157919</c:v>
                </c:pt>
                <c:pt idx="46">
                  <c:v>9.7198200485586E-2</c:v>
                </c:pt>
                <c:pt idx="47">
                  <c:v>0.3683241023505302</c:v>
                </c:pt>
                <c:pt idx="48">
                  <c:v>0.13989270213451241</c:v>
                </c:pt>
                <c:pt idx="49">
                  <c:v>0.57760070817007692</c:v>
                </c:pt>
                <c:pt idx="50">
                  <c:v>1.5622189718832091</c:v>
                </c:pt>
                <c:pt idx="51">
                  <c:v>0.23232906050374971</c:v>
                </c:pt>
                <c:pt idx="52">
                  <c:v>0.28577881931295923</c:v>
                </c:pt>
                <c:pt idx="53">
                  <c:v>0.48942932991153271</c:v>
                </c:pt>
                <c:pt idx="54">
                  <c:v>0.5930485853264561</c:v>
                </c:pt>
                <c:pt idx="55">
                  <c:v>1.2586334065408691</c:v>
                </c:pt>
                <c:pt idx="56">
                  <c:v>0.29692865994099027</c:v>
                </c:pt>
                <c:pt idx="57">
                  <c:v>9.4423506075169181E-2</c:v>
                </c:pt>
                <c:pt idx="58">
                  <c:v>9.3142552295375616E-2</c:v>
                </c:pt>
                <c:pt idx="59">
                  <c:v>0.51720516058105603</c:v>
                </c:pt>
                <c:pt idx="60">
                  <c:v>3.8664994465196237E-2</c:v>
                </c:pt>
                <c:pt idx="61">
                  <c:v>0.29086999556964543</c:v>
                </c:pt>
                <c:pt idx="62">
                  <c:v>0.4565161884313137</c:v>
                </c:pt>
                <c:pt idx="63">
                  <c:v>0.35950675768866891</c:v>
                </c:pt>
                <c:pt idx="64">
                  <c:v>0.27267177280461152</c:v>
                </c:pt>
                <c:pt idx="65">
                  <c:v>0.4798137454175247</c:v>
                </c:pt>
                <c:pt idx="66">
                  <c:v>0.45468276858639001</c:v>
                </c:pt>
                <c:pt idx="67">
                  <c:v>0.43384748464571654</c:v>
                </c:pt>
                <c:pt idx="68">
                  <c:v>0.14178236104025485</c:v>
                </c:pt>
                <c:pt idx="69">
                  <c:v>0.60814611128208673</c:v>
                </c:pt>
                <c:pt idx="70">
                  <c:v>0.46702919210437732</c:v>
                </c:pt>
                <c:pt idx="71">
                  <c:v>0.10640981773204808</c:v>
                </c:pt>
                <c:pt idx="72">
                  <c:v>0.20461210040397268</c:v>
                </c:pt>
                <c:pt idx="73">
                  <c:v>0.73118713805901825</c:v>
                </c:pt>
                <c:pt idx="74">
                  <c:v>0.3555180430582941</c:v>
                </c:pt>
                <c:pt idx="75">
                  <c:v>0.30579732966481349</c:v>
                </c:pt>
                <c:pt idx="76">
                  <c:v>0.12736056605919369</c:v>
                </c:pt>
                <c:pt idx="77">
                  <c:v>0.6641008016234885</c:v>
                </c:pt>
                <c:pt idx="78">
                  <c:v>0.17376944777248177</c:v>
                </c:pt>
                <c:pt idx="79">
                  <c:v>1.4066846328674305</c:v>
                </c:pt>
                <c:pt idx="80">
                  <c:v>0.54015550589574746</c:v>
                </c:pt>
                <c:pt idx="81">
                  <c:v>0.50289541474005239</c:v>
                </c:pt>
                <c:pt idx="82">
                  <c:v>1.1591348865029842</c:v>
                </c:pt>
                <c:pt idx="83">
                  <c:v>0.15850718218277854</c:v>
                </c:pt>
                <c:pt idx="84">
                  <c:v>0.29992066872586998</c:v>
                </c:pt>
                <c:pt idx="85">
                  <c:v>1.100007392405437</c:v>
                </c:pt>
                <c:pt idx="86">
                  <c:v>0.70037992518090642</c:v>
                </c:pt>
                <c:pt idx="87">
                  <c:v>0.68272705580285264</c:v>
                </c:pt>
                <c:pt idx="88">
                  <c:v>0.7455570644112155</c:v>
                </c:pt>
                <c:pt idx="89">
                  <c:v>0.98375898250537364</c:v>
                </c:pt>
                <c:pt idx="90">
                  <c:v>9.4591237034740608E-2</c:v>
                </c:pt>
                <c:pt idx="91">
                  <c:v>8.2411628751739963E-2</c:v>
                </c:pt>
                <c:pt idx="92">
                  <c:v>0.52554433513289189</c:v>
                </c:pt>
                <c:pt idx="93">
                  <c:v>0.25100347461644168</c:v>
                </c:pt>
                <c:pt idx="94">
                  <c:v>0.51575117493950129</c:v>
                </c:pt>
                <c:pt idx="95">
                  <c:v>0.85093800433061506</c:v>
                </c:pt>
                <c:pt idx="96">
                  <c:v>0.28827186188855708</c:v>
                </c:pt>
                <c:pt idx="97">
                  <c:v>0.7407969389376412</c:v>
                </c:pt>
                <c:pt idx="98">
                  <c:v>0.37552911186420873</c:v>
                </c:pt>
                <c:pt idx="99">
                  <c:v>0.6864483333346717</c:v>
                </c:pt>
              </c:numCache>
            </c:numRef>
          </c:yVal>
          <c:smooth val="0"/>
          <c:extLst>
            <c:ext xmlns:c16="http://schemas.microsoft.com/office/drawing/2014/chart" uri="{C3380CC4-5D6E-409C-BE32-E72D297353CC}">
              <c16:uniqueId val="{00000001-0876-4603-830B-53D8B4CCAE01}"/>
            </c:ext>
          </c:extLst>
        </c:ser>
        <c:ser>
          <c:idx val="1"/>
          <c:order val="1"/>
          <c:tx>
            <c:v>1st 7 years</c:v>
          </c:tx>
          <c:spPr>
            <a:ln w="25400" cap="rnd">
              <a:noFill/>
              <a:round/>
            </a:ln>
            <a:effectLst/>
          </c:spPr>
          <c:marker>
            <c:symbol val="circle"/>
            <c:size val="5"/>
            <c:spPr>
              <a:no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7.3903864769197428E-2"/>
                  <c:y val="3.180775601041193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PlantData!$EB$7:$EB$106</c:f>
              <c:numCache>
                <c:formatCode>0.00</c:formatCode>
                <c:ptCount val="100"/>
                <c:pt idx="0">
                  <c:v>0.56851708568871795</c:v>
                </c:pt>
                <c:pt idx="1">
                  <c:v>1.0107724775877311</c:v>
                </c:pt>
                <c:pt idx="2">
                  <c:v>0.86570053296958449</c:v>
                </c:pt>
                <c:pt idx="3">
                  <c:v>0.97166868486001357</c:v>
                </c:pt>
                <c:pt idx="4">
                  <c:v>0.80931959967531575</c:v>
                </c:pt>
                <c:pt idx="5">
                  <c:v>0.92725191272090157</c:v>
                </c:pt>
                <c:pt idx="6">
                  <c:v>0.91620554355528239</c:v>
                </c:pt>
                <c:pt idx="7">
                  <c:v>0.76699884973983434</c:v>
                </c:pt>
                <c:pt idx="8">
                  <c:v>0.83150207918959695</c:v>
                </c:pt>
                <c:pt idx="9">
                  <c:v>0.64119090237038734</c:v>
                </c:pt>
                <c:pt idx="10">
                  <c:v>0.93855869104496215</c:v>
                </c:pt>
                <c:pt idx="11">
                  <c:v>0.81595547155658887</c:v>
                </c:pt>
                <c:pt idx="12">
                  <c:v>0.7944404876754263</c:v>
                </c:pt>
                <c:pt idx="13">
                  <c:v>0.89514964970305311</c:v>
                </c:pt>
                <c:pt idx="14">
                  <c:v>0.8541734388204415</c:v>
                </c:pt>
                <c:pt idx="15">
                  <c:v>1.0282994015601952</c:v>
                </c:pt>
                <c:pt idx="16">
                  <c:v>0.68527681325271939</c:v>
                </c:pt>
                <c:pt idx="17">
                  <c:v>1.0060490087511476</c:v>
                </c:pt>
                <c:pt idx="18">
                  <c:v>0.91837406341065808</c:v>
                </c:pt>
                <c:pt idx="19">
                  <c:v>1.0990750602302657</c:v>
                </c:pt>
                <c:pt idx="20">
                  <c:v>0.99802368864270752</c:v>
                </c:pt>
                <c:pt idx="21">
                  <c:v>0.85235898110007213</c:v>
                </c:pt>
                <c:pt idx="22">
                  <c:v>0.95596033384959567</c:v>
                </c:pt>
                <c:pt idx="23">
                  <c:v>0.93972672787108391</c:v>
                </c:pt>
                <c:pt idx="24">
                  <c:v>0.70347956038259984</c:v>
                </c:pt>
                <c:pt idx="25">
                  <c:v>0.90448528686718987</c:v>
                </c:pt>
                <c:pt idx="26">
                  <c:v>0.95981374475155001</c:v>
                </c:pt>
                <c:pt idx="27">
                  <c:v>0.98599309576541649</c:v>
                </c:pt>
                <c:pt idx="28">
                  <c:v>0.56160320900082894</c:v>
                </c:pt>
                <c:pt idx="29">
                  <c:v>0.97057866831494799</c:v>
                </c:pt>
                <c:pt idx="30">
                  <c:v>0.92278528390438863</c:v>
                </c:pt>
                <c:pt idx="31">
                  <c:v>0.92866628717477617</c:v>
                </c:pt>
                <c:pt idx="32">
                  <c:v>0.96416855506568466</c:v>
                </c:pt>
                <c:pt idx="33">
                  <c:v>0.94715657560250544</c:v>
                </c:pt>
                <c:pt idx="34">
                  <c:v>0.95553821381164306</c:v>
                </c:pt>
                <c:pt idx="35">
                  <c:v>1.0440374430785149</c:v>
                </c:pt>
                <c:pt idx="36">
                  <c:v>0.6124789474619371</c:v>
                </c:pt>
                <c:pt idx="37">
                  <c:v>0.93170881133279626</c:v>
                </c:pt>
                <c:pt idx="38">
                  <c:v>0.70432209767174636</c:v>
                </c:pt>
                <c:pt idx="39">
                  <c:v>0.94516121254911156</c:v>
                </c:pt>
                <c:pt idx="40">
                  <c:v>0.94492726141041383</c:v>
                </c:pt>
                <c:pt idx="41">
                  <c:v>0.99179467323066339</c:v>
                </c:pt>
                <c:pt idx="42">
                  <c:v>0.83720324598590745</c:v>
                </c:pt>
                <c:pt idx="43">
                  <c:v>0.96399003735735411</c:v>
                </c:pt>
                <c:pt idx="44">
                  <c:v>0.73792398816799987</c:v>
                </c:pt>
                <c:pt idx="45">
                  <c:v>0.8812164004388493</c:v>
                </c:pt>
                <c:pt idx="46">
                  <c:v>0.76760969653578959</c:v>
                </c:pt>
                <c:pt idx="47">
                  <c:v>0.94218950075248842</c:v>
                </c:pt>
                <c:pt idx="48">
                  <c:v>0.97527036693322988</c:v>
                </c:pt>
                <c:pt idx="49">
                  <c:v>1.0395810415840241</c:v>
                </c:pt>
                <c:pt idx="50">
                  <c:v>1.0198732144565279</c:v>
                </c:pt>
                <c:pt idx="51">
                  <c:v>0.90832959170427674</c:v>
                </c:pt>
                <c:pt idx="52">
                  <c:v>0.87502393022770553</c:v>
                </c:pt>
                <c:pt idx="53">
                  <c:v>1.004323289858716</c:v>
                </c:pt>
                <c:pt idx="54">
                  <c:v>1.0789825279131464</c:v>
                </c:pt>
                <c:pt idx="55">
                  <c:v>1.0064454102286391</c:v>
                </c:pt>
                <c:pt idx="56">
                  <c:v>0.90439169895144189</c:v>
                </c:pt>
                <c:pt idx="57">
                  <c:v>0.82425261599790101</c:v>
                </c:pt>
                <c:pt idx="58">
                  <c:v>0.86106476977359947</c:v>
                </c:pt>
                <c:pt idx="59">
                  <c:v>0.85788323825218171</c:v>
                </c:pt>
                <c:pt idx="60">
                  <c:v>0.58725746945327306</c:v>
                </c:pt>
                <c:pt idx="61">
                  <c:v>1.0089282830271644</c:v>
                </c:pt>
                <c:pt idx="62">
                  <c:v>0.88481005074214092</c:v>
                </c:pt>
                <c:pt idx="63">
                  <c:v>1.0093910805484663</c:v>
                </c:pt>
                <c:pt idx="64">
                  <c:v>0.87575248198479394</c:v>
                </c:pt>
                <c:pt idx="65">
                  <c:v>1.0486296544783484</c:v>
                </c:pt>
                <c:pt idx="66">
                  <c:v>0.96015699906993746</c:v>
                </c:pt>
                <c:pt idx="67">
                  <c:v>1.0570404918361203</c:v>
                </c:pt>
                <c:pt idx="68">
                  <c:v>0.86947852311680529</c:v>
                </c:pt>
                <c:pt idx="69">
                  <c:v>0.91730673548918706</c:v>
                </c:pt>
                <c:pt idx="70">
                  <c:v>0.91151769938688354</c:v>
                </c:pt>
                <c:pt idx="71">
                  <c:v>0.78779914602743595</c:v>
                </c:pt>
                <c:pt idx="72">
                  <c:v>0.89217734775336266</c:v>
                </c:pt>
                <c:pt idx="73">
                  <c:v>0.97497551108151526</c:v>
                </c:pt>
                <c:pt idx="74">
                  <c:v>1.0074858046053703</c:v>
                </c:pt>
                <c:pt idx="75">
                  <c:v>0.9949130920634377</c:v>
                </c:pt>
                <c:pt idx="76">
                  <c:v>0.92483352176554068</c:v>
                </c:pt>
                <c:pt idx="77">
                  <c:v>0.92412485782014075</c:v>
                </c:pt>
                <c:pt idx="78">
                  <c:v>0.81159065720887158</c:v>
                </c:pt>
                <c:pt idx="79">
                  <c:v>1.0343881739463339</c:v>
                </c:pt>
                <c:pt idx="80">
                  <c:v>0.95373781448674344</c:v>
                </c:pt>
                <c:pt idx="81">
                  <c:v>0.93038141181240874</c:v>
                </c:pt>
                <c:pt idx="82">
                  <c:v>0.98297362093743734</c:v>
                </c:pt>
                <c:pt idx="83">
                  <c:v>0.80203204729770472</c:v>
                </c:pt>
                <c:pt idx="84">
                  <c:v>0.7937879659417022</c:v>
                </c:pt>
                <c:pt idx="85">
                  <c:v>0.92478517099889335</c:v>
                </c:pt>
                <c:pt idx="86">
                  <c:v>0.93461853449205412</c:v>
                </c:pt>
                <c:pt idx="87">
                  <c:v>1.0495943153803831</c:v>
                </c:pt>
                <c:pt idx="88">
                  <c:v>0.99241126493858522</c:v>
                </c:pt>
                <c:pt idx="89">
                  <c:v>1.0327623927802236</c:v>
                </c:pt>
                <c:pt idx="90">
                  <c:v>0.75311772389827902</c:v>
                </c:pt>
                <c:pt idx="91">
                  <c:v>0.96661595347362406</c:v>
                </c:pt>
                <c:pt idx="92">
                  <c:v>0.99885109046809761</c:v>
                </c:pt>
                <c:pt idx="93">
                  <c:v>0.97583926010624655</c:v>
                </c:pt>
                <c:pt idx="94">
                  <c:v>0.93010697903359185</c:v>
                </c:pt>
                <c:pt idx="95">
                  <c:v>1.0108002414335442</c:v>
                </c:pt>
                <c:pt idx="96">
                  <c:v>0.9463804168590737</c:v>
                </c:pt>
                <c:pt idx="97">
                  <c:v>0.99224305059224016</c:v>
                </c:pt>
                <c:pt idx="98">
                  <c:v>0.94783027221040606</c:v>
                </c:pt>
                <c:pt idx="99">
                  <c:v>1.0020217765728923</c:v>
                </c:pt>
              </c:numCache>
            </c:numRef>
          </c:xVal>
          <c:yVal>
            <c:numRef>
              <c:f>PlantData!$FW$7:$FW$106</c:f>
              <c:numCache>
                <c:formatCode>0%</c:formatCode>
                <c:ptCount val="100"/>
                <c:pt idx="0">
                  <c:v>0.10027724944126443</c:v>
                </c:pt>
                <c:pt idx="1">
                  <c:v>3.6392078869590243</c:v>
                </c:pt>
                <c:pt idx="2">
                  <c:v>1.8885085773437307</c:v>
                </c:pt>
                <c:pt idx="3">
                  <c:v>0.79233771501726125</c:v>
                </c:pt>
                <c:pt idx="4">
                  <c:v>0.11401426747868872</c:v>
                </c:pt>
                <c:pt idx="5">
                  <c:v>2.187001030501651</c:v>
                </c:pt>
                <c:pt idx="6">
                  <c:v>0.18216287960160049</c:v>
                </c:pt>
                <c:pt idx="7">
                  <c:v>6.9146937313231988E-2</c:v>
                </c:pt>
                <c:pt idx="8">
                  <c:v>0.25612407117236835</c:v>
                </c:pt>
                <c:pt idx="9">
                  <c:v>0.38644223874865269</c:v>
                </c:pt>
                <c:pt idx="10">
                  <c:v>0.82072427559442729</c:v>
                </c:pt>
                <c:pt idx="11">
                  <c:v>0.62260025299205846</c:v>
                </c:pt>
                <c:pt idx="12">
                  <c:v>0.21027257117691428</c:v>
                </c:pt>
                <c:pt idx="13">
                  <c:v>1.6615703639072885</c:v>
                </c:pt>
                <c:pt idx="14">
                  <c:v>0.18635470925768469</c:v>
                </c:pt>
                <c:pt idx="15">
                  <c:v>0.24581031068919809</c:v>
                </c:pt>
                <c:pt idx="16">
                  <c:v>7.9388457763733031E-2</c:v>
                </c:pt>
                <c:pt idx="17">
                  <c:v>0.29218300112863405</c:v>
                </c:pt>
                <c:pt idx="18">
                  <c:v>0.3788423565051337</c:v>
                </c:pt>
                <c:pt idx="19">
                  <c:v>2.2592807930643564</c:v>
                </c:pt>
                <c:pt idx="20">
                  <c:v>1.8331912525241596</c:v>
                </c:pt>
                <c:pt idx="21">
                  <c:v>0.24829400459513232</c:v>
                </c:pt>
                <c:pt idx="22">
                  <c:v>6.5350939300726829E-2</c:v>
                </c:pt>
                <c:pt idx="23">
                  <c:v>0.21996608524708669</c:v>
                </c:pt>
                <c:pt idx="24">
                  <c:v>0.11293459089052801</c:v>
                </c:pt>
                <c:pt idx="25">
                  <c:v>0.64058288376744654</c:v>
                </c:pt>
                <c:pt idx="26">
                  <c:v>0.36070795423652724</c:v>
                </c:pt>
                <c:pt idx="27">
                  <c:v>1.3258054803455355</c:v>
                </c:pt>
                <c:pt idx="28">
                  <c:v>0.17165635251012681</c:v>
                </c:pt>
                <c:pt idx="29">
                  <c:v>1.3936507453860085</c:v>
                </c:pt>
                <c:pt idx="30">
                  <c:v>0.80785821966177052</c:v>
                </c:pt>
                <c:pt idx="31">
                  <c:v>0.35123165585099386</c:v>
                </c:pt>
                <c:pt idx="32">
                  <c:v>0.76321862326696055</c:v>
                </c:pt>
                <c:pt idx="33">
                  <c:v>2.2897244812600692</c:v>
                </c:pt>
                <c:pt idx="34">
                  <c:v>0.86829386490617144</c:v>
                </c:pt>
                <c:pt idx="35">
                  <c:v>0.63634963213790996</c:v>
                </c:pt>
                <c:pt idx="36">
                  <c:v>0.12787003834052249</c:v>
                </c:pt>
                <c:pt idx="37">
                  <c:v>1.197843402352583</c:v>
                </c:pt>
                <c:pt idx="38">
                  <c:v>0.86441125428787713</c:v>
                </c:pt>
                <c:pt idx="39">
                  <c:v>0.47910252516767304</c:v>
                </c:pt>
                <c:pt idx="40">
                  <c:v>2.6404934975237917</c:v>
                </c:pt>
                <c:pt idx="41">
                  <c:v>0.9378572428202574</c:v>
                </c:pt>
                <c:pt idx="42">
                  <c:v>0.31228597721638918</c:v>
                </c:pt>
                <c:pt idx="43">
                  <c:v>0.91626237953445444</c:v>
                </c:pt>
                <c:pt idx="44">
                  <c:v>0.14160868774492838</c:v>
                </c:pt>
                <c:pt idx="45">
                  <c:v>0.34791485241528985</c:v>
                </c:pt>
                <c:pt idx="46">
                  <c:v>7.2703309010228506E-2</c:v>
                </c:pt>
                <c:pt idx="47">
                  <c:v>0.4037535318701837</c:v>
                </c:pt>
                <c:pt idx="48">
                  <c:v>0.62140050261861857</c:v>
                </c:pt>
                <c:pt idx="49">
                  <c:v>0.60905633817317062</c:v>
                </c:pt>
                <c:pt idx="50">
                  <c:v>1.6934014676113189</c:v>
                </c:pt>
                <c:pt idx="51">
                  <c:v>0.37547616389389177</c:v>
                </c:pt>
                <c:pt idx="52">
                  <c:v>0.32194225334383109</c:v>
                </c:pt>
                <c:pt idx="53">
                  <c:v>1.0868966694776212</c:v>
                </c:pt>
                <c:pt idx="54">
                  <c:v>0.69582488987391788</c:v>
                </c:pt>
                <c:pt idx="55">
                  <c:v>1.2378783821905628</c:v>
                </c:pt>
                <c:pt idx="56">
                  <c:v>0.28866884864298048</c:v>
                </c:pt>
                <c:pt idx="57">
                  <c:v>0.47328763473109497</c:v>
                </c:pt>
                <c:pt idx="58">
                  <c:v>0.30163880109771296</c:v>
                </c:pt>
                <c:pt idx="59">
                  <c:v>0.75884812979998806</c:v>
                </c:pt>
                <c:pt idx="60">
                  <c:v>5.3430174293789476E-2</c:v>
                </c:pt>
                <c:pt idx="61">
                  <c:v>0.40054879126425746</c:v>
                </c:pt>
                <c:pt idx="62">
                  <c:v>0.39432932948646132</c:v>
                </c:pt>
                <c:pt idx="63">
                  <c:v>1.2870131849460766</c:v>
                </c:pt>
                <c:pt idx="64">
                  <c:v>0.98656156676283246</c:v>
                </c:pt>
                <c:pt idx="65">
                  <c:v>1.0230718082711474</c:v>
                </c:pt>
                <c:pt idx="66">
                  <c:v>0.8870983449966674</c:v>
                </c:pt>
                <c:pt idx="67">
                  <c:v>0.8779644759195121</c:v>
                </c:pt>
                <c:pt idx="68">
                  <c:v>9.8570581165701859E-2</c:v>
                </c:pt>
                <c:pt idx="69">
                  <c:v>0.81051392038667258</c:v>
                </c:pt>
                <c:pt idx="70">
                  <c:v>1.0250541487711167</c:v>
                </c:pt>
                <c:pt idx="71">
                  <c:v>0.15259002771529417</c:v>
                </c:pt>
                <c:pt idx="72">
                  <c:v>0.27429944594140188</c:v>
                </c:pt>
                <c:pt idx="73">
                  <c:v>0.95828851319754937</c:v>
                </c:pt>
                <c:pt idx="74">
                  <c:v>0.52652818648223876</c:v>
                </c:pt>
                <c:pt idx="75">
                  <c:v>2.4851134243371922</c:v>
                </c:pt>
                <c:pt idx="76">
                  <c:v>0.2101898311021925</c:v>
                </c:pt>
                <c:pt idx="77">
                  <c:v>0.71669253965020752</c:v>
                </c:pt>
                <c:pt idx="78">
                  <c:v>0.46408287681171162</c:v>
                </c:pt>
                <c:pt idx="79">
                  <c:v>1.2229128001501937</c:v>
                </c:pt>
                <c:pt idx="80">
                  <c:v>0.58065627152920951</c:v>
                </c:pt>
                <c:pt idx="81">
                  <c:v>0.44606214735127403</c:v>
                </c:pt>
                <c:pt idx="82">
                  <c:v>1.0836199428798325</c:v>
                </c:pt>
                <c:pt idx="83">
                  <c:v>0.10520868816487135</c:v>
                </c:pt>
                <c:pt idx="84">
                  <c:v>0.53467375791515392</c:v>
                </c:pt>
                <c:pt idx="85">
                  <c:v>1.0557334637376568</c:v>
                </c:pt>
                <c:pt idx="86">
                  <c:v>0.73280267567180313</c:v>
                </c:pt>
                <c:pt idx="87">
                  <c:v>3.0603963874715041</c:v>
                </c:pt>
                <c:pt idx="88">
                  <c:v>0.74369057989450005</c:v>
                </c:pt>
                <c:pt idx="89">
                  <c:v>1.0613328240722653</c:v>
                </c:pt>
                <c:pt idx="90">
                  <c:v>7.330516898238261E-2</c:v>
                </c:pt>
                <c:pt idx="91">
                  <c:v>0.38544413046054304</c:v>
                </c:pt>
                <c:pt idx="92">
                  <c:v>0.78373266802086849</c:v>
                </c:pt>
                <c:pt idx="93">
                  <c:v>0.17970338765514199</c:v>
                </c:pt>
                <c:pt idx="94">
                  <c:v>0.51458010341454852</c:v>
                </c:pt>
                <c:pt idx="95">
                  <c:v>0.9638606786923466</c:v>
                </c:pt>
                <c:pt idx="96">
                  <c:v>0.2624019153308822</c:v>
                </c:pt>
                <c:pt idx="97">
                  <c:v>1.2871003181626519</c:v>
                </c:pt>
                <c:pt idx="98">
                  <c:v>0.29640020799985412</c:v>
                </c:pt>
                <c:pt idx="99">
                  <c:v>0.71473541792873574</c:v>
                </c:pt>
              </c:numCache>
            </c:numRef>
          </c:yVal>
          <c:smooth val="0"/>
          <c:extLst>
            <c:ext xmlns:c16="http://schemas.microsoft.com/office/drawing/2014/chart" uri="{C3380CC4-5D6E-409C-BE32-E72D297353CC}">
              <c16:uniqueId val="{00000003-0876-4603-830B-53D8B4CCAE01}"/>
            </c:ext>
          </c:extLst>
        </c:ser>
        <c:dLbls>
          <c:showLegendKey val="0"/>
          <c:showVal val="0"/>
          <c:showCatName val="0"/>
          <c:showSerName val="0"/>
          <c:showPercent val="0"/>
          <c:showBubbleSize val="0"/>
        </c:dLbls>
        <c:axId val="1189405552"/>
        <c:axId val="1292772720"/>
      </c:scatterChart>
      <c:valAx>
        <c:axId val="1189405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2772720"/>
        <c:crosses val="autoZero"/>
        <c:crossBetween val="midCat"/>
        <c:majorUnit val="0.1"/>
      </c:valAx>
      <c:valAx>
        <c:axId val="1292772720"/>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Weather-related</a:t>
                </a:r>
                <a:r>
                  <a:rPr lang="en-US" sz="1400" b="1" baseline="0"/>
                  <a:t> % of Output </a:t>
                </a:r>
                <a:r>
                  <a:rPr lang="en-US" sz="1400" b="1"/>
                  <a:t>Variability</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89405552"/>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America's</a:t>
            </a:r>
            <a:r>
              <a:rPr lang="en-US" sz="1800" b="1" baseline="0"/>
              <a:t> Top 100 PV Systems (the 100 longest-running, avg 14+ years)</a:t>
            </a:r>
          </a:p>
          <a:p>
            <a:pPr>
              <a:defRPr sz="1800" b="1"/>
            </a:pPr>
            <a:r>
              <a:rPr lang="en-US" sz="1800" b="1" baseline="0"/>
              <a:t>Annual output variabilities as </a:t>
            </a:r>
            <a:r>
              <a:rPr lang="en-US" sz="1800" b="1" i="1" baseline="0"/>
              <a:t>f</a:t>
            </a:r>
            <a:r>
              <a:rPr lang="en-US" sz="1800" b="1" baseline="0"/>
              <a:t>(PI) for initial 7 yrs and full lifetime</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Lifetime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6847151628982159"/>
                  <c:y val="-0.3674804250590461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PlantData!$CB$7:$CB$106</c:f>
              <c:numCache>
                <c:formatCode>0.00</c:formatCode>
                <c:ptCount val="100"/>
                <c:pt idx="0">
                  <c:v>0.4223254391495242</c:v>
                </c:pt>
                <c:pt idx="1">
                  <c:v>0.8883293062644867</c:v>
                </c:pt>
                <c:pt idx="2">
                  <c:v>0.77666786901755636</c:v>
                </c:pt>
                <c:pt idx="3">
                  <c:v>0.98161033978231671</c:v>
                </c:pt>
                <c:pt idx="4">
                  <c:v>0.62716432381056253</c:v>
                </c:pt>
                <c:pt idx="5">
                  <c:v>0.91959539690607461</c:v>
                </c:pt>
                <c:pt idx="6">
                  <c:v>0.88031106349258481</c:v>
                </c:pt>
                <c:pt idx="7">
                  <c:v>0.82211896532774376</c:v>
                </c:pt>
                <c:pt idx="8">
                  <c:v>0.69289177196237006</c:v>
                </c:pt>
                <c:pt idx="9">
                  <c:v>0.47000013773752236</c:v>
                </c:pt>
                <c:pt idx="10">
                  <c:v>0.91231903506818879</c:v>
                </c:pt>
                <c:pt idx="11">
                  <c:v>0.7603580474705659</c:v>
                </c:pt>
                <c:pt idx="12">
                  <c:v>0.69471804757805666</c:v>
                </c:pt>
                <c:pt idx="13">
                  <c:v>0.86619296642192156</c:v>
                </c:pt>
                <c:pt idx="14">
                  <c:v>0.80509783098090337</c:v>
                </c:pt>
                <c:pt idx="15">
                  <c:v>0.87247347249856833</c:v>
                </c:pt>
                <c:pt idx="16">
                  <c:v>0.70489791257871792</c:v>
                </c:pt>
                <c:pt idx="17">
                  <c:v>0.98718593254235454</c:v>
                </c:pt>
                <c:pt idx="18">
                  <c:v>0.83455224708120468</c:v>
                </c:pt>
                <c:pt idx="19">
                  <c:v>1.0034820611743425</c:v>
                </c:pt>
                <c:pt idx="20">
                  <c:v>0.97945964878553882</c:v>
                </c:pt>
                <c:pt idx="21">
                  <c:v>0.80554561998610741</c:v>
                </c:pt>
                <c:pt idx="22">
                  <c:v>0.78728983102034367</c:v>
                </c:pt>
                <c:pt idx="23">
                  <c:v>0.82334171999690065</c:v>
                </c:pt>
                <c:pt idx="24">
                  <c:v>0.62537989993170884</c:v>
                </c:pt>
                <c:pt idx="25">
                  <c:v>0.85801874031390035</c:v>
                </c:pt>
                <c:pt idx="26">
                  <c:v>0.89438225168448626</c:v>
                </c:pt>
                <c:pt idx="27">
                  <c:v>0.94175918744763809</c:v>
                </c:pt>
                <c:pt idx="28">
                  <c:v>0.42964816540808276</c:v>
                </c:pt>
                <c:pt idx="29">
                  <c:v>0.84764030541524016</c:v>
                </c:pt>
                <c:pt idx="30">
                  <c:v>0.79559419125408937</c:v>
                </c:pt>
                <c:pt idx="31">
                  <c:v>0.76841211249920605</c:v>
                </c:pt>
                <c:pt idx="32">
                  <c:v>0.973617858036258</c:v>
                </c:pt>
                <c:pt idx="33">
                  <c:v>0.76406259370075247</c:v>
                </c:pt>
                <c:pt idx="34">
                  <c:v>0.82101680962123635</c:v>
                </c:pt>
                <c:pt idx="35">
                  <c:v>0.96372354744028332</c:v>
                </c:pt>
                <c:pt idx="36">
                  <c:v>0.58525823520585085</c:v>
                </c:pt>
                <c:pt idx="37">
                  <c:v>0.73474233126129429</c:v>
                </c:pt>
                <c:pt idx="38">
                  <c:v>0.61282953156478992</c:v>
                </c:pt>
                <c:pt idx="39">
                  <c:v>0.88629814450810263</c:v>
                </c:pt>
                <c:pt idx="40">
                  <c:v>0.93096529348537627</c:v>
                </c:pt>
                <c:pt idx="41">
                  <c:v>0.85602638378363893</c:v>
                </c:pt>
                <c:pt idx="42">
                  <c:v>0.78821256226159175</c:v>
                </c:pt>
                <c:pt idx="43">
                  <c:v>0.93830633455926238</c:v>
                </c:pt>
                <c:pt idx="44">
                  <c:v>0.70547949042681068</c:v>
                </c:pt>
                <c:pt idx="45">
                  <c:v>0.77132115984055394</c:v>
                </c:pt>
                <c:pt idx="46">
                  <c:v>0.74443141109319233</c:v>
                </c:pt>
                <c:pt idx="47">
                  <c:v>0.7577291341019049</c:v>
                </c:pt>
                <c:pt idx="48">
                  <c:v>0.86925867059040318</c:v>
                </c:pt>
                <c:pt idx="49">
                  <c:v>1.0256170186128266</c:v>
                </c:pt>
                <c:pt idx="50">
                  <c:v>1.0180195189881553</c:v>
                </c:pt>
                <c:pt idx="51">
                  <c:v>0.7237096988614492</c:v>
                </c:pt>
                <c:pt idx="52">
                  <c:v>0.86336455517906363</c:v>
                </c:pt>
                <c:pt idx="53">
                  <c:v>0.90474702116995132</c:v>
                </c:pt>
                <c:pt idx="54">
                  <c:v>1.0451530490491237</c:v>
                </c:pt>
                <c:pt idx="55">
                  <c:v>0.99899855886389732</c:v>
                </c:pt>
                <c:pt idx="56">
                  <c:v>0.91992304657942037</c:v>
                </c:pt>
                <c:pt idx="57">
                  <c:v>0.74562835349594958</c:v>
                </c:pt>
                <c:pt idx="58">
                  <c:v>0.6662853690633892</c:v>
                </c:pt>
                <c:pt idx="59">
                  <c:v>0.86481595248123344</c:v>
                </c:pt>
                <c:pt idx="60">
                  <c:v>0.34604067474432193</c:v>
                </c:pt>
                <c:pt idx="61">
                  <c:v>0.95638389421698122</c:v>
                </c:pt>
                <c:pt idx="62">
                  <c:v>0.80195143430654292</c:v>
                </c:pt>
                <c:pt idx="63">
                  <c:v>0.90564218391443563</c:v>
                </c:pt>
                <c:pt idx="64">
                  <c:v>0.6844742218646962</c:v>
                </c:pt>
                <c:pt idx="65">
                  <c:v>0.96323329069185337</c:v>
                </c:pt>
                <c:pt idx="66">
                  <c:v>0.96270191741735811</c:v>
                </c:pt>
                <c:pt idx="67">
                  <c:v>0.97629315081514711</c:v>
                </c:pt>
                <c:pt idx="68">
                  <c:v>0.90697071291573272</c:v>
                </c:pt>
                <c:pt idx="69">
                  <c:v>0.85206841675290124</c:v>
                </c:pt>
                <c:pt idx="70">
                  <c:v>0.91182231159603933</c:v>
                </c:pt>
                <c:pt idx="71">
                  <c:v>0.62975594795750789</c:v>
                </c:pt>
                <c:pt idx="72">
                  <c:v>0.90213180588160924</c:v>
                </c:pt>
                <c:pt idx="73">
                  <c:v>0.90331368903344955</c:v>
                </c:pt>
                <c:pt idx="74">
                  <c:v>1.0000961133344008</c:v>
                </c:pt>
                <c:pt idx="75">
                  <c:v>0.74665953776972915</c:v>
                </c:pt>
                <c:pt idx="76">
                  <c:v>0.85563375268615716</c:v>
                </c:pt>
                <c:pt idx="77">
                  <c:v>0.9388334517476713</c:v>
                </c:pt>
                <c:pt idx="78">
                  <c:v>0.71664216108131984</c:v>
                </c:pt>
                <c:pt idx="79">
                  <c:v>1.0352364170030122</c:v>
                </c:pt>
                <c:pt idx="80">
                  <c:v>0.92075554920315983</c:v>
                </c:pt>
                <c:pt idx="81">
                  <c:v>0.92088219907058377</c:v>
                </c:pt>
                <c:pt idx="82">
                  <c:v>0.9857428960508694</c:v>
                </c:pt>
                <c:pt idx="83">
                  <c:v>0.88073238276924048</c:v>
                </c:pt>
                <c:pt idx="84">
                  <c:v>0.68815063860010051</c:v>
                </c:pt>
                <c:pt idx="85">
                  <c:v>0.91253477593530907</c:v>
                </c:pt>
                <c:pt idx="86">
                  <c:v>0.93149549119118624</c:v>
                </c:pt>
                <c:pt idx="87">
                  <c:v>1.0049579563391708</c:v>
                </c:pt>
                <c:pt idx="88">
                  <c:v>0.88038083996444283</c:v>
                </c:pt>
                <c:pt idx="89">
                  <c:v>1.030229181055579</c:v>
                </c:pt>
                <c:pt idx="90">
                  <c:v>0.7219997211877226</c:v>
                </c:pt>
                <c:pt idx="91">
                  <c:v>0.82322810520926371</c:v>
                </c:pt>
                <c:pt idx="92">
                  <c:v>0.96797685535191047</c:v>
                </c:pt>
                <c:pt idx="93">
                  <c:v>1.0255334217624725</c:v>
                </c:pt>
                <c:pt idx="94">
                  <c:v>0.81368716748018988</c:v>
                </c:pt>
                <c:pt idx="95">
                  <c:v>0.89386228323894068</c:v>
                </c:pt>
                <c:pt idx="96">
                  <c:v>0.77952977414962443</c:v>
                </c:pt>
                <c:pt idx="97">
                  <c:v>0.98354338658030449</c:v>
                </c:pt>
                <c:pt idx="98">
                  <c:v>0.96928221524482927</c:v>
                </c:pt>
                <c:pt idx="99">
                  <c:v>0.86769769353721438</c:v>
                </c:pt>
              </c:numCache>
            </c:numRef>
          </c:xVal>
          <c:yVal>
            <c:numRef>
              <c:f>PlantData!$FQ$7:$FQ$106</c:f>
              <c:numCache>
                <c:formatCode>0%</c:formatCode>
                <c:ptCount val="100"/>
                <c:pt idx="0">
                  <c:v>0.46585894372868547</c:v>
                </c:pt>
                <c:pt idx="1">
                  <c:v>8.9987082653886261E-2</c:v>
                </c:pt>
                <c:pt idx="2">
                  <c:v>0.42519787777128376</c:v>
                </c:pt>
                <c:pt idx="3">
                  <c:v>6.7941766310850082E-2</c:v>
                </c:pt>
                <c:pt idx="4">
                  <c:v>0.28299534521512149</c:v>
                </c:pt>
                <c:pt idx="5">
                  <c:v>5.2031968433972849E-2</c:v>
                </c:pt>
                <c:pt idx="6">
                  <c:v>0.17547524330307565</c:v>
                </c:pt>
                <c:pt idx="7">
                  <c:v>0.29833597402030432</c:v>
                </c:pt>
                <c:pt idx="8">
                  <c:v>0.22817431262783863</c:v>
                </c:pt>
                <c:pt idx="9">
                  <c:v>0.22354734182136832</c:v>
                </c:pt>
                <c:pt idx="10">
                  <c:v>0.21695648965767103</c:v>
                </c:pt>
                <c:pt idx="11">
                  <c:v>0.20580335995063936</c:v>
                </c:pt>
                <c:pt idx="12">
                  <c:v>0.18808027336714181</c:v>
                </c:pt>
                <c:pt idx="13">
                  <c:v>2.3627310093187873E-2</c:v>
                </c:pt>
                <c:pt idx="14">
                  <c:v>0.15265113901164512</c:v>
                </c:pt>
                <c:pt idx="15">
                  <c:v>0.18325169107633887</c:v>
                </c:pt>
                <c:pt idx="16">
                  <c:v>0.31112831149226439</c:v>
                </c:pt>
                <c:pt idx="17">
                  <c:v>7.9187766415865932E-2</c:v>
                </c:pt>
                <c:pt idx="18">
                  <c:v>0.20389677162345271</c:v>
                </c:pt>
                <c:pt idx="19">
                  <c:v>4.0266839412135103E-2</c:v>
                </c:pt>
                <c:pt idx="20">
                  <c:v>2.867938154600657E-2</c:v>
                </c:pt>
                <c:pt idx="21">
                  <c:v>9.5473256928214151E-2</c:v>
                </c:pt>
                <c:pt idx="22">
                  <c:v>0.40144756061174786</c:v>
                </c:pt>
                <c:pt idx="23">
                  <c:v>0.18299902443533245</c:v>
                </c:pt>
                <c:pt idx="24">
                  <c:v>0.23265577105760013</c:v>
                </c:pt>
                <c:pt idx="25">
                  <c:v>6.1875127029762167E-2</c:v>
                </c:pt>
                <c:pt idx="26">
                  <c:v>0.12366219964144039</c:v>
                </c:pt>
                <c:pt idx="27">
                  <c:v>1.7358781121541794E-2</c:v>
                </c:pt>
                <c:pt idx="28">
                  <c:v>0.36053569149362302</c:v>
                </c:pt>
                <c:pt idx="29">
                  <c:v>0.1303656434802318</c:v>
                </c:pt>
                <c:pt idx="30">
                  <c:v>0.20827450492857971</c:v>
                </c:pt>
                <c:pt idx="31">
                  <c:v>0.19850187098766167</c:v>
                </c:pt>
                <c:pt idx="32">
                  <c:v>0.14216133864595362</c:v>
                </c:pt>
                <c:pt idx="33">
                  <c:v>0.1336121797238618</c:v>
                </c:pt>
                <c:pt idx="34">
                  <c:v>0.15669957795301132</c:v>
                </c:pt>
                <c:pt idx="35">
                  <c:v>7.7516802874618554E-2</c:v>
                </c:pt>
                <c:pt idx="36">
                  <c:v>0.287083057530089</c:v>
                </c:pt>
                <c:pt idx="37">
                  <c:v>0.19830048272048423</c:v>
                </c:pt>
                <c:pt idx="38">
                  <c:v>0.1998957777026048</c:v>
                </c:pt>
                <c:pt idx="39">
                  <c:v>4.7163052781303713E-2</c:v>
                </c:pt>
                <c:pt idx="40">
                  <c:v>1.4734319620817189E-2</c:v>
                </c:pt>
                <c:pt idx="41">
                  <c:v>0.14162244070203645</c:v>
                </c:pt>
                <c:pt idx="42">
                  <c:v>0.25877071517492972</c:v>
                </c:pt>
                <c:pt idx="43">
                  <c:v>5.1958633470531333E-2</c:v>
                </c:pt>
                <c:pt idx="44">
                  <c:v>0.16278452462340798</c:v>
                </c:pt>
                <c:pt idx="45">
                  <c:v>9.2119682975208297E-2</c:v>
                </c:pt>
                <c:pt idx="46">
                  <c:v>0.267494664202715</c:v>
                </c:pt>
                <c:pt idx="47">
                  <c:v>7.3305004553583034E-2</c:v>
                </c:pt>
                <c:pt idx="48">
                  <c:v>0.20015340023296488</c:v>
                </c:pt>
                <c:pt idx="49">
                  <c:v>3.4625996327745011E-2</c:v>
                </c:pt>
                <c:pt idx="50">
                  <c:v>1.984356902453336E-2</c:v>
                </c:pt>
                <c:pt idx="51">
                  <c:v>0.12482295558343184</c:v>
                </c:pt>
                <c:pt idx="52">
                  <c:v>8.7480241048313145E-2</c:v>
                </c:pt>
                <c:pt idx="53">
                  <c:v>5.9252681087261214E-2</c:v>
                </c:pt>
                <c:pt idx="54">
                  <c:v>5.5644682099417635E-2</c:v>
                </c:pt>
                <c:pt idx="55">
                  <c:v>2.7013425691157347E-2</c:v>
                </c:pt>
                <c:pt idx="56">
                  <c:v>0.10440218201288061</c:v>
                </c:pt>
                <c:pt idx="57">
                  <c:v>0.254173997530805</c:v>
                </c:pt>
                <c:pt idx="58">
                  <c:v>0.24693332352609274</c:v>
                </c:pt>
                <c:pt idx="59">
                  <c:v>5.4137124170499956E-2</c:v>
                </c:pt>
                <c:pt idx="60">
                  <c:v>0.62071649904420056</c:v>
                </c:pt>
                <c:pt idx="61">
                  <c:v>8.9387012741142635E-2</c:v>
                </c:pt>
                <c:pt idx="62">
                  <c:v>8.7620112963460228E-2</c:v>
                </c:pt>
                <c:pt idx="63">
                  <c:v>9.1792433088497993E-2</c:v>
                </c:pt>
                <c:pt idx="64">
                  <c:v>0.11002238952506868</c:v>
                </c:pt>
                <c:pt idx="65">
                  <c:v>6.8776687444174894E-2</c:v>
                </c:pt>
                <c:pt idx="66">
                  <c:v>6.8179403623275819E-2</c:v>
                </c:pt>
                <c:pt idx="67">
                  <c:v>7.3758638997599504E-2</c:v>
                </c:pt>
                <c:pt idx="68">
                  <c:v>0.16222046121428207</c:v>
                </c:pt>
                <c:pt idx="69">
                  <c:v>5.4263275531647774E-2</c:v>
                </c:pt>
                <c:pt idx="70">
                  <c:v>7.0659394654338362E-2</c:v>
                </c:pt>
                <c:pt idx="71">
                  <c:v>0.28192887310025644</c:v>
                </c:pt>
                <c:pt idx="72">
                  <c:v>0.13684430170414477</c:v>
                </c:pt>
                <c:pt idx="73">
                  <c:v>5.0602640656698089E-2</c:v>
                </c:pt>
                <c:pt idx="74">
                  <c:v>8.7196699591747431E-2</c:v>
                </c:pt>
                <c:pt idx="75">
                  <c:v>0.10791461140674943</c:v>
                </c:pt>
                <c:pt idx="76">
                  <c:v>0.20414482130925765</c:v>
                </c:pt>
                <c:pt idx="77">
                  <c:v>4.2162274057718399E-2</c:v>
                </c:pt>
                <c:pt idx="78">
                  <c:v>0.23594481380686522</c:v>
                </c:pt>
                <c:pt idx="79">
                  <c:v>2.9146547166314245E-2</c:v>
                </c:pt>
                <c:pt idx="80">
                  <c:v>6.109351777369304E-2</c:v>
                </c:pt>
                <c:pt idx="81">
                  <c:v>6.5620005736297601E-2</c:v>
                </c:pt>
                <c:pt idx="82">
                  <c:v>1.9842384409108012E-2</c:v>
                </c:pt>
                <c:pt idx="83">
                  <c:v>0.22711904599053129</c:v>
                </c:pt>
                <c:pt idx="84">
                  <c:v>0.12003174090313963</c:v>
                </c:pt>
                <c:pt idx="85">
                  <c:v>3.7272476787945402E-2</c:v>
                </c:pt>
                <c:pt idx="86" formatCode="0.0%">
                  <c:v>5.1400673699637071E-2</c:v>
                </c:pt>
                <c:pt idx="87">
                  <c:v>5.419442467603669E-2</c:v>
                </c:pt>
                <c:pt idx="88" formatCode="0.0%">
                  <c:v>4.8286042368105075E-2</c:v>
                </c:pt>
                <c:pt idx="89">
                  <c:v>3.6594329139763002E-2</c:v>
                </c:pt>
                <c:pt idx="90">
                  <c:v>0.3171541142757428</c:v>
                </c:pt>
                <c:pt idx="91">
                  <c:v>0.36402629646324769</c:v>
                </c:pt>
                <c:pt idx="92">
                  <c:v>5.7083671147200254E-2</c:v>
                </c:pt>
                <c:pt idx="93">
                  <c:v>0.10756823203845561</c:v>
                </c:pt>
                <c:pt idx="94">
                  <c:v>5.4289745444175593E-2</c:v>
                </c:pt>
                <c:pt idx="95">
                  <c:v>4.2306254764492707E-2</c:v>
                </c:pt>
                <c:pt idx="96">
                  <c:v>0.10406842972276527</c:v>
                </c:pt>
                <c:pt idx="97">
                  <c:v>4.5896517942904259E-2</c:v>
                </c:pt>
                <c:pt idx="98">
                  <c:v>7.7224372448883263E-2</c:v>
                </c:pt>
                <c:pt idx="99">
                  <c:v>5.2443859576607813E-2</c:v>
                </c:pt>
              </c:numCache>
            </c:numRef>
          </c:yVal>
          <c:smooth val="0"/>
          <c:extLst>
            <c:ext xmlns:c16="http://schemas.microsoft.com/office/drawing/2014/chart" uri="{C3380CC4-5D6E-409C-BE32-E72D297353CC}">
              <c16:uniqueId val="{00000000-FF08-44AF-96CC-C2228B2D411C}"/>
            </c:ext>
          </c:extLst>
        </c:ser>
        <c:ser>
          <c:idx val="1"/>
          <c:order val="1"/>
          <c:tx>
            <c:v>1st 7 years</c:v>
          </c:tx>
          <c:spPr>
            <a:ln w="25400" cap="rnd">
              <a:noFill/>
              <a:round/>
            </a:ln>
            <a:effectLst/>
          </c:spPr>
          <c:marker>
            <c:symbol val="circle"/>
            <c:size val="5"/>
            <c:spPr>
              <a:no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0.24009454597991764"/>
                  <c:y val="-0.3169115289597317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PlantData!$EB$7:$EB$106</c:f>
              <c:numCache>
                <c:formatCode>0.00</c:formatCode>
                <c:ptCount val="100"/>
                <c:pt idx="0">
                  <c:v>0.56851708568871795</c:v>
                </c:pt>
                <c:pt idx="1">
                  <c:v>1.0107724775877311</c:v>
                </c:pt>
                <c:pt idx="2">
                  <c:v>0.86570053296958449</c:v>
                </c:pt>
                <c:pt idx="3">
                  <c:v>0.97166868486001357</c:v>
                </c:pt>
                <c:pt idx="4">
                  <c:v>0.80931959967531575</c:v>
                </c:pt>
                <c:pt idx="5">
                  <c:v>0.92725191272090157</c:v>
                </c:pt>
                <c:pt idx="6">
                  <c:v>0.91620554355528239</c:v>
                </c:pt>
                <c:pt idx="7">
                  <c:v>0.76699884973983434</c:v>
                </c:pt>
                <c:pt idx="8">
                  <c:v>0.83150207918959695</c:v>
                </c:pt>
                <c:pt idx="9">
                  <c:v>0.64119090237038734</c:v>
                </c:pt>
                <c:pt idx="10">
                  <c:v>0.93855869104496215</c:v>
                </c:pt>
                <c:pt idx="11">
                  <c:v>0.81595547155658887</c:v>
                </c:pt>
                <c:pt idx="12">
                  <c:v>0.7944404876754263</c:v>
                </c:pt>
                <c:pt idx="13">
                  <c:v>0.89514964970305311</c:v>
                </c:pt>
                <c:pt idx="14">
                  <c:v>0.8541734388204415</c:v>
                </c:pt>
                <c:pt idx="15">
                  <c:v>1.0282994015601952</c:v>
                </c:pt>
                <c:pt idx="16">
                  <c:v>0.68527681325271939</c:v>
                </c:pt>
                <c:pt idx="17">
                  <c:v>1.0060490087511476</c:v>
                </c:pt>
                <c:pt idx="18">
                  <c:v>0.91837406341065808</c:v>
                </c:pt>
                <c:pt idx="19">
                  <c:v>1.0990750602302657</c:v>
                </c:pt>
                <c:pt idx="20">
                  <c:v>0.99802368864270752</c:v>
                </c:pt>
                <c:pt idx="21">
                  <c:v>0.85235898110007213</c:v>
                </c:pt>
                <c:pt idx="22">
                  <c:v>0.95596033384959567</c:v>
                </c:pt>
                <c:pt idx="23">
                  <c:v>0.93972672787108391</c:v>
                </c:pt>
                <c:pt idx="24">
                  <c:v>0.70347956038259984</c:v>
                </c:pt>
                <c:pt idx="25">
                  <c:v>0.90448528686718987</c:v>
                </c:pt>
                <c:pt idx="26">
                  <c:v>0.95981374475155001</c:v>
                </c:pt>
                <c:pt idx="27">
                  <c:v>0.98599309576541649</c:v>
                </c:pt>
                <c:pt idx="28">
                  <c:v>0.56160320900082894</c:v>
                </c:pt>
                <c:pt idx="29">
                  <c:v>0.97057866831494799</c:v>
                </c:pt>
                <c:pt idx="30">
                  <c:v>0.92278528390438863</c:v>
                </c:pt>
                <c:pt idx="31">
                  <c:v>0.92866628717477617</c:v>
                </c:pt>
                <c:pt idx="32">
                  <c:v>0.96416855506568466</c:v>
                </c:pt>
                <c:pt idx="33">
                  <c:v>0.94715657560250544</c:v>
                </c:pt>
                <c:pt idx="34">
                  <c:v>0.95553821381164306</c:v>
                </c:pt>
                <c:pt idx="35">
                  <c:v>1.0440374430785149</c:v>
                </c:pt>
                <c:pt idx="36">
                  <c:v>0.6124789474619371</c:v>
                </c:pt>
                <c:pt idx="37">
                  <c:v>0.93170881133279626</c:v>
                </c:pt>
                <c:pt idx="38">
                  <c:v>0.70432209767174636</c:v>
                </c:pt>
                <c:pt idx="39">
                  <c:v>0.94516121254911156</c:v>
                </c:pt>
                <c:pt idx="40">
                  <c:v>0.94492726141041383</c:v>
                </c:pt>
                <c:pt idx="41">
                  <c:v>0.99179467323066339</c:v>
                </c:pt>
                <c:pt idx="42">
                  <c:v>0.83720324598590745</c:v>
                </c:pt>
                <c:pt idx="43">
                  <c:v>0.96399003735735411</c:v>
                </c:pt>
                <c:pt idx="44">
                  <c:v>0.73792398816799987</c:v>
                </c:pt>
                <c:pt idx="45">
                  <c:v>0.8812164004388493</c:v>
                </c:pt>
                <c:pt idx="46">
                  <c:v>0.76760969653578959</c:v>
                </c:pt>
                <c:pt idx="47">
                  <c:v>0.94218950075248842</c:v>
                </c:pt>
                <c:pt idx="48">
                  <c:v>0.97527036693322988</c:v>
                </c:pt>
                <c:pt idx="49">
                  <c:v>1.0395810415840241</c:v>
                </c:pt>
                <c:pt idx="50">
                  <c:v>1.0198732144565279</c:v>
                </c:pt>
                <c:pt idx="51">
                  <c:v>0.90832959170427674</c:v>
                </c:pt>
                <c:pt idx="52">
                  <c:v>0.87502393022770553</c:v>
                </c:pt>
                <c:pt idx="53">
                  <c:v>1.004323289858716</c:v>
                </c:pt>
                <c:pt idx="54">
                  <c:v>1.0789825279131464</c:v>
                </c:pt>
                <c:pt idx="55">
                  <c:v>1.0064454102286391</c:v>
                </c:pt>
                <c:pt idx="56">
                  <c:v>0.90439169895144189</c:v>
                </c:pt>
                <c:pt idx="57">
                  <c:v>0.82425261599790101</c:v>
                </c:pt>
                <c:pt idx="58">
                  <c:v>0.86106476977359947</c:v>
                </c:pt>
                <c:pt idx="59">
                  <c:v>0.85788323825218171</c:v>
                </c:pt>
                <c:pt idx="60">
                  <c:v>0.58725746945327306</c:v>
                </c:pt>
                <c:pt idx="61">
                  <c:v>1.0089282830271644</c:v>
                </c:pt>
                <c:pt idx="62">
                  <c:v>0.88481005074214092</c:v>
                </c:pt>
                <c:pt idx="63">
                  <c:v>1.0093910805484663</c:v>
                </c:pt>
                <c:pt idx="64">
                  <c:v>0.87575248198479394</c:v>
                </c:pt>
                <c:pt idx="65">
                  <c:v>1.0486296544783484</c:v>
                </c:pt>
                <c:pt idx="66">
                  <c:v>0.96015699906993746</c:v>
                </c:pt>
                <c:pt idx="67">
                  <c:v>1.0570404918361203</c:v>
                </c:pt>
                <c:pt idx="68">
                  <c:v>0.86947852311680529</c:v>
                </c:pt>
                <c:pt idx="69">
                  <c:v>0.91730673548918706</c:v>
                </c:pt>
                <c:pt idx="70">
                  <c:v>0.91151769938688354</c:v>
                </c:pt>
                <c:pt idx="71">
                  <c:v>0.78779914602743595</c:v>
                </c:pt>
                <c:pt idx="72">
                  <c:v>0.89217734775336266</c:v>
                </c:pt>
                <c:pt idx="73">
                  <c:v>0.97497551108151526</c:v>
                </c:pt>
                <c:pt idx="74">
                  <c:v>1.0074858046053703</c:v>
                </c:pt>
                <c:pt idx="75">
                  <c:v>0.9949130920634377</c:v>
                </c:pt>
                <c:pt idx="76">
                  <c:v>0.92483352176554068</c:v>
                </c:pt>
                <c:pt idx="77">
                  <c:v>0.92412485782014075</c:v>
                </c:pt>
                <c:pt idx="78">
                  <c:v>0.81159065720887158</c:v>
                </c:pt>
                <c:pt idx="79">
                  <c:v>1.0343881739463339</c:v>
                </c:pt>
                <c:pt idx="80">
                  <c:v>0.95373781448674344</c:v>
                </c:pt>
                <c:pt idx="81">
                  <c:v>0.93038141181240874</c:v>
                </c:pt>
                <c:pt idx="82">
                  <c:v>0.98297362093743734</c:v>
                </c:pt>
                <c:pt idx="83">
                  <c:v>0.80203204729770472</c:v>
                </c:pt>
                <c:pt idx="84">
                  <c:v>0.7937879659417022</c:v>
                </c:pt>
                <c:pt idx="85">
                  <c:v>0.92478517099889335</c:v>
                </c:pt>
                <c:pt idx="86">
                  <c:v>0.93461853449205412</c:v>
                </c:pt>
                <c:pt idx="87">
                  <c:v>1.0495943153803831</c:v>
                </c:pt>
                <c:pt idx="88">
                  <c:v>0.99241126493858522</c:v>
                </c:pt>
                <c:pt idx="89">
                  <c:v>1.0327623927802236</c:v>
                </c:pt>
                <c:pt idx="90">
                  <c:v>0.75311772389827902</c:v>
                </c:pt>
                <c:pt idx="91">
                  <c:v>0.96661595347362406</c:v>
                </c:pt>
                <c:pt idx="92">
                  <c:v>0.99885109046809761</c:v>
                </c:pt>
                <c:pt idx="93">
                  <c:v>0.97583926010624655</c:v>
                </c:pt>
                <c:pt idx="94">
                  <c:v>0.93010697903359185</c:v>
                </c:pt>
                <c:pt idx="95">
                  <c:v>1.0108002414335442</c:v>
                </c:pt>
                <c:pt idx="96">
                  <c:v>0.9463804168590737</c:v>
                </c:pt>
                <c:pt idx="97">
                  <c:v>0.99224305059224016</c:v>
                </c:pt>
                <c:pt idx="98">
                  <c:v>0.94783027221040606</c:v>
                </c:pt>
                <c:pt idx="99">
                  <c:v>1.0020217765728923</c:v>
                </c:pt>
              </c:numCache>
            </c:numRef>
          </c:xVal>
          <c:yVal>
            <c:numRef>
              <c:f>PlantData!$FV$7:$FV$106</c:f>
              <c:numCache>
                <c:formatCode>0%</c:formatCode>
                <c:ptCount val="100"/>
                <c:pt idx="0">
                  <c:v>0.35900466158165162</c:v>
                </c:pt>
                <c:pt idx="1">
                  <c:v>1.1266187938018623E-2</c:v>
                </c:pt>
                <c:pt idx="2">
                  <c:v>1.6415069739107484E-2</c:v>
                </c:pt>
                <c:pt idx="3">
                  <c:v>3.4707422704724974E-2</c:v>
                </c:pt>
                <c:pt idx="4">
                  <c:v>0.24558329952199795</c:v>
                </c:pt>
                <c:pt idx="5">
                  <c:v>1.3717414661262708E-2</c:v>
                </c:pt>
                <c:pt idx="6">
                  <c:v>0.16468777868252593</c:v>
                </c:pt>
                <c:pt idx="7">
                  <c:v>0.41939673869619892</c:v>
                </c:pt>
                <c:pt idx="8">
                  <c:v>0.19912224480329155</c:v>
                </c:pt>
                <c:pt idx="9">
                  <c:v>0.12938544234167085</c:v>
                </c:pt>
                <c:pt idx="10">
                  <c:v>4.0208387860952495E-2</c:v>
                </c:pt>
                <c:pt idx="11">
                  <c:v>5.3003512031051053E-2</c:v>
                </c:pt>
                <c:pt idx="12">
                  <c:v>0.16645062075429948</c:v>
                </c:pt>
                <c:pt idx="13">
                  <c:v>2.0462570071391281E-2</c:v>
                </c:pt>
                <c:pt idx="14">
                  <c:v>0.17708165321633365</c:v>
                </c:pt>
                <c:pt idx="15">
                  <c:v>9.3568084819196776E-2</c:v>
                </c:pt>
                <c:pt idx="16">
                  <c:v>0.41567755476760709</c:v>
                </c:pt>
                <c:pt idx="17">
                  <c:v>0.10267537770546907</c:v>
                </c:pt>
                <c:pt idx="18">
                  <c:v>5.8071648067424785E-2</c:v>
                </c:pt>
                <c:pt idx="19">
                  <c:v>2.1245699139014768E-2</c:v>
                </c:pt>
                <c:pt idx="20">
                  <c:v>2.3456363290405402E-2</c:v>
                </c:pt>
                <c:pt idx="21">
                  <c:v>0.10471457030303871</c:v>
                </c:pt>
                <c:pt idx="22">
                  <c:v>0.36724797312489543</c:v>
                </c:pt>
                <c:pt idx="23">
                  <c:v>0.15002312726041964</c:v>
                </c:pt>
                <c:pt idx="24">
                  <c:v>0.22136707454170082</c:v>
                </c:pt>
                <c:pt idx="25">
                  <c:v>4.5271268925330808E-2</c:v>
                </c:pt>
                <c:pt idx="26">
                  <c:v>0.14138862035340019</c:v>
                </c:pt>
                <c:pt idx="27">
                  <c:v>1.6593686122240416E-2</c:v>
                </c:pt>
                <c:pt idx="28">
                  <c:v>0.13981422562607537</c:v>
                </c:pt>
                <c:pt idx="29">
                  <c:v>2.3678816309792003E-2</c:v>
                </c:pt>
                <c:pt idx="30">
                  <c:v>3.4659547082064576E-2</c:v>
                </c:pt>
                <c:pt idx="31">
                  <c:v>9.1107960990781667E-2</c:v>
                </c:pt>
                <c:pt idx="32">
                  <c:v>3.4066254684282843E-2</c:v>
                </c:pt>
                <c:pt idx="33">
                  <c:v>1.0481610427990203E-2</c:v>
                </c:pt>
                <c:pt idx="34">
                  <c:v>3.2247147114215419E-2</c:v>
                </c:pt>
                <c:pt idx="35">
                  <c:v>5.0286820929700715E-2</c:v>
                </c:pt>
                <c:pt idx="36">
                  <c:v>0.36756069373215727</c:v>
                </c:pt>
                <c:pt idx="37">
                  <c:v>2.3375342674182256E-2</c:v>
                </c:pt>
                <c:pt idx="38">
                  <c:v>3.1813560806372383E-2</c:v>
                </c:pt>
                <c:pt idx="39">
                  <c:v>5.0093662085376495E-2</c:v>
                </c:pt>
                <c:pt idx="40">
                  <c:v>1.1361512546095444E-2</c:v>
                </c:pt>
                <c:pt idx="41">
                  <c:v>3.8385372907867477E-2</c:v>
                </c:pt>
                <c:pt idx="42">
                  <c:v>9.9267985954167526E-2</c:v>
                </c:pt>
                <c:pt idx="43">
                  <c:v>2.7284760957557049E-2</c:v>
                </c:pt>
                <c:pt idx="44">
                  <c:v>0.20478969519324999</c:v>
                </c:pt>
                <c:pt idx="45">
                  <c:v>7.1856662129958906E-2</c:v>
                </c:pt>
                <c:pt idx="46">
                  <c:v>0.35761783547351472</c:v>
                </c:pt>
                <c:pt idx="47">
                  <c:v>6.6872480037353924E-2</c:v>
                </c:pt>
                <c:pt idx="48">
                  <c:v>4.5059506521166852E-2</c:v>
                </c:pt>
                <c:pt idx="49">
                  <c:v>3.2837684704158647E-2</c:v>
                </c:pt>
                <c:pt idx="50">
                  <c:v>1.8306350025625071E-2</c:v>
                </c:pt>
                <c:pt idx="51">
                  <c:v>7.7235262284706035E-2</c:v>
                </c:pt>
                <c:pt idx="52">
                  <c:v>7.7653677764689844E-2</c:v>
                </c:pt>
                <c:pt idx="53">
                  <c:v>2.6681469190569729E-2</c:v>
                </c:pt>
                <c:pt idx="54">
                  <c:v>4.7425725179189172E-2</c:v>
                </c:pt>
                <c:pt idx="55">
                  <c:v>2.7466349270784778E-2</c:v>
                </c:pt>
                <c:pt idx="56">
                  <c:v>0.10738948849427167</c:v>
                </c:pt>
                <c:pt idx="57">
                  <c:v>5.0709121132302429E-2</c:v>
                </c:pt>
                <c:pt idx="58">
                  <c:v>7.6250137304283261E-2</c:v>
                </c:pt>
                <c:pt idx="59">
                  <c:v>3.6898028604722327E-2</c:v>
                </c:pt>
                <c:pt idx="60">
                  <c:v>0.44918438536311628</c:v>
                </c:pt>
                <c:pt idx="61">
                  <c:v>6.4910943602989921E-2</c:v>
                </c:pt>
                <c:pt idx="62">
                  <c:v>0.10143805446095619</c:v>
                </c:pt>
                <c:pt idx="63">
                  <c:v>2.5640762958759149E-2</c:v>
                </c:pt>
                <c:pt idx="64">
                  <c:v>3.0408644539476514E-2</c:v>
                </c:pt>
                <c:pt idx="65">
                  <c:v>3.2255800358496366E-2</c:v>
                </c:pt>
                <c:pt idx="66">
                  <c:v>3.4945392666825975E-2</c:v>
                </c:pt>
                <c:pt idx="67">
                  <c:v>3.644794394042615E-2</c:v>
                </c:pt>
                <c:pt idx="68">
                  <c:v>0.23333533928683955</c:v>
                </c:pt>
                <c:pt idx="69">
                  <c:v>4.0714908368577635E-2</c:v>
                </c:pt>
                <c:pt idx="70">
                  <c:v>3.2193421234928868E-2</c:v>
                </c:pt>
                <c:pt idx="71">
                  <c:v>0.19660524641868901</c:v>
                </c:pt>
                <c:pt idx="72">
                  <c:v>0.10207822295777291</c:v>
                </c:pt>
                <c:pt idx="73">
                  <c:v>3.861050142043445E-2</c:v>
                </c:pt>
                <c:pt idx="74">
                  <c:v>5.8876240239126715E-2</c:v>
                </c:pt>
                <c:pt idx="75">
                  <c:v>1.3279071963808443E-2</c:v>
                </c:pt>
                <c:pt idx="76">
                  <c:v>0.12369770632414191</c:v>
                </c:pt>
                <c:pt idx="77">
                  <c:v>3.9068357002384618E-2</c:v>
                </c:pt>
                <c:pt idx="78">
                  <c:v>8.8346289097485015E-2</c:v>
                </c:pt>
                <c:pt idx="79">
                  <c:v>3.3526511452790855E-2</c:v>
                </c:pt>
                <c:pt idx="80">
                  <c:v>5.6832245888073486E-2</c:v>
                </c:pt>
                <c:pt idx="81">
                  <c:v>7.3980722632383547E-2</c:v>
                </c:pt>
                <c:pt idx="82">
                  <c:v>2.1225153847644323E-2</c:v>
                </c:pt>
                <c:pt idx="83">
                  <c:v>0.34217706377618551</c:v>
                </c:pt>
                <c:pt idx="84">
                  <c:v>6.733077781930856E-2</c:v>
                </c:pt>
                <c:pt idx="85">
                  <c:v>3.8835559739525551E-2</c:v>
                </c:pt>
                <c:pt idx="86">
                  <c:v>4.9126458179204503E-2</c:v>
                </c:pt>
                <c:pt idx="87">
                  <c:v>1.2089937156986828E-2</c:v>
                </c:pt>
                <c:pt idx="88">
                  <c:v>4.8407228722874181E-2</c:v>
                </c:pt>
                <c:pt idx="89">
                  <c:v>3.3919614265646034E-2</c:v>
                </c:pt>
                <c:pt idx="90">
                  <c:v>0.40924808463656748</c:v>
                </c:pt>
                <c:pt idx="91">
                  <c:v>7.7832291710227569E-2</c:v>
                </c:pt>
                <c:pt idx="92">
                  <c:v>3.827835845577026E-2</c:v>
                </c:pt>
                <c:pt idx="93">
                  <c:v>0.15024758493598397</c:v>
                </c:pt>
                <c:pt idx="94">
                  <c:v>5.4413297005078812E-2</c:v>
                </c:pt>
                <c:pt idx="95">
                  <c:v>3.7349796288858456E-2</c:v>
                </c:pt>
                <c:pt idx="96">
                  <c:v>0.11432843377751552</c:v>
                </c:pt>
                <c:pt idx="97">
                  <c:v>2.6415967364948934E-2</c:v>
                </c:pt>
                <c:pt idx="98">
                  <c:v>9.7840687075409466E-2</c:v>
                </c:pt>
                <c:pt idx="99">
                  <c:v>5.0368288875799708E-2</c:v>
                </c:pt>
              </c:numCache>
            </c:numRef>
          </c:yVal>
          <c:smooth val="0"/>
          <c:extLst>
            <c:ext xmlns:c16="http://schemas.microsoft.com/office/drawing/2014/chart" uri="{C3380CC4-5D6E-409C-BE32-E72D297353CC}">
              <c16:uniqueId val="{00000002-FF08-44AF-96CC-C2228B2D411C}"/>
            </c:ext>
          </c:extLst>
        </c:ser>
        <c:dLbls>
          <c:showLegendKey val="0"/>
          <c:showVal val="0"/>
          <c:showCatName val="0"/>
          <c:showSerName val="0"/>
          <c:showPercent val="0"/>
          <c:showBubbleSize val="0"/>
        </c:dLbls>
        <c:axId val="1189405552"/>
        <c:axId val="1292772720"/>
      </c:scatterChart>
      <c:valAx>
        <c:axId val="1189405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2772720"/>
        <c:crosses val="autoZero"/>
        <c:crossBetween val="midCat"/>
        <c:majorUnit val="0.1"/>
      </c:valAx>
      <c:valAx>
        <c:axId val="1292772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RMS Annual Variability, %</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89405552"/>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America's</a:t>
            </a:r>
            <a:r>
              <a:rPr lang="en-US" sz="1800" b="1" baseline="0"/>
              <a:t> Oldest (2003-2011) 100 and Newer (2018) 25 PV Systems</a:t>
            </a:r>
          </a:p>
          <a:p>
            <a:pPr>
              <a:defRPr sz="1800" b="1"/>
            </a:pPr>
            <a:r>
              <a:rPr lang="en-US" sz="1800" b="1" baseline="0"/>
              <a:t>Annual output variabilities as </a:t>
            </a:r>
            <a:r>
              <a:rPr lang="en-US" sz="1800" b="1" i="1" baseline="0"/>
              <a:t>f</a:t>
            </a:r>
            <a:r>
              <a:rPr lang="en-US" sz="1800" b="1" baseline="0"/>
              <a:t>(PI) for various periods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Lifetime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6847151628982159"/>
                  <c:y val="-0.3674804250590461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trendlineLbl>
          </c:trendline>
          <c:xVal>
            <c:numRef>
              <c:f>PlantData!$CB$7:$CB$106</c:f>
              <c:numCache>
                <c:formatCode>0.00</c:formatCode>
                <c:ptCount val="100"/>
                <c:pt idx="0">
                  <c:v>0.4223254391495242</c:v>
                </c:pt>
                <c:pt idx="1">
                  <c:v>0.8883293062644867</c:v>
                </c:pt>
                <c:pt idx="2">
                  <c:v>0.77666786901755636</c:v>
                </c:pt>
                <c:pt idx="3">
                  <c:v>0.98161033978231671</c:v>
                </c:pt>
                <c:pt idx="4">
                  <c:v>0.62716432381056253</c:v>
                </c:pt>
                <c:pt idx="5">
                  <c:v>0.91959539690607461</c:v>
                </c:pt>
                <c:pt idx="6">
                  <c:v>0.88031106349258481</c:v>
                </c:pt>
                <c:pt idx="7">
                  <c:v>0.82211896532774376</c:v>
                </c:pt>
                <c:pt idx="8">
                  <c:v>0.69289177196237006</c:v>
                </c:pt>
                <c:pt idx="9">
                  <c:v>0.47000013773752236</c:v>
                </c:pt>
                <c:pt idx="10">
                  <c:v>0.91231903506818879</c:v>
                </c:pt>
                <c:pt idx="11">
                  <c:v>0.7603580474705659</c:v>
                </c:pt>
                <c:pt idx="12">
                  <c:v>0.69471804757805666</c:v>
                </c:pt>
                <c:pt idx="13">
                  <c:v>0.86619296642192156</c:v>
                </c:pt>
                <c:pt idx="14">
                  <c:v>0.80509783098090337</c:v>
                </c:pt>
                <c:pt idx="15">
                  <c:v>0.87247347249856833</c:v>
                </c:pt>
                <c:pt idx="16">
                  <c:v>0.70489791257871792</c:v>
                </c:pt>
                <c:pt idx="17">
                  <c:v>0.98718593254235454</c:v>
                </c:pt>
                <c:pt idx="18">
                  <c:v>0.83455224708120468</c:v>
                </c:pt>
                <c:pt idx="19">
                  <c:v>1.0034820611743425</c:v>
                </c:pt>
                <c:pt idx="20">
                  <c:v>0.97945964878553882</c:v>
                </c:pt>
                <c:pt idx="21">
                  <c:v>0.80554561998610741</c:v>
                </c:pt>
                <c:pt idx="22">
                  <c:v>0.78728983102034367</c:v>
                </c:pt>
                <c:pt idx="23">
                  <c:v>0.82334171999690065</c:v>
                </c:pt>
                <c:pt idx="24">
                  <c:v>0.62537989993170884</c:v>
                </c:pt>
                <c:pt idx="25">
                  <c:v>0.85801874031390035</c:v>
                </c:pt>
                <c:pt idx="26">
                  <c:v>0.89438225168448626</c:v>
                </c:pt>
                <c:pt idx="27">
                  <c:v>0.94175918744763809</c:v>
                </c:pt>
                <c:pt idx="28">
                  <c:v>0.42964816540808276</c:v>
                </c:pt>
                <c:pt idx="29">
                  <c:v>0.84764030541524016</c:v>
                </c:pt>
                <c:pt idx="30">
                  <c:v>0.79559419125408937</c:v>
                </c:pt>
                <c:pt idx="31">
                  <c:v>0.76841211249920605</c:v>
                </c:pt>
                <c:pt idx="32">
                  <c:v>0.973617858036258</c:v>
                </c:pt>
                <c:pt idx="33">
                  <c:v>0.76406259370075247</c:v>
                </c:pt>
                <c:pt idx="34">
                  <c:v>0.82101680962123635</c:v>
                </c:pt>
                <c:pt idx="35">
                  <c:v>0.96372354744028332</c:v>
                </c:pt>
                <c:pt idx="36">
                  <c:v>0.58525823520585085</c:v>
                </c:pt>
                <c:pt idx="37">
                  <c:v>0.73474233126129429</c:v>
                </c:pt>
                <c:pt idx="38">
                  <c:v>0.61282953156478992</c:v>
                </c:pt>
                <c:pt idx="39">
                  <c:v>0.88629814450810263</c:v>
                </c:pt>
                <c:pt idx="40">
                  <c:v>0.93096529348537627</c:v>
                </c:pt>
                <c:pt idx="41">
                  <c:v>0.85602638378363893</c:v>
                </c:pt>
                <c:pt idx="42">
                  <c:v>0.78821256226159175</c:v>
                </c:pt>
                <c:pt idx="43">
                  <c:v>0.93830633455926238</c:v>
                </c:pt>
                <c:pt idx="44">
                  <c:v>0.70547949042681068</c:v>
                </c:pt>
                <c:pt idx="45">
                  <c:v>0.77132115984055394</c:v>
                </c:pt>
                <c:pt idx="46">
                  <c:v>0.74443141109319233</c:v>
                </c:pt>
                <c:pt idx="47">
                  <c:v>0.7577291341019049</c:v>
                </c:pt>
                <c:pt idx="48">
                  <c:v>0.86925867059040318</c:v>
                </c:pt>
                <c:pt idx="49">
                  <c:v>1.0256170186128266</c:v>
                </c:pt>
                <c:pt idx="50">
                  <c:v>1.0180195189881553</c:v>
                </c:pt>
                <c:pt idx="51">
                  <c:v>0.7237096988614492</c:v>
                </c:pt>
                <c:pt idx="52">
                  <c:v>0.86336455517906363</c:v>
                </c:pt>
                <c:pt idx="53">
                  <c:v>0.90474702116995132</c:v>
                </c:pt>
                <c:pt idx="54">
                  <c:v>1.0451530490491237</c:v>
                </c:pt>
                <c:pt idx="55">
                  <c:v>0.99899855886389732</c:v>
                </c:pt>
                <c:pt idx="56">
                  <c:v>0.91992304657942037</c:v>
                </c:pt>
                <c:pt idx="57">
                  <c:v>0.74562835349594958</c:v>
                </c:pt>
                <c:pt idx="58">
                  <c:v>0.6662853690633892</c:v>
                </c:pt>
                <c:pt idx="59">
                  <c:v>0.86481595248123344</c:v>
                </c:pt>
                <c:pt idx="60">
                  <c:v>0.34604067474432193</c:v>
                </c:pt>
                <c:pt idx="61">
                  <c:v>0.95638389421698122</c:v>
                </c:pt>
                <c:pt idx="62">
                  <c:v>0.80195143430654292</c:v>
                </c:pt>
                <c:pt idx="63">
                  <c:v>0.90564218391443563</c:v>
                </c:pt>
                <c:pt idx="64">
                  <c:v>0.6844742218646962</c:v>
                </c:pt>
                <c:pt idx="65">
                  <c:v>0.96323329069185337</c:v>
                </c:pt>
                <c:pt idx="66">
                  <c:v>0.96270191741735811</c:v>
                </c:pt>
                <c:pt idx="67">
                  <c:v>0.97629315081514711</c:v>
                </c:pt>
                <c:pt idx="68">
                  <c:v>0.90697071291573272</c:v>
                </c:pt>
                <c:pt idx="69">
                  <c:v>0.85206841675290124</c:v>
                </c:pt>
                <c:pt idx="70">
                  <c:v>0.91182231159603933</c:v>
                </c:pt>
                <c:pt idx="71">
                  <c:v>0.62975594795750789</c:v>
                </c:pt>
                <c:pt idx="72">
                  <c:v>0.90213180588160924</c:v>
                </c:pt>
                <c:pt idx="73">
                  <c:v>0.90331368903344955</c:v>
                </c:pt>
                <c:pt idx="74">
                  <c:v>1.0000961133344008</c:v>
                </c:pt>
                <c:pt idx="75">
                  <c:v>0.74665953776972915</c:v>
                </c:pt>
                <c:pt idx="76">
                  <c:v>0.85563375268615716</c:v>
                </c:pt>
                <c:pt idx="77">
                  <c:v>0.9388334517476713</c:v>
                </c:pt>
                <c:pt idx="78">
                  <c:v>0.71664216108131984</c:v>
                </c:pt>
                <c:pt idx="79">
                  <c:v>1.0352364170030122</c:v>
                </c:pt>
                <c:pt idx="80">
                  <c:v>0.92075554920315983</c:v>
                </c:pt>
                <c:pt idx="81">
                  <c:v>0.92088219907058377</c:v>
                </c:pt>
                <c:pt idx="82">
                  <c:v>0.9857428960508694</c:v>
                </c:pt>
                <c:pt idx="83">
                  <c:v>0.88073238276924048</c:v>
                </c:pt>
                <c:pt idx="84">
                  <c:v>0.68815063860010051</c:v>
                </c:pt>
                <c:pt idx="85">
                  <c:v>0.91253477593530907</c:v>
                </c:pt>
                <c:pt idx="86">
                  <c:v>0.93149549119118624</c:v>
                </c:pt>
                <c:pt idx="87">
                  <c:v>1.0049579563391708</c:v>
                </c:pt>
                <c:pt idx="88">
                  <c:v>0.88038083996444283</c:v>
                </c:pt>
                <c:pt idx="89">
                  <c:v>1.030229181055579</c:v>
                </c:pt>
                <c:pt idx="90">
                  <c:v>0.7219997211877226</c:v>
                </c:pt>
                <c:pt idx="91">
                  <c:v>0.82322810520926371</c:v>
                </c:pt>
                <c:pt idx="92">
                  <c:v>0.96797685535191047</c:v>
                </c:pt>
                <c:pt idx="93">
                  <c:v>1.0255334217624725</c:v>
                </c:pt>
                <c:pt idx="94">
                  <c:v>0.81368716748018988</c:v>
                </c:pt>
                <c:pt idx="95">
                  <c:v>0.89386228323894068</c:v>
                </c:pt>
                <c:pt idx="96">
                  <c:v>0.77952977414962443</c:v>
                </c:pt>
                <c:pt idx="97">
                  <c:v>0.98354338658030449</c:v>
                </c:pt>
                <c:pt idx="98">
                  <c:v>0.96928221524482927</c:v>
                </c:pt>
                <c:pt idx="99">
                  <c:v>0.86769769353721438</c:v>
                </c:pt>
              </c:numCache>
            </c:numRef>
          </c:xVal>
          <c:yVal>
            <c:numRef>
              <c:f>PlantData!$FQ$7:$FQ$106</c:f>
              <c:numCache>
                <c:formatCode>0%</c:formatCode>
                <c:ptCount val="100"/>
                <c:pt idx="0">
                  <c:v>0.46585894372868547</c:v>
                </c:pt>
                <c:pt idx="1">
                  <c:v>8.9987082653886261E-2</c:v>
                </c:pt>
                <c:pt idx="2">
                  <c:v>0.42519787777128376</c:v>
                </c:pt>
                <c:pt idx="3">
                  <c:v>6.7941766310850082E-2</c:v>
                </c:pt>
                <c:pt idx="4">
                  <c:v>0.28299534521512149</c:v>
                </c:pt>
                <c:pt idx="5">
                  <c:v>5.2031968433972849E-2</c:v>
                </c:pt>
                <c:pt idx="6">
                  <c:v>0.17547524330307565</c:v>
                </c:pt>
                <c:pt idx="7">
                  <c:v>0.29833597402030432</c:v>
                </c:pt>
                <c:pt idx="8">
                  <c:v>0.22817431262783863</c:v>
                </c:pt>
                <c:pt idx="9">
                  <c:v>0.22354734182136832</c:v>
                </c:pt>
                <c:pt idx="10">
                  <c:v>0.21695648965767103</c:v>
                </c:pt>
                <c:pt idx="11">
                  <c:v>0.20580335995063936</c:v>
                </c:pt>
                <c:pt idx="12">
                  <c:v>0.18808027336714181</c:v>
                </c:pt>
                <c:pt idx="13">
                  <c:v>2.3627310093187873E-2</c:v>
                </c:pt>
                <c:pt idx="14">
                  <c:v>0.15265113901164512</c:v>
                </c:pt>
                <c:pt idx="15">
                  <c:v>0.18325169107633887</c:v>
                </c:pt>
                <c:pt idx="16">
                  <c:v>0.31112831149226439</c:v>
                </c:pt>
                <c:pt idx="17">
                  <c:v>7.9187766415865932E-2</c:v>
                </c:pt>
                <c:pt idx="18">
                  <c:v>0.20389677162345271</c:v>
                </c:pt>
                <c:pt idx="19">
                  <c:v>4.0266839412135103E-2</c:v>
                </c:pt>
                <c:pt idx="20">
                  <c:v>2.867938154600657E-2</c:v>
                </c:pt>
                <c:pt idx="21">
                  <c:v>9.5473256928214151E-2</c:v>
                </c:pt>
                <c:pt idx="22">
                  <c:v>0.40144756061174786</c:v>
                </c:pt>
                <c:pt idx="23">
                  <c:v>0.18299902443533245</c:v>
                </c:pt>
                <c:pt idx="24">
                  <c:v>0.23265577105760013</c:v>
                </c:pt>
                <c:pt idx="25">
                  <c:v>6.1875127029762167E-2</c:v>
                </c:pt>
                <c:pt idx="26">
                  <c:v>0.12366219964144039</c:v>
                </c:pt>
                <c:pt idx="27">
                  <c:v>1.7358781121541794E-2</c:v>
                </c:pt>
                <c:pt idx="28">
                  <c:v>0.36053569149362302</c:v>
                </c:pt>
                <c:pt idx="29">
                  <c:v>0.1303656434802318</c:v>
                </c:pt>
                <c:pt idx="30">
                  <c:v>0.20827450492857971</c:v>
                </c:pt>
                <c:pt idx="31">
                  <c:v>0.19850187098766167</c:v>
                </c:pt>
                <c:pt idx="32">
                  <c:v>0.14216133864595362</c:v>
                </c:pt>
                <c:pt idx="33">
                  <c:v>0.1336121797238618</c:v>
                </c:pt>
                <c:pt idx="34">
                  <c:v>0.15669957795301132</c:v>
                </c:pt>
                <c:pt idx="35">
                  <c:v>7.7516802874618554E-2</c:v>
                </c:pt>
                <c:pt idx="36">
                  <c:v>0.287083057530089</c:v>
                </c:pt>
                <c:pt idx="37">
                  <c:v>0.19830048272048423</c:v>
                </c:pt>
                <c:pt idx="38">
                  <c:v>0.1998957777026048</c:v>
                </c:pt>
                <c:pt idx="39">
                  <c:v>4.7163052781303713E-2</c:v>
                </c:pt>
                <c:pt idx="40">
                  <c:v>1.4734319620817189E-2</c:v>
                </c:pt>
                <c:pt idx="41">
                  <c:v>0.14162244070203645</c:v>
                </c:pt>
                <c:pt idx="42">
                  <c:v>0.25877071517492972</c:v>
                </c:pt>
                <c:pt idx="43">
                  <c:v>5.1958633470531333E-2</c:v>
                </c:pt>
                <c:pt idx="44">
                  <c:v>0.16278452462340798</c:v>
                </c:pt>
                <c:pt idx="45">
                  <c:v>9.2119682975208297E-2</c:v>
                </c:pt>
                <c:pt idx="46">
                  <c:v>0.267494664202715</c:v>
                </c:pt>
                <c:pt idx="47">
                  <c:v>7.3305004553583034E-2</c:v>
                </c:pt>
                <c:pt idx="48">
                  <c:v>0.20015340023296488</c:v>
                </c:pt>
                <c:pt idx="49">
                  <c:v>3.4625996327745011E-2</c:v>
                </c:pt>
                <c:pt idx="50">
                  <c:v>1.984356902453336E-2</c:v>
                </c:pt>
                <c:pt idx="51">
                  <c:v>0.12482295558343184</c:v>
                </c:pt>
                <c:pt idx="52">
                  <c:v>8.7480241048313145E-2</c:v>
                </c:pt>
                <c:pt idx="53">
                  <c:v>5.9252681087261214E-2</c:v>
                </c:pt>
                <c:pt idx="54">
                  <c:v>5.5644682099417635E-2</c:v>
                </c:pt>
                <c:pt idx="55">
                  <c:v>2.7013425691157347E-2</c:v>
                </c:pt>
                <c:pt idx="56">
                  <c:v>0.10440218201288061</c:v>
                </c:pt>
                <c:pt idx="57">
                  <c:v>0.254173997530805</c:v>
                </c:pt>
                <c:pt idx="58">
                  <c:v>0.24693332352609274</c:v>
                </c:pt>
                <c:pt idx="59">
                  <c:v>5.4137124170499956E-2</c:v>
                </c:pt>
                <c:pt idx="60">
                  <c:v>0.62071649904420056</c:v>
                </c:pt>
                <c:pt idx="61">
                  <c:v>8.9387012741142635E-2</c:v>
                </c:pt>
                <c:pt idx="62">
                  <c:v>8.7620112963460228E-2</c:v>
                </c:pt>
                <c:pt idx="63">
                  <c:v>9.1792433088497993E-2</c:v>
                </c:pt>
                <c:pt idx="64">
                  <c:v>0.11002238952506868</c:v>
                </c:pt>
                <c:pt idx="65">
                  <c:v>6.8776687444174894E-2</c:v>
                </c:pt>
                <c:pt idx="66">
                  <c:v>6.8179403623275819E-2</c:v>
                </c:pt>
                <c:pt idx="67">
                  <c:v>7.3758638997599504E-2</c:v>
                </c:pt>
                <c:pt idx="68">
                  <c:v>0.16222046121428207</c:v>
                </c:pt>
                <c:pt idx="69">
                  <c:v>5.4263275531647774E-2</c:v>
                </c:pt>
                <c:pt idx="70">
                  <c:v>7.0659394654338362E-2</c:v>
                </c:pt>
                <c:pt idx="71">
                  <c:v>0.28192887310025644</c:v>
                </c:pt>
                <c:pt idx="72">
                  <c:v>0.13684430170414477</c:v>
                </c:pt>
                <c:pt idx="73">
                  <c:v>5.0602640656698089E-2</c:v>
                </c:pt>
                <c:pt idx="74">
                  <c:v>8.7196699591747431E-2</c:v>
                </c:pt>
                <c:pt idx="75">
                  <c:v>0.10791461140674943</c:v>
                </c:pt>
                <c:pt idx="76">
                  <c:v>0.20414482130925765</c:v>
                </c:pt>
                <c:pt idx="77">
                  <c:v>4.2162274057718399E-2</c:v>
                </c:pt>
                <c:pt idx="78">
                  <c:v>0.23594481380686522</c:v>
                </c:pt>
                <c:pt idx="79">
                  <c:v>2.9146547166314245E-2</c:v>
                </c:pt>
                <c:pt idx="80">
                  <c:v>6.109351777369304E-2</c:v>
                </c:pt>
                <c:pt idx="81">
                  <c:v>6.5620005736297601E-2</c:v>
                </c:pt>
                <c:pt idx="82">
                  <c:v>1.9842384409108012E-2</c:v>
                </c:pt>
                <c:pt idx="83">
                  <c:v>0.22711904599053129</c:v>
                </c:pt>
                <c:pt idx="84">
                  <c:v>0.12003174090313963</c:v>
                </c:pt>
                <c:pt idx="85">
                  <c:v>3.7272476787945402E-2</c:v>
                </c:pt>
                <c:pt idx="86" formatCode="0.0%">
                  <c:v>5.1400673699637071E-2</c:v>
                </c:pt>
                <c:pt idx="87">
                  <c:v>5.419442467603669E-2</c:v>
                </c:pt>
                <c:pt idx="88" formatCode="0.0%">
                  <c:v>4.8286042368105075E-2</c:v>
                </c:pt>
                <c:pt idx="89">
                  <c:v>3.6594329139763002E-2</c:v>
                </c:pt>
                <c:pt idx="90">
                  <c:v>0.3171541142757428</c:v>
                </c:pt>
                <c:pt idx="91">
                  <c:v>0.36402629646324769</c:v>
                </c:pt>
                <c:pt idx="92">
                  <c:v>5.7083671147200254E-2</c:v>
                </c:pt>
                <c:pt idx="93">
                  <c:v>0.10756823203845561</c:v>
                </c:pt>
                <c:pt idx="94">
                  <c:v>5.4289745444175593E-2</c:v>
                </c:pt>
                <c:pt idx="95">
                  <c:v>4.2306254764492707E-2</c:v>
                </c:pt>
                <c:pt idx="96">
                  <c:v>0.10406842972276527</c:v>
                </c:pt>
                <c:pt idx="97">
                  <c:v>4.5896517942904259E-2</c:v>
                </c:pt>
                <c:pt idx="98">
                  <c:v>7.7224372448883263E-2</c:v>
                </c:pt>
                <c:pt idx="99">
                  <c:v>5.2443859576607813E-2</c:v>
                </c:pt>
              </c:numCache>
            </c:numRef>
          </c:yVal>
          <c:smooth val="0"/>
          <c:extLst>
            <c:ext xmlns:c16="http://schemas.microsoft.com/office/drawing/2014/chart" uri="{C3380CC4-5D6E-409C-BE32-E72D297353CC}">
              <c16:uniqueId val="{00000001-D4DE-476C-A3E8-551868D15030}"/>
            </c:ext>
          </c:extLst>
        </c:ser>
        <c:ser>
          <c:idx val="1"/>
          <c:order val="1"/>
          <c:tx>
            <c:v>1st 7 years</c:v>
          </c:tx>
          <c:spPr>
            <a:ln w="25400" cap="rnd">
              <a:noFill/>
              <a:round/>
            </a:ln>
            <a:effectLst/>
          </c:spPr>
          <c:marker>
            <c:symbol val="circle"/>
            <c:size val="5"/>
            <c:spPr>
              <a:no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0.32882687278769052"/>
                  <c:y val="-0.2957533435596648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trendlineLbl>
          </c:trendline>
          <c:xVal>
            <c:numRef>
              <c:f>PlantData!$EB$7:$EB$106</c:f>
              <c:numCache>
                <c:formatCode>0.00</c:formatCode>
                <c:ptCount val="100"/>
                <c:pt idx="0">
                  <c:v>0.56851708568871795</c:v>
                </c:pt>
                <c:pt idx="1">
                  <c:v>1.0107724775877311</c:v>
                </c:pt>
                <c:pt idx="2">
                  <c:v>0.86570053296958449</c:v>
                </c:pt>
                <c:pt idx="3">
                  <c:v>0.97166868486001357</c:v>
                </c:pt>
                <c:pt idx="4">
                  <c:v>0.80931959967531575</c:v>
                </c:pt>
                <c:pt idx="5">
                  <c:v>0.92725191272090157</c:v>
                </c:pt>
                <c:pt idx="6">
                  <c:v>0.91620554355528239</c:v>
                </c:pt>
                <c:pt idx="7">
                  <c:v>0.76699884973983434</c:v>
                </c:pt>
                <c:pt idx="8">
                  <c:v>0.83150207918959695</c:v>
                </c:pt>
                <c:pt idx="9">
                  <c:v>0.64119090237038734</c:v>
                </c:pt>
                <c:pt idx="10">
                  <c:v>0.93855869104496215</c:v>
                </c:pt>
                <c:pt idx="11">
                  <c:v>0.81595547155658887</c:v>
                </c:pt>
                <c:pt idx="12">
                  <c:v>0.7944404876754263</c:v>
                </c:pt>
                <c:pt idx="13">
                  <c:v>0.89514964970305311</c:v>
                </c:pt>
                <c:pt idx="14">
                  <c:v>0.8541734388204415</c:v>
                </c:pt>
                <c:pt idx="15">
                  <c:v>1.0282994015601952</c:v>
                </c:pt>
                <c:pt idx="16">
                  <c:v>0.68527681325271939</c:v>
                </c:pt>
                <c:pt idx="17">
                  <c:v>1.0060490087511476</c:v>
                </c:pt>
                <c:pt idx="18">
                  <c:v>0.91837406341065808</c:v>
                </c:pt>
                <c:pt idx="19">
                  <c:v>1.0990750602302657</c:v>
                </c:pt>
                <c:pt idx="20">
                  <c:v>0.99802368864270752</c:v>
                </c:pt>
                <c:pt idx="21">
                  <c:v>0.85235898110007213</c:v>
                </c:pt>
                <c:pt idx="22">
                  <c:v>0.95596033384959567</c:v>
                </c:pt>
                <c:pt idx="23">
                  <c:v>0.93972672787108391</c:v>
                </c:pt>
                <c:pt idx="24">
                  <c:v>0.70347956038259984</c:v>
                </c:pt>
                <c:pt idx="25">
                  <c:v>0.90448528686718987</c:v>
                </c:pt>
                <c:pt idx="26">
                  <c:v>0.95981374475155001</c:v>
                </c:pt>
                <c:pt idx="27">
                  <c:v>0.98599309576541649</c:v>
                </c:pt>
                <c:pt idx="28">
                  <c:v>0.56160320900082894</c:v>
                </c:pt>
                <c:pt idx="29">
                  <c:v>0.97057866831494799</c:v>
                </c:pt>
                <c:pt idx="30">
                  <c:v>0.92278528390438863</c:v>
                </c:pt>
                <c:pt idx="31">
                  <c:v>0.92866628717477617</c:v>
                </c:pt>
                <c:pt idx="32">
                  <c:v>0.96416855506568466</c:v>
                </c:pt>
                <c:pt idx="33">
                  <c:v>0.94715657560250544</c:v>
                </c:pt>
                <c:pt idx="34">
                  <c:v>0.95553821381164306</c:v>
                </c:pt>
                <c:pt idx="35">
                  <c:v>1.0440374430785149</c:v>
                </c:pt>
                <c:pt idx="36">
                  <c:v>0.6124789474619371</c:v>
                </c:pt>
                <c:pt idx="37">
                  <c:v>0.93170881133279626</c:v>
                </c:pt>
                <c:pt idx="38">
                  <c:v>0.70432209767174636</c:v>
                </c:pt>
                <c:pt idx="39">
                  <c:v>0.94516121254911156</c:v>
                </c:pt>
                <c:pt idx="40">
                  <c:v>0.94492726141041383</c:v>
                </c:pt>
                <c:pt idx="41">
                  <c:v>0.99179467323066339</c:v>
                </c:pt>
                <c:pt idx="42">
                  <c:v>0.83720324598590745</c:v>
                </c:pt>
                <c:pt idx="43">
                  <c:v>0.96399003735735411</c:v>
                </c:pt>
                <c:pt idx="44">
                  <c:v>0.73792398816799987</c:v>
                </c:pt>
                <c:pt idx="45">
                  <c:v>0.8812164004388493</c:v>
                </c:pt>
                <c:pt idx="46">
                  <c:v>0.76760969653578959</c:v>
                </c:pt>
                <c:pt idx="47">
                  <c:v>0.94218950075248842</c:v>
                </c:pt>
                <c:pt idx="48">
                  <c:v>0.97527036693322988</c:v>
                </c:pt>
                <c:pt idx="49">
                  <c:v>1.0395810415840241</c:v>
                </c:pt>
                <c:pt idx="50">
                  <c:v>1.0198732144565279</c:v>
                </c:pt>
                <c:pt idx="51">
                  <c:v>0.90832959170427674</c:v>
                </c:pt>
                <c:pt idx="52">
                  <c:v>0.87502393022770553</c:v>
                </c:pt>
                <c:pt idx="53">
                  <c:v>1.004323289858716</c:v>
                </c:pt>
                <c:pt idx="54">
                  <c:v>1.0789825279131464</c:v>
                </c:pt>
                <c:pt idx="55">
                  <c:v>1.0064454102286391</c:v>
                </c:pt>
                <c:pt idx="56">
                  <c:v>0.90439169895144189</c:v>
                </c:pt>
                <c:pt idx="57">
                  <c:v>0.82425261599790101</c:v>
                </c:pt>
                <c:pt idx="58">
                  <c:v>0.86106476977359947</c:v>
                </c:pt>
                <c:pt idx="59">
                  <c:v>0.85788323825218171</c:v>
                </c:pt>
                <c:pt idx="60">
                  <c:v>0.58725746945327306</c:v>
                </c:pt>
                <c:pt idx="61">
                  <c:v>1.0089282830271644</c:v>
                </c:pt>
                <c:pt idx="62">
                  <c:v>0.88481005074214092</c:v>
                </c:pt>
                <c:pt idx="63">
                  <c:v>1.0093910805484663</c:v>
                </c:pt>
                <c:pt idx="64">
                  <c:v>0.87575248198479394</c:v>
                </c:pt>
                <c:pt idx="65">
                  <c:v>1.0486296544783484</c:v>
                </c:pt>
                <c:pt idx="66">
                  <c:v>0.96015699906993746</c:v>
                </c:pt>
                <c:pt idx="67">
                  <c:v>1.0570404918361203</c:v>
                </c:pt>
                <c:pt idx="68">
                  <c:v>0.86947852311680529</c:v>
                </c:pt>
                <c:pt idx="69">
                  <c:v>0.91730673548918706</c:v>
                </c:pt>
                <c:pt idx="70">
                  <c:v>0.91151769938688354</c:v>
                </c:pt>
                <c:pt idx="71">
                  <c:v>0.78779914602743595</c:v>
                </c:pt>
                <c:pt idx="72">
                  <c:v>0.89217734775336266</c:v>
                </c:pt>
                <c:pt idx="73">
                  <c:v>0.97497551108151526</c:v>
                </c:pt>
                <c:pt idx="74">
                  <c:v>1.0074858046053703</c:v>
                </c:pt>
                <c:pt idx="75">
                  <c:v>0.9949130920634377</c:v>
                </c:pt>
                <c:pt idx="76">
                  <c:v>0.92483352176554068</c:v>
                </c:pt>
                <c:pt idx="77">
                  <c:v>0.92412485782014075</c:v>
                </c:pt>
                <c:pt idx="78">
                  <c:v>0.81159065720887158</c:v>
                </c:pt>
                <c:pt idx="79">
                  <c:v>1.0343881739463339</c:v>
                </c:pt>
                <c:pt idx="80">
                  <c:v>0.95373781448674344</c:v>
                </c:pt>
                <c:pt idx="81">
                  <c:v>0.93038141181240874</c:v>
                </c:pt>
                <c:pt idx="82">
                  <c:v>0.98297362093743734</c:v>
                </c:pt>
                <c:pt idx="83">
                  <c:v>0.80203204729770472</c:v>
                </c:pt>
                <c:pt idx="84">
                  <c:v>0.7937879659417022</c:v>
                </c:pt>
                <c:pt idx="85">
                  <c:v>0.92478517099889335</c:v>
                </c:pt>
                <c:pt idx="86">
                  <c:v>0.93461853449205412</c:v>
                </c:pt>
                <c:pt idx="87">
                  <c:v>1.0495943153803831</c:v>
                </c:pt>
                <c:pt idx="88">
                  <c:v>0.99241126493858522</c:v>
                </c:pt>
                <c:pt idx="89">
                  <c:v>1.0327623927802236</c:v>
                </c:pt>
                <c:pt idx="90">
                  <c:v>0.75311772389827902</c:v>
                </c:pt>
                <c:pt idx="91">
                  <c:v>0.96661595347362406</c:v>
                </c:pt>
                <c:pt idx="92">
                  <c:v>0.99885109046809761</c:v>
                </c:pt>
                <c:pt idx="93">
                  <c:v>0.97583926010624655</c:v>
                </c:pt>
                <c:pt idx="94">
                  <c:v>0.93010697903359185</c:v>
                </c:pt>
                <c:pt idx="95">
                  <c:v>1.0108002414335442</c:v>
                </c:pt>
                <c:pt idx="96">
                  <c:v>0.9463804168590737</c:v>
                </c:pt>
                <c:pt idx="97">
                  <c:v>0.99224305059224016</c:v>
                </c:pt>
                <c:pt idx="98">
                  <c:v>0.94783027221040606</c:v>
                </c:pt>
                <c:pt idx="99">
                  <c:v>1.0020217765728923</c:v>
                </c:pt>
              </c:numCache>
            </c:numRef>
          </c:xVal>
          <c:yVal>
            <c:numRef>
              <c:f>PlantData!$FV$7:$FV$106</c:f>
              <c:numCache>
                <c:formatCode>0%</c:formatCode>
                <c:ptCount val="100"/>
                <c:pt idx="0">
                  <c:v>0.35900466158165162</c:v>
                </c:pt>
                <c:pt idx="1">
                  <c:v>1.1266187938018623E-2</c:v>
                </c:pt>
                <c:pt idx="2">
                  <c:v>1.6415069739107484E-2</c:v>
                </c:pt>
                <c:pt idx="3">
                  <c:v>3.4707422704724974E-2</c:v>
                </c:pt>
                <c:pt idx="4">
                  <c:v>0.24558329952199795</c:v>
                </c:pt>
                <c:pt idx="5">
                  <c:v>1.3717414661262708E-2</c:v>
                </c:pt>
                <c:pt idx="6">
                  <c:v>0.16468777868252593</c:v>
                </c:pt>
                <c:pt idx="7">
                  <c:v>0.41939673869619892</c:v>
                </c:pt>
                <c:pt idx="8">
                  <c:v>0.19912224480329155</c:v>
                </c:pt>
                <c:pt idx="9">
                  <c:v>0.12938544234167085</c:v>
                </c:pt>
                <c:pt idx="10">
                  <c:v>4.0208387860952495E-2</c:v>
                </c:pt>
                <c:pt idx="11">
                  <c:v>5.3003512031051053E-2</c:v>
                </c:pt>
                <c:pt idx="12">
                  <c:v>0.16645062075429948</c:v>
                </c:pt>
                <c:pt idx="13">
                  <c:v>2.0462570071391281E-2</c:v>
                </c:pt>
                <c:pt idx="14">
                  <c:v>0.17708165321633365</c:v>
                </c:pt>
                <c:pt idx="15">
                  <c:v>9.3568084819196776E-2</c:v>
                </c:pt>
                <c:pt idx="16">
                  <c:v>0.41567755476760709</c:v>
                </c:pt>
                <c:pt idx="17">
                  <c:v>0.10267537770546907</c:v>
                </c:pt>
                <c:pt idx="18">
                  <c:v>5.8071648067424785E-2</c:v>
                </c:pt>
                <c:pt idx="19">
                  <c:v>2.1245699139014768E-2</c:v>
                </c:pt>
                <c:pt idx="20">
                  <c:v>2.3456363290405402E-2</c:v>
                </c:pt>
                <c:pt idx="21">
                  <c:v>0.10471457030303871</c:v>
                </c:pt>
                <c:pt idx="22">
                  <c:v>0.36724797312489543</c:v>
                </c:pt>
                <c:pt idx="23">
                  <c:v>0.15002312726041964</c:v>
                </c:pt>
                <c:pt idx="24">
                  <c:v>0.22136707454170082</c:v>
                </c:pt>
                <c:pt idx="25">
                  <c:v>4.5271268925330808E-2</c:v>
                </c:pt>
                <c:pt idx="26">
                  <c:v>0.14138862035340019</c:v>
                </c:pt>
                <c:pt idx="27">
                  <c:v>1.6593686122240416E-2</c:v>
                </c:pt>
                <c:pt idx="28">
                  <c:v>0.13981422562607537</c:v>
                </c:pt>
                <c:pt idx="29">
                  <c:v>2.3678816309792003E-2</c:v>
                </c:pt>
                <c:pt idx="30">
                  <c:v>3.4659547082064576E-2</c:v>
                </c:pt>
                <c:pt idx="31">
                  <c:v>9.1107960990781667E-2</c:v>
                </c:pt>
                <c:pt idx="32">
                  <c:v>3.4066254684282843E-2</c:v>
                </c:pt>
                <c:pt idx="33">
                  <c:v>1.0481610427990203E-2</c:v>
                </c:pt>
                <c:pt idx="34">
                  <c:v>3.2247147114215419E-2</c:v>
                </c:pt>
                <c:pt idx="35">
                  <c:v>5.0286820929700715E-2</c:v>
                </c:pt>
                <c:pt idx="36">
                  <c:v>0.36756069373215727</c:v>
                </c:pt>
                <c:pt idx="37">
                  <c:v>2.3375342674182256E-2</c:v>
                </c:pt>
                <c:pt idx="38">
                  <c:v>3.1813560806372383E-2</c:v>
                </c:pt>
                <c:pt idx="39">
                  <c:v>5.0093662085376495E-2</c:v>
                </c:pt>
                <c:pt idx="40">
                  <c:v>1.1361512546095444E-2</c:v>
                </c:pt>
                <c:pt idx="41">
                  <c:v>3.8385372907867477E-2</c:v>
                </c:pt>
                <c:pt idx="42">
                  <c:v>9.9267985954167526E-2</c:v>
                </c:pt>
                <c:pt idx="43">
                  <c:v>2.7284760957557049E-2</c:v>
                </c:pt>
                <c:pt idx="44">
                  <c:v>0.20478969519324999</c:v>
                </c:pt>
                <c:pt idx="45">
                  <c:v>7.1856662129958906E-2</c:v>
                </c:pt>
                <c:pt idx="46">
                  <c:v>0.35761783547351472</c:v>
                </c:pt>
                <c:pt idx="47">
                  <c:v>6.6872480037353924E-2</c:v>
                </c:pt>
                <c:pt idx="48">
                  <c:v>4.5059506521166852E-2</c:v>
                </c:pt>
                <c:pt idx="49">
                  <c:v>3.2837684704158647E-2</c:v>
                </c:pt>
                <c:pt idx="50">
                  <c:v>1.8306350025625071E-2</c:v>
                </c:pt>
                <c:pt idx="51">
                  <c:v>7.7235262284706035E-2</c:v>
                </c:pt>
                <c:pt idx="52">
                  <c:v>7.7653677764689844E-2</c:v>
                </c:pt>
                <c:pt idx="53">
                  <c:v>2.6681469190569729E-2</c:v>
                </c:pt>
                <c:pt idx="54">
                  <c:v>4.7425725179189172E-2</c:v>
                </c:pt>
                <c:pt idx="55">
                  <c:v>2.7466349270784778E-2</c:v>
                </c:pt>
                <c:pt idx="56">
                  <c:v>0.10738948849427167</c:v>
                </c:pt>
                <c:pt idx="57">
                  <c:v>5.0709121132302429E-2</c:v>
                </c:pt>
                <c:pt idx="58">
                  <c:v>7.6250137304283261E-2</c:v>
                </c:pt>
                <c:pt idx="59">
                  <c:v>3.6898028604722327E-2</c:v>
                </c:pt>
                <c:pt idx="60">
                  <c:v>0.44918438536311628</c:v>
                </c:pt>
                <c:pt idx="61">
                  <c:v>6.4910943602989921E-2</c:v>
                </c:pt>
                <c:pt idx="62">
                  <c:v>0.10143805446095619</c:v>
                </c:pt>
                <c:pt idx="63">
                  <c:v>2.5640762958759149E-2</c:v>
                </c:pt>
                <c:pt idx="64">
                  <c:v>3.0408644539476514E-2</c:v>
                </c:pt>
                <c:pt idx="65">
                  <c:v>3.2255800358496366E-2</c:v>
                </c:pt>
                <c:pt idx="66">
                  <c:v>3.4945392666825975E-2</c:v>
                </c:pt>
                <c:pt idx="67">
                  <c:v>3.644794394042615E-2</c:v>
                </c:pt>
                <c:pt idx="68">
                  <c:v>0.23333533928683955</c:v>
                </c:pt>
                <c:pt idx="69">
                  <c:v>4.0714908368577635E-2</c:v>
                </c:pt>
                <c:pt idx="70">
                  <c:v>3.2193421234928868E-2</c:v>
                </c:pt>
                <c:pt idx="71">
                  <c:v>0.19660524641868901</c:v>
                </c:pt>
                <c:pt idx="72">
                  <c:v>0.10207822295777291</c:v>
                </c:pt>
                <c:pt idx="73">
                  <c:v>3.861050142043445E-2</c:v>
                </c:pt>
                <c:pt idx="74">
                  <c:v>5.8876240239126715E-2</c:v>
                </c:pt>
                <c:pt idx="75">
                  <c:v>1.3279071963808443E-2</c:v>
                </c:pt>
                <c:pt idx="76">
                  <c:v>0.12369770632414191</c:v>
                </c:pt>
                <c:pt idx="77">
                  <c:v>3.9068357002384618E-2</c:v>
                </c:pt>
                <c:pt idx="78">
                  <c:v>8.8346289097485015E-2</c:v>
                </c:pt>
                <c:pt idx="79">
                  <c:v>3.3526511452790855E-2</c:v>
                </c:pt>
                <c:pt idx="80">
                  <c:v>5.6832245888073486E-2</c:v>
                </c:pt>
                <c:pt idx="81">
                  <c:v>7.3980722632383547E-2</c:v>
                </c:pt>
                <c:pt idx="82">
                  <c:v>2.1225153847644323E-2</c:v>
                </c:pt>
                <c:pt idx="83">
                  <c:v>0.34217706377618551</c:v>
                </c:pt>
                <c:pt idx="84">
                  <c:v>6.733077781930856E-2</c:v>
                </c:pt>
                <c:pt idx="85">
                  <c:v>3.8835559739525551E-2</c:v>
                </c:pt>
                <c:pt idx="86">
                  <c:v>4.9126458179204503E-2</c:v>
                </c:pt>
                <c:pt idx="87">
                  <c:v>1.2089937156986828E-2</c:v>
                </c:pt>
                <c:pt idx="88">
                  <c:v>4.8407228722874181E-2</c:v>
                </c:pt>
                <c:pt idx="89">
                  <c:v>3.3919614265646034E-2</c:v>
                </c:pt>
                <c:pt idx="90">
                  <c:v>0.40924808463656748</c:v>
                </c:pt>
                <c:pt idx="91">
                  <c:v>7.7832291710227569E-2</c:v>
                </c:pt>
                <c:pt idx="92">
                  <c:v>3.827835845577026E-2</c:v>
                </c:pt>
                <c:pt idx="93">
                  <c:v>0.15024758493598397</c:v>
                </c:pt>
                <c:pt idx="94">
                  <c:v>5.4413297005078812E-2</c:v>
                </c:pt>
                <c:pt idx="95">
                  <c:v>3.7349796288858456E-2</c:v>
                </c:pt>
                <c:pt idx="96">
                  <c:v>0.11432843377751552</c:v>
                </c:pt>
                <c:pt idx="97">
                  <c:v>2.6415967364948934E-2</c:v>
                </c:pt>
                <c:pt idx="98">
                  <c:v>9.7840687075409466E-2</c:v>
                </c:pt>
                <c:pt idx="99">
                  <c:v>5.0368288875799708E-2</c:v>
                </c:pt>
              </c:numCache>
            </c:numRef>
          </c:yVal>
          <c:smooth val="0"/>
          <c:extLst>
            <c:ext xmlns:c16="http://schemas.microsoft.com/office/drawing/2014/chart" uri="{C3380CC4-5D6E-409C-BE32-E72D297353CC}">
              <c16:uniqueId val="{00000003-D4DE-476C-A3E8-551868D15030}"/>
            </c:ext>
          </c:extLst>
        </c:ser>
        <c:ser>
          <c:idx val="2"/>
          <c:order val="2"/>
          <c:tx>
            <c:v>Newer 25 (5-7 yrs)</c:v>
          </c:tx>
          <c:spPr>
            <a:ln w="25400" cap="rnd">
              <a:noFill/>
              <a:round/>
            </a:ln>
            <a:effectLst/>
          </c:spPr>
          <c:marker>
            <c:symbol val="circle"/>
            <c:size val="7"/>
            <c:spPr>
              <a:noFill/>
              <a:ln w="15875">
                <a:solidFill>
                  <a:srgbClr val="00B050"/>
                </a:solidFill>
              </a:ln>
              <a:effectLst/>
            </c:spPr>
          </c:marker>
          <c:trendline>
            <c:spPr>
              <a:ln w="19050" cap="rnd">
                <a:solidFill>
                  <a:srgbClr val="00B050"/>
                </a:solidFill>
                <a:prstDash val="sysDot"/>
              </a:ln>
              <a:effectLst/>
            </c:spPr>
            <c:trendlineType val="linear"/>
            <c:dispRSqr val="1"/>
            <c:dispEq val="1"/>
            <c:trendlineLbl>
              <c:layout>
                <c:manualLayout>
                  <c:x val="-0.19027424691179656"/>
                  <c:y val="-0.3203986326170494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trendlineLbl>
          </c:trendline>
          <c:xVal>
            <c:numRef>
              <c:f>Newer25!$CB$7:$CB$31</c:f>
              <c:numCache>
                <c:formatCode>0.00</c:formatCode>
                <c:ptCount val="25"/>
                <c:pt idx="0">
                  <c:v>1.0352031594480515</c:v>
                </c:pt>
                <c:pt idx="1">
                  <c:v>0.92456425541434972</c:v>
                </c:pt>
                <c:pt idx="2">
                  <c:v>0.9329953550940765</c:v>
                </c:pt>
                <c:pt idx="3">
                  <c:v>0.93899232282022227</c:v>
                </c:pt>
                <c:pt idx="4">
                  <c:v>1.0088221455892812</c:v>
                </c:pt>
                <c:pt idx="5">
                  <c:v>0.70342443001727684</c:v>
                </c:pt>
                <c:pt idx="6" formatCode="0.000">
                  <c:v>0.76268020864649744</c:v>
                </c:pt>
                <c:pt idx="7">
                  <c:v>0.88746463558037436</c:v>
                </c:pt>
                <c:pt idx="8">
                  <c:v>0.97400461986618647</c:v>
                </c:pt>
                <c:pt idx="9">
                  <c:v>0.97459041477593134</c:v>
                </c:pt>
                <c:pt idx="10">
                  <c:v>0.82001793308335491</c:v>
                </c:pt>
                <c:pt idx="11" formatCode="0.0000">
                  <c:v>0.79054081372113016</c:v>
                </c:pt>
                <c:pt idx="12">
                  <c:v>0.95276051176215137</c:v>
                </c:pt>
                <c:pt idx="13">
                  <c:v>1.0851671682870663</c:v>
                </c:pt>
                <c:pt idx="14">
                  <c:v>0.60485371093527607</c:v>
                </c:pt>
                <c:pt idx="15">
                  <c:v>0.8464125112158809</c:v>
                </c:pt>
                <c:pt idx="16">
                  <c:v>0.84930518365793339</c:v>
                </c:pt>
                <c:pt idx="17" formatCode="0.0000">
                  <c:v>0.77528018868209148</c:v>
                </c:pt>
                <c:pt idx="18">
                  <c:v>0.83127608105390849</c:v>
                </c:pt>
                <c:pt idx="19">
                  <c:v>0.89719117149648298</c:v>
                </c:pt>
                <c:pt idx="20">
                  <c:v>0.5755860030060963</c:v>
                </c:pt>
                <c:pt idx="21" formatCode="0.000">
                  <c:v>0.70792001101905777</c:v>
                </c:pt>
                <c:pt idx="22">
                  <c:v>0.96209210643922649</c:v>
                </c:pt>
                <c:pt idx="23">
                  <c:v>0.96502346346771861</c:v>
                </c:pt>
                <c:pt idx="24">
                  <c:v>0.87947305500931861</c:v>
                </c:pt>
              </c:numCache>
            </c:numRef>
          </c:xVal>
          <c:yVal>
            <c:numRef>
              <c:f>Newer25!$EC$7:$EC$31</c:f>
              <c:numCache>
                <c:formatCode>0%</c:formatCode>
                <c:ptCount val="25"/>
                <c:pt idx="0">
                  <c:v>7.8439241025654E-2</c:v>
                </c:pt>
                <c:pt idx="1">
                  <c:v>8.1874048951944292E-2</c:v>
                </c:pt>
                <c:pt idx="2">
                  <c:v>2.2539361636219411E-2</c:v>
                </c:pt>
                <c:pt idx="3">
                  <c:v>2.4251882870101601E-2</c:v>
                </c:pt>
                <c:pt idx="4">
                  <c:v>2.7363184448693338E-2</c:v>
                </c:pt>
                <c:pt idx="5">
                  <c:v>0.35343896376678779</c:v>
                </c:pt>
                <c:pt idx="6">
                  <c:v>5.2616712760201356E-2</c:v>
                </c:pt>
                <c:pt idx="7">
                  <c:v>8.4468617951865013E-2</c:v>
                </c:pt>
                <c:pt idx="8">
                  <c:v>2.2952333250994019E-2</c:v>
                </c:pt>
                <c:pt idx="9">
                  <c:v>2.5904688371615282E-2</c:v>
                </c:pt>
                <c:pt idx="10">
                  <c:v>7.3684406130637065E-2</c:v>
                </c:pt>
                <c:pt idx="11">
                  <c:v>7.6406940564499912E-2</c:v>
                </c:pt>
                <c:pt idx="12">
                  <c:v>1.3520531988044994E-2</c:v>
                </c:pt>
                <c:pt idx="13">
                  <c:v>1.3525551295016076E-2</c:v>
                </c:pt>
                <c:pt idx="14">
                  <c:v>0.75595401246079297</c:v>
                </c:pt>
                <c:pt idx="15">
                  <c:v>6.5815422395546039E-2</c:v>
                </c:pt>
                <c:pt idx="16">
                  <c:v>7.2406742031282112E-2</c:v>
                </c:pt>
                <c:pt idx="17">
                  <c:v>5.4382957852150901E-2</c:v>
                </c:pt>
                <c:pt idx="18">
                  <c:v>0.2098055208692691</c:v>
                </c:pt>
                <c:pt idx="19">
                  <c:v>7.792133140515875E-2</c:v>
                </c:pt>
                <c:pt idx="20">
                  <c:v>0.30491708869262202</c:v>
                </c:pt>
                <c:pt idx="21">
                  <c:v>6.2359190486441882E-2</c:v>
                </c:pt>
                <c:pt idx="22">
                  <c:v>3.7949940056525848E-2</c:v>
                </c:pt>
                <c:pt idx="23">
                  <c:v>2.9668573067854493E-2</c:v>
                </c:pt>
                <c:pt idx="24">
                  <c:v>4.1879874618864554E-2</c:v>
                </c:pt>
              </c:numCache>
            </c:numRef>
          </c:yVal>
          <c:smooth val="0"/>
          <c:extLst>
            <c:ext xmlns:c16="http://schemas.microsoft.com/office/drawing/2014/chart" uri="{C3380CC4-5D6E-409C-BE32-E72D297353CC}">
              <c16:uniqueId val="{00000004-D4DE-476C-A3E8-551868D15030}"/>
            </c:ext>
          </c:extLst>
        </c:ser>
        <c:dLbls>
          <c:showLegendKey val="0"/>
          <c:showVal val="0"/>
          <c:showCatName val="0"/>
          <c:showSerName val="0"/>
          <c:showPercent val="0"/>
          <c:showBubbleSize val="0"/>
        </c:dLbls>
        <c:axId val="1189405552"/>
        <c:axId val="1292772720"/>
      </c:scatterChart>
      <c:valAx>
        <c:axId val="1189405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2772720"/>
        <c:crosses val="autoZero"/>
        <c:crossBetween val="midCat"/>
        <c:majorUnit val="0.1"/>
      </c:valAx>
      <c:valAx>
        <c:axId val="1292772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RMS Annual Variability, %</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8940555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America's</a:t>
            </a:r>
            <a:r>
              <a:rPr lang="en-US" sz="1800" b="1" baseline="0"/>
              <a:t> Oldest (2003-2011) 100 and Newer (2018) 25 PV Systems</a:t>
            </a:r>
          </a:p>
          <a:p>
            <a:pPr>
              <a:defRPr sz="1800" b="1"/>
            </a:pPr>
            <a:r>
              <a:rPr lang="en-US" sz="1800" b="1" baseline="0"/>
              <a:t>Annual PI &amp; POA variabilities as </a:t>
            </a:r>
            <a:r>
              <a:rPr lang="en-US" sz="1800" b="1" i="1" baseline="0"/>
              <a:t>f</a:t>
            </a:r>
            <a:r>
              <a:rPr lang="en-US" sz="1800" b="1" baseline="0"/>
              <a:t>(PI) for various periods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Lifetime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54742295745141945"/>
                  <c:y val="-0.43431546358617412"/>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accent1"/>
                      </a:solidFill>
                      <a:latin typeface="+mn-lt"/>
                      <a:ea typeface="+mn-ea"/>
                      <a:cs typeface="+mn-cs"/>
                    </a:defRPr>
                  </a:pPr>
                  <a:endParaRPr lang="en-US"/>
                </a:p>
              </c:txPr>
            </c:trendlineLbl>
          </c:trendline>
          <c:xVal>
            <c:numRef>
              <c:f>PlantData!$CB$7:$CB$106</c:f>
              <c:numCache>
                <c:formatCode>0.00</c:formatCode>
                <c:ptCount val="100"/>
                <c:pt idx="0">
                  <c:v>0.4223254391495242</c:v>
                </c:pt>
                <c:pt idx="1">
                  <c:v>0.8883293062644867</c:v>
                </c:pt>
                <c:pt idx="2">
                  <c:v>0.77666786901755636</c:v>
                </c:pt>
                <c:pt idx="3">
                  <c:v>0.98161033978231671</c:v>
                </c:pt>
                <c:pt idx="4">
                  <c:v>0.62716432381056253</c:v>
                </c:pt>
                <c:pt idx="5">
                  <c:v>0.91959539690607461</c:v>
                </c:pt>
                <c:pt idx="6">
                  <c:v>0.88031106349258481</c:v>
                </c:pt>
                <c:pt idx="7">
                  <c:v>0.82211896532774376</c:v>
                </c:pt>
                <c:pt idx="8">
                  <c:v>0.69289177196237006</c:v>
                </c:pt>
                <c:pt idx="9">
                  <c:v>0.47000013773752236</c:v>
                </c:pt>
                <c:pt idx="10">
                  <c:v>0.91231903506818879</c:v>
                </c:pt>
                <c:pt idx="11">
                  <c:v>0.7603580474705659</c:v>
                </c:pt>
                <c:pt idx="12">
                  <c:v>0.69471804757805666</c:v>
                </c:pt>
                <c:pt idx="13">
                  <c:v>0.86619296642192156</c:v>
                </c:pt>
                <c:pt idx="14">
                  <c:v>0.80509783098090337</c:v>
                </c:pt>
                <c:pt idx="15">
                  <c:v>0.87247347249856833</c:v>
                </c:pt>
                <c:pt idx="16">
                  <c:v>0.70489791257871792</c:v>
                </c:pt>
                <c:pt idx="17">
                  <c:v>0.98718593254235454</c:v>
                </c:pt>
                <c:pt idx="18">
                  <c:v>0.83455224708120468</c:v>
                </c:pt>
                <c:pt idx="19">
                  <c:v>1.0034820611743425</c:v>
                </c:pt>
                <c:pt idx="20">
                  <c:v>0.97945964878553882</c:v>
                </c:pt>
                <c:pt idx="21">
                  <c:v>0.80554561998610741</c:v>
                </c:pt>
                <c:pt idx="22">
                  <c:v>0.78728983102034367</c:v>
                </c:pt>
                <c:pt idx="23">
                  <c:v>0.82334171999690065</c:v>
                </c:pt>
                <c:pt idx="24">
                  <c:v>0.62537989993170884</c:v>
                </c:pt>
                <c:pt idx="25">
                  <c:v>0.85801874031390035</c:v>
                </c:pt>
                <c:pt idx="26">
                  <c:v>0.89438225168448626</c:v>
                </c:pt>
                <c:pt idx="27">
                  <c:v>0.94175918744763809</c:v>
                </c:pt>
                <c:pt idx="28">
                  <c:v>0.42964816540808276</c:v>
                </c:pt>
                <c:pt idx="29">
                  <c:v>0.84764030541524016</c:v>
                </c:pt>
                <c:pt idx="30">
                  <c:v>0.79559419125408937</c:v>
                </c:pt>
                <c:pt idx="31">
                  <c:v>0.76841211249920605</c:v>
                </c:pt>
                <c:pt idx="32">
                  <c:v>0.973617858036258</c:v>
                </c:pt>
                <c:pt idx="33">
                  <c:v>0.76406259370075247</c:v>
                </c:pt>
                <c:pt idx="34">
                  <c:v>0.82101680962123635</c:v>
                </c:pt>
                <c:pt idx="35">
                  <c:v>0.96372354744028332</c:v>
                </c:pt>
                <c:pt idx="36">
                  <c:v>0.58525823520585085</c:v>
                </c:pt>
                <c:pt idx="37">
                  <c:v>0.73474233126129429</c:v>
                </c:pt>
                <c:pt idx="38">
                  <c:v>0.61282953156478992</c:v>
                </c:pt>
                <c:pt idx="39">
                  <c:v>0.88629814450810263</c:v>
                </c:pt>
                <c:pt idx="40">
                  <c:v>0.93096529348537627</c:v>
                </c:pt>
                <c:pt idx="41">
                  <c:v>0.85602638378363893</c:v>
                </c:pt>
                <c:pt idx="42">
                  <c:v>0.78821256226159175</c:v>
                </c:pt>
                <c:pt idx="43">
                  <c:v>0.93830633455926238</c:v>
                </c:pt>
                <c:pt idx="44">
                  <c:v>0.70547949042681068</c:v>
                </c:pt>
                <c:pt idx="45">
                  <c:v>0.77132115984055394</c:v>
                </c:pt>
                <c:pt idx="46">
                  <c:v>0.74443141109319233</c:v>
                </c:pt>
                <c:pt idx="47">
                  <c:v>0.7577291341019049</c:v>
                </c:pt>
                <c:pt idx="48">
                  <c:v>0.86925867059040318</c:v>
                </c:pt>
                <c:pt idx="49">
                  <c:v>1.0256170186128266</c:v>
                </c:pt>
                <c:pt idx="50">
                  <c:v>1.0180195189881553</c:v>
                </c:pt>
                <c:pt idx="51">
                  <c:v>0.7237096988614492</c:v>
                </c:pt>
                <c:pt idx="52">
                  <c:v>0.86336455517906363</c:v>
                </c:pt>
                <c:pt idx="53">
                  <c:v>0.90474702116995132</c:v>
                </c:pt>
                <c:pt idx="54">
                  <c:v>1.0451530490491237</c:v>
                </c:pt>
                <c:pt idx="55">
                  <c:v>0.99899855886389732</c:v>
                </c:pt>
                <c:pt idx="56">
                  <c:v>0.91992304657942037</c:v>
                </c:pt>
                <c:pt idx="57">
                  <c:v>0.74562835349594958</c:v>
                </c:pt>
                <c:pt idx="58">
                  <c:v>0.6662853690633892</c:v>
                </c:pt>
                <c:pt idx="59">
                  <c:v>0.86481595248123344</c:v>
                </c:pt>
                <c:pt idx="60">
                  <c:v>0.34604067474432193</c:v>
                </c:pt>
                <c:pt idx="61">
                  <c:v>0.95638389421698122</c:v>
                </c:pt>
                <c:pt idx="62">
                  <c:v>0.80195143430654292</c:v>
                </c:pt>
                <c:pt idx="63">
                  <c:v>0.90564218391443563</c:v>
                </c:pt>
                <c:pt idx="64">
                  <c:v>0.6844742218646962</c:v>
                </c:pt>
                <c:pt idx="65">
                  <c:v>0.96323329069185337</c:v>
                </c:pt>
                <c:pt idx="66">
                  <c:v>0.96270191741735811</c:v>
                </c:pt>
                <c:pt idx="67">
                  <c:v>0.97629315081514711</c:v>
                </c:pt>
                <c:pt idx="68">
                  <c:v>0.90697071291573272</c:v>
                </c:pt>
                <c:pt idx="69">
                  <c:v>0.85206841675290124</c:v>
                </c:pt>
                <c:pt idx="70">
                  <c:v>0.91182231159603933</c:v>
                </c:pt>
                <c:pt idx="71">
                  <c:v>0.62975594795750789</c:v>
                </c:pt>
                <c:pt idx="72">
                  <c:v>0.90213180588160924</c:v>
                </c:pt>
                <c:pt idx="73">
                  <c:v>0.90331368903344955</c:v>
                </c:pt>
                <c:pt idx="74">
                  <c:v>1.0000961133344008</c:v>
                </c:pt>
                <c:pt idx="75">
                  <c:v>0.74665953776972915</c:v>
                </c:pt>
                <c:pt idx="76">
                  <c:v>0.85563375268615716</c:v>
                </c:pt>
                <c:pt idx="77">
                  <c:v>0.9388334517476713</c:v>
                </c:pt>
                <c:pt idx="78">
                  <c:v>0.71664216108131984</c:v>
                </c:pt>
                <c:pt idx="79">
                  <c:v>1.0352364170030122</c:v>
                </c:pt>
                <c:pt idx="80">
                  <c:v>0.92075554920315983</c:v>
                </c:pt>
                <c:pt idx="81">
                  <c:v>0.92088219907058377</c:v>
                </c:pt>
                <c:pt idx="82">
                  <c:v>0.9857428960508694</c:v>
                </c:pt>
                <c:pt idx="83">
                  <c:v>0.88073238276924048</c:v>
                </c:pt>
                <c:pt idx="84">
                  <c:v>0.68815063860010051</c:v>
                </c:pt>
                <c:pt idx="85">
                  <c:v>0.91253477593530907</c:v>
                </c:pt>
                <c:pt idx="86">
                  <c:v>0.93149549119118624</c:v>
                </c:pt>
                <c:pt idx="87">
                  <c:v>1.0049579563391708</c:v>
                </c:pt>
                <c:pt idx="88">
                  <c:v>0.88038083996444283</c:v>
                </c:pt>
                <c:pt idx="89">
                  <c:v>1.030229181055579</c:v>
                </c:pt>
                <c:pt idx="90">
                  <c:v>0.7219997211877226</c:v>
                </c:pt>
                <c:pt idx="91">
                  <c:v>0.82322810520926371</c:v>
                </c:pt>
                <c:pt idx="92">
                  <c:v>0.96797685535191047</c:v>
                </c:pt>
                <c:pt idx="93">
                  <c:v>1.0255334217624725</c:v>
                </c:pt>
                <c:pt idx="94">
                  <c:v>0.81368716748018988</c:v>
                </c:pt>
                <c:pt idx="95">
                  <c:v>0.89386228323894068</c:v>
                </c:pt>
                <c:pt idx="96">
                  <c:v>0.77952977414962443</c:v>
                </c:pt>
                <c:pt idx="97">
                  <c:v>0.98354338658030449</c:v>
                </c:pt>
                <c:pt idx="98">
                  <c:v>0.96928221524482927</c:v>
                </c:pt>
                <c:pt idx="99">
                  <c:v>0.86769769353721438</c:v>
                </c:pt>
              </c:numCache>
            </c:numRef>
          </c:xVal>
          <c:yVal>
            <c:numRef>
              <c:f>PlantData!$FQ$7:$FQ$106</c:f>
              <c:numCache>
                <c:formatCode>0%</c:formatCode>
                <c:ptCount val="100"/>
                <c:pt idx="0">
                  <c:v>0.46585894372868547</c:v>
                </c:pt>
                <c:pt idx="1">
                  <c:v>8.9987082653886261E-2</c:v>
                </c:pt>
                <c:pt idx="2">
                  <c:v>0.42519787777128376</c:v>
                </c:pt>
                <c:pt idx="3">
                  <c:v>6.7941766310850082E-2</c:v>
                </c:pt>
                <c:pt idx="4">
                  <c:v>0.28299534521512149</c:v>
                </c:pt>
                <c:pt idx="5">
                  <c:v>5.2031968433972849E-2</c:v>
                </c:pt>
                <c:pt idx="6">
                  <c:v>0.17547524330307565</c:v>
                </c:pt>
                <c:pt idx="7">
                  <c:v>0.29833597402030432</c:v>
                </c:pt>
                <c:pt idx="8">
                  <c:v>0.22817431262783863</c:v>
                </c:pt>
                <c:pt idx="9">
                  <c:v>0.22354734182136832</c:v>
                </c:pt>
                <c:pt idx="10">
                  <c:v>0.21695648965767103</c:v>
                </c:pt>
                <c:pt idx="11">
                  <c:v>0.20580335995063936</c:v>
                </c:pt>
                <c:pt idx="12">
                  <c:v>0.18808027336714181</c:v>
                </c:pt>
                <c:pt idx="13">
                  <c:v>2.3627310093187873E-2</c:v>
                </c:pt>
                <c:pt idx="14">
                  <c:v>0.15265113901164512</c:v>
                </c:pt>
                <c:pt idx="15">
                  <c:v>0.18325169107633887</c:v>
                </c:pt>
                <c:pt idx="16">
                  <c:v>0.31112831149226439</c:v>
                </c:pt>
                <c:pt idx="17">
                  <c:v>7.9187766415865932E-2</c:v>
                </c:pt>
                <c:pt idx="18">
                  <c:v>0.20389677162345271</c:v>
                </c:pt>
                <c:pt idx="19">
                  <c:v>4.0266839412135103E-2</c:v>
                </c:pt>
                <c:pt idx="20">
                  <c:v>2.867938154600657E-2</c:v>
                </c:pt>
                <c:pt idx="21">
                  <c:v>9.5473256928214151E-2</c:v>
                </c:pt>
                <c:pt idx="22">
                  <c:v>0.40144756061174786</c:v>
                </c:pt>
                <c:pt idx="23">
                  <c:v>0.18299902443533245</c:v>
                </c:pt>
                <c:pt idx="24">
                  <c:v>0.23265577105760013</c:v>
                </c:pt>
                <c:pt idx="25">
                  <c:v>6.1875127029762167E-2</c:v>
                </c:pt>
                <c:pt idx="26">
                  <c:v>0.12366219964144039</c:v>
                </c:pt>
                <c:pt idx="27">
                  <c:v>1.7358781121541794E-2</c:v>
                </c:pt>
                <c:pt idx="28">
                  <c:v>0.36053569149362302</c:v>
                </c:pt>
                <c:pt idx="29">
                  <c:v>0.1303656434802318</c:v>
                </c:pt>
                <c:pt idx="30">
                  <c:v>0.20827450492857971</c:v>
                </c:pt>
                <c:pt idx="31">
                  <c:v>0.19850187098766167</c:v>
                </c:pt>
                <c:pt idx="32">
                  <c:v>0.14216133864595362</c:v>
                </c:pt>
                <c:pt idx="33">
                  <c:v>0.1336121797238618</c:v>
                </c:pt>
                <c:pt idx="34">
                  <c:v>0.15669957795301132</c:v>
                </c:pt>
                <c:pt idx="35">
                  <c:v>7.7516802874618554E-2</c:v>
                </c:pt>
                <c:pt idx="36">
                  <c:v>0.287083057530089</c:v>
                </c:pt>
                <c:pt idx="37">
                  <c:v>0.19830048272048423</c:v>
                </c:pt>
                <c:pt idx="38">
                  <c:v>0.1998957777026048</c:v>
                </c:pt>
                <c:pt idx="39">
                  <c:v>4.7163052781303713E-2</c:v>
                </c:pt>
                <c:pt idx="40">
                  <c:v>1.4734319620817189E-2</c:v>
                </c:pt>
                <c:pt idx="41">
                  <c:v>0.14162244070203645</c:v>
                </c:pt>
                <c:pt idx="42">
                  <c:v>0.25877071517492972</c:v>
                </c:pt>
                <c:pt idx="43">
                  <c:v>5.1958633470531333E-2</c:v>
                </c:pt>
                <c:pt idx="44">
                  <c:v>0.16278452462340798</c:v>
                </c:pt>
                <c:pt idx="45">
                  <c:v>9.2119682975208297E-2</c:v>
                </c:pt>
                <c:pt idx="46">
                  <c:v>0.267494664202715</c:v>
                </c:pt>
                <c:pt idx="47">
                  <c:v>7.3305004553583034E-2</c:v>
                </c:pt>
                <c:pt idx="48">
                  <c:v>0.20015340023296488</c:v>
                </c:pt>
                <c:pt idx="49">
                  <c:v>3.4625996327745011E-2</c:v>
                </c:pt>
                <c:pt idx="50">
                  <c:v>1.984356902453336E-2</c:v>
                </c:pt>
                <c:pt idx="51">
                  <c:v>0.12482295558343184</c:v>
                </c:pt>
                <c:pt idx="52">
                  <c:v>8.7480241048313145E-2</c:v>
                </c:pt>
                <c:pt idx="53">
                  <c:v>5.9252681087261214E-2</c:v>
                </c:pt>
                <c:pt idx="54">
                  <c:v>5.5644682099417635E-2</c:v>
                </c:pt>
                <c:pt idx="55">
                  <c:v>2.7013425691157347E-2</c:v>
                </c:pt>
                <c:pt idx="56">
                  <c:v>0.10440218201288061</c:v>
                </c:pt>
                <c:pt idx="57">
                  <c:v>0.254173997530805</c:v>
                </c:pt>
                <c:pt idx="58">
                  <c:v>0.24693332352609274</c:v>
                </c:pt>
                <c:pt idx="59">
                  <c:v>5.4137124170499956E-2</c:v>
                </c:pt>
                <c:pt idx="60">
                  <c:v>0.62071649904420056</c:v>
                </c:pt>
                <c:pt idx="61">
                  <c:v>8.9387012741142635E-2</c:v>
                </c:pt>
                <c:pt idx="62">
                  <c:v>8.7620112963460228E-2</c:v>
                </c:pt>
                <c:pt idx="63">
                  <c:v>9.1792433088497993E-2</c:v>
                </c:pt>
                <c:pt idx="64">
                  <c:v>0.11002238952506868</c:v>
                </c:pt>
                <c:pt idx="65">
                  <c:v>6.8776687444174894E-2</c:v>
                </c:pt>
                <c:pt idx="66">
                  <c:v>6.8179403623275819E-2</c:v>
                </c:pt>
                <c:pt idx="67">
                  <c:v>7.3758638997599504E-2</c:v>
                </c:pt>
                <c:pt idx="68">
                  <c:v>0.16222046121428207</c:v>
                </c:pt>
                <c:pt idx="69">
                  <c:v>5.4263275531647774E-2</c:v>
                </c:pt>
                <c:pt idx="70">
                  <c:v>7.0659394654338362E-2</c:v>
                </c:pt>
                <c:pt idx="71">
                  <c:v>0.28192887310025644</c:v>
                </c:pt>
                <c:pt idx="72">
                  <c:v>0.13684430170414477</c:v>
                </c:pt>
                <c:pt idx="73">
                  <c:v>5.0602640656698089E-2</c:v>
                </c:pt>
                <c:pt idx="74">
                  <c:v>8.7196699591747431E-2</c:v>
                </c:pt>
                <c:pt idx="75">
                  <c:v>0.10791461140674943</c:v>
                </c:pt>
                <c:pt idx="76">
                  <c:v>0.20414482130925765</c:v>
                </c:pt>
                <c:pt idx="77">
                  <c:v>4.2162274057718399E-2</c:v>
                </c:pt>
                <c:pt idx="78">
                  <c:v>0.23594481380686522</c:v>
                </c:pt>
                <c:pt idx="79">
                  <c:v>2.9146547166314245E-2</c:v>
                </c:pt>
                <c:pt idx="80">
                  <c:v>6.109351777369304E-2</c:v>
                </c:pt>
                <c:pt idx="81">
                  <c:v>6.5620005736297601E-2</c:v>
                </c:pt>
                <c:pt idx="82">
                  <c:v>1.9842384409108012E-2</c:v>
                </c:pt>
                <c:pt idx="83">
                  <c:v>0.22711904599053129</c:v>
                </c:pt>
                <c:pt idx="84">
                  <c:v>0.12003174090313963</c:v>
                </c:pt>
                <c:pt idx="85">
                  <c:v>3.7272476787945402E-2</c:v>
                </c:pt>
                <c:pt idx="86" formatCode="0.0%">
                  <c:v>5.1400673699637071E-2</c:v>
                </c:pt>
                <c:pt idx="87">
                  <c:v>5.419442467603669E-2</c:v>
                </c:pt>
                <c:pt idx="88" formatCode="0.0%">
                  <c:v>4.8286042368105075E-2</c:v>
                </c:pt>
                <c:pt idx="89">
                  <c:v>3.6594329139763002E-2</c:v>
                </c:pt>
                <c:pt idx="90">
                  <c:v>0.3171541142757428</c:v>
                </c:pt>
                <c:pt idx="91">
                  <c:v>0.36402629646324769</c:v>
                </c:pt>
                <c:pt idx="92">
                  <c:v>5.7083671147200254E-2</c:v>
                </c:pt>
                <c:pt idx="93">
                  <c:v>0.10756823203845561</c:v>
                </c:pt>
                <c:pt idx="94">
                  <c:v>5.4289745444175593E-2</c:v>
                </c:pt>
                <c:pt idx="95">
                  <c:v>4.2306254764492707E-2</c:v>
                </c:pt>
                <c:pt idx="96">
                  <c:v>0.10406842972276527</c:v>
                </c:pt>
                <c:pt idx="97">
                  <c:v>4.5896517942904259E-2</c:v>
                </c:pt>
                <c:pt idx="98">
                  <c:v>7.7224372448883263E-2</c:v>
                </c:pt>
                <c:pt idx="99">
                  <c:v>5.2443859576607813E-2</c:v>
                </c:pt>
              </c:numCache>
            </c:numRef>
          </c:yVal>
          <c:smooth val="0"/>
          <c:extLst>
            <c:ext xmlns:c16="http://schemas.microsoft.com/office/drawing/2014/chart" uri="{C3380CC4-5D6E-409C-BE32-E72D297353CC}">
              <c16:uniqueId val="{00000001-1C1E-445F-A290-042243FD7BE0}"/>
            </c:ext>
          </c:extLst>
        </c:ser>
        <c:ser>
          <c:idx val="1"/>
          <c:order val="1"/>
          <c:tx>
            <c:v>1st 7 years</c:v>
          </c:tx>
          <c:spPr>
            <a:ln w="25400" cap="rnd">
              <a:noFill/>
              <a:round/>
            </a:ln>
            <a:effectLst/>
          </c:spPr>
          <c:marker>
            <c:symbol val="circle"/>
            <c:size val="5"/>
            <c:spPr>
              <a:no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0.37913053528859353"/>
                  <c:y val="-0.43431546358617412"/>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accent2"/>
                      </a:solidFill>
                      <a:latin typeface="+mn-lt"/>
                      <a:ea typeface="+mn-ea"/>
                      <a:cs typeface="+mn-cs"/>
                    </a:defRPr>
                  </a:pPr>
                  <a:endParaRPr lang="en-US"/>
                </a:p>
              </c:txPr>
            </c:trendlineLbl>
          </c:trendline>
          <c:xVal>
            <c:numRef>
              <c:f>PlantData!$EB$7:$EB$106</c:f>
              <c:numCache>
                <c:formatCode>0.00</c:formatCode>
                <c:ptCount val="100"/>
                <c:pt idx="0">
                  <c:v>0.56851708568871795</c:v>
                </c:pt>
                <c:pt idx="1">
                  <c:v>1.0107724775877311</c:v>
                </c:pt>
                <c:pt idx="2">
                  <c:v>0.86570053296958449</c:v>
                </c:pt>
                <c:pt idx="3">
                  <c:v>0.97166868486001357</c:v>
                </c:pt>
                <c:pt idx="4">
                  <c:v>0.80931959967531575</c:v>
                </c:pt>
                <c:pt idx="5">
                  <c:v>0.92725191272090157</c:v>
                </c:pt>
                <c:pt idx="6">
                  <c:v>0.91620554355528239</c:v>
                </c:pt>
                <c:pt idx="7">
                  <c:v>0.76699884973983434</c:v>
                </c:pt>
                <c:pt idx="8">
                  <c:v>0.83150207918959695</c:v>
                </c:pt>
                <c:pt idx="9">
                  <c:v>0.64119090237038734</c:v>
                </c:pt>
                <c:pt idx="10">
                  <c:v>0.93855869104496215</c:v>
                </c:pt>
                <c:pt idx="11">
                  <c:v>0.81595547155658887</c:v>
                </c:pt>
                <c:pt idx="12">
                  <c:v>0.7944404876754263</c:v>
                </c:pt>
                <c:pt idx="13">
                  <c:v>0.89514964970305311</c:v>
                </c:pt>
                <c:pt idx="14">
                  <c:v>0.8541734388204415</c:v>
                </c:pt>
                <c:pt idx="15">
                  <c:v>1.0282994015601952</c:v>
                </c:pt>
                <c:pt idx="16">
                  <c:v>0.68527681325271939</c:v>
                </c:pt>
                <c:pt idx="17">
                  <c:v>1.0060490087511476</c:v>
                </c:pt>
                <c:pt idx="18">
                  <c:v>0.91837406341065808</c:v>
                </c:pt>
                <c:pt idx="19">
                  <c:v>1.0990750602302657</c:v>
                </c:pt>
                <c:pt idx="20">
                  <c:v>0.99802368864270752</c:v>
                </c:pt>
                <c:pt idx="21">
                  <c:v>0.85235898110007213</c:v>
                </c:pt>
                <c:pt idx="22">
                  <c:v>0.95596033384959567</c:v>
                </c:pt>
                <c:pt idx="23">
                  <c:v>0.93972672787108391</c:v>
                </c:pt>
                <c:pt idx="24">
                  <c:v>0.70347956038259984</c:v>
                </c:pt>
                <c:pt idx="25">
                  <c:v>0.90448528686718987</c:v>
                </c:pt>
                <c:pt idx="26">
                  <c:v>0.95981374475155001</c:v>
                </c:pt>
                <c:pt idx="27">
                  <c:v>0.98599309576541649</c:v>
                </c:pt>
                <c:pt idx="28">
                  <c:v>0.56160320900082894</c:v>
                </c:pt>
                <c:pt idx="29">
                  <c:v>0.97057866831494799</c:v>
                </c:pt>
                <c:pt idx="30">
                  <c:v>0.92278528390438863</c:v>
                </c:pt>
                <c:pt idx="31">
                  <c:v>0.92866628717477617</c:v>
                </c:pt>
                <c:pt idx="32">
                  <c:v>0.96416855506568466</c:v>
                </c:pt>
                <c:pt idx="33">
                  <c:v>0.94715657560250544</c:v>
                </c:pt>
                <c:pt idx="34">
                  <c:v>0.95553821381164306</c:v>
                </c:pt>
                <c:pt idx="35">
                  <c:v>1.0440374430785149</c:v>
                </c:pt>
                <c:pt idx="36">
                  <c:v>0.6124789474619371</c:v>
                </c:pt>
                <c:pt idx="37">
                  <c:v>0.93170881133279626</c:v>
                </c:pt>
                <c:pt idx="38">
                  <c:v>0.70432209767174636</c:v>
                </c:pt>
                <c:pt idx="39">
                  <c:v>0.94516121254911156</c:v>
                </c:pt>
                <c:pt idx="40">
                  <c:v>0.94492726141041383</c:v>
                </c:pt>
                <c:pt idx="41">
                  <c:v>0.99179467323066339</c:v>
                </c:pt>
                <c:pt idx="42">
                  <c:v>0.83720324598590745</c:v>
                </c:pt>
                <c:pt idx="43">
                  <c:v>0.96399003735735411</c:v>
                </c:pt>
                <c:pt idx="44">
                  <c:v>0.73792398816799987</c:v>
                </c:pt>
                <c:pt idx="45">
                  <c:v>0.8812164004388493</c:v>
                </c:pt>
                <c:pt idx="46">
                  <c:v>0.76760969653578959</c:v>
                </c:pt>
                <c:pt idx="47">
                  <c:v>0.94218950075248842</c:v>
                </c:pt>
                <c:pt idx="48">
                  <c:v>0.97527036693322988</c:v>
                </c:pt>
                <c:pt idx="49">
                  <c:v>1.0395810415840241</c:v>
                </c:pt>
                <c:pt idx="50">
                  <c:v>1.0198732144565279</c:v>
                </c:pt>
                <c:pt idx="51">
                  <c:v>0.90832959170427674</c:v>
                </c:pt>
                <c:pt idx="52">
                  <c:v>0.87502393022770553</c:v>
                </c:pt>
                <c:pt idx="53">
                  <c:v>1.004323289858716</c:v>
                </c:pt>
                <c:pt idx="54">
                  <c:v>1.0789825279131464</c:v>
                </c:pt>
                <c:pt idx="55">
                  <c:v>1.0064454102286391</c:v>
                </c:pt>
                <c:pt idx="56">
                  <c:v>0.90439169895144189</c:v>
                </c:pt>
                <c:pt idx="57">
                  <c:v>0.82425261599790101</c:v>
                </c:pt>
                <c:pt idx="58">
                  <c:v>0.86106476977359947</c:v>
                </c:pt>
                <c:pt idx="59">
                  <c:v>0.85788323825218171</c:v>
                </c:pt>
                <c:pt idx="60">
                  <c:v>0.58725746945327306</c:v>
                </c:pt>
                <c:pt idx="61">
                  <c:v>1.0089282830271644</c:v>
                </c:pt>
                <c:pt idx="62">
                  <c:v>0.88481005074214092</c:v>
                </c:pt>
                <c:pt idx="63">
                  <c:v>1.0093910805484663</c:v>
                </c:pt>
                <c:pt idx="64">
                  <c:v>0.87575248198479394</c:v>
                </c:pt>
                <c:pt idx="65">
                  <c:v>1.0486296544783484</c:v>
                </c:pt>
                <c:pt idx="66">
                  <c:v>0.96015699906993746</c:v>
                </c:pt>
                <c:pt idx="67">
                  <c:v>1.0570404918361203</c:v>
                </c:pt>
                <c:pt idx="68">
                  <c:v>0.86947852311680529</c:v>
                </c:pt>
                <c:pt idx="69">
                  <c:v>0.91730673548918706</c:v>
                </c:pt>
                <c:pt idx="70">
                  <c:v>0.91151769938688354</c:v>
                </c:pt>
                <c:pt idx="71">
                  <c:v>0.78779914602743595</c:v>
                </c:pt>
                <c:pt idx="72">
                  <c:v>0.89217734775336266</c:v>
                </c:pt>
                <c:pt idx="73">
                  <c:v>0.97497551108151526</c:v>
                </c:pt>
                <c:pt idx="74">
                  <c:v>1.0074858046053703</c:v>
                </c:pt>
                <c:pt idx="75">
                  <c:v>0.9949130920634377</c:v>
                </c:pt>
                <c:pt idx="76">
                  <c:v>0.92483352176554068</c:v>
                </c:pt>
                <c:pt idx="77">
                  <c:v>0.92412485782014075</c:v>
                </c:pt>
                <c:pt idx="78">
                  <c:v>0.81159065720887158</c:v>
                </c:pt>
                <c:pt idx="79">
                  <c:v>1.0343881739463339</c:v>
                </c:pt>
                <c:pt idx="80">
                  <c:v>0.95373781448674344</c:v>
                </c:pt>
                <c:pt idx="81">
                  <c:v>0.93038141181240874</c:v>
                </c:pt>
                <c:pt idx="82">
                  <c:v>0.98297362093743734</c:v>
                </c:pt>
                <c:pt idx="83">
                  <c:v>0.80203204729770472</c:v>
                </c:pt>
                <c:pt idx="84">
                  <c:v>0.7937879659417022</c:v>
                </c:pt>
                <c:pt idx="85">
                  <c:v>0.92478517099889335</c:v>
                </c:pt>
                <c:pt idx="86">
                  <c:v>0.93461853449205412</c:v>
                </c:pt>
                <c:pt idx="87">
                  <c:v>1.0495943153803831</c:v>
                </c:pt>
                <c:pt idx="88">
                  <c:v>0.99241126493858522</c:v>
                </c:pt>
                <c:pt idx="89">
                  <c:v>1.0327623927802236</c:v>
                </c:pt>
                <c:pt idx="90">
                  <c:v>0.75311772389827902</c:v>
                </c:pt>
                <c:pt idx="91">
                  <c:v>0.96661595347362406</c:v>
                </c:pt>
                <c:pt idx="92">
                  <c:v>0.99885109046809761</c:v>
                </c:pt>
                <c:pt idx="93">
                  <c:v>0.97583926010624655</c:v>
                </c:pt>
                <c:pt idx="94">
                  <c:v>0.93010697903359185</c:v>
                </c:pt>
                <c:pt idx="95">
                  <c:v>1.0108002414335442</c:v>
                </c:pt>
                <c:pt idx="96">
                  <c:v>0.9463804168590737</c:v>
                </c:pt>
                <c:pt idx="97">
                  <c:v>0.99224305059224016</c:v>
                </c:pt>
                <c:pt idx="98">
                  <c:v>0.94783027221040606</c:v>
                </c:pt>
                <c:pt idx="99">
                  <c:v>1.0020217765728923</c:v>
                </c:pt>
              </c:numCache>
            </c:numRef>
          </c:xVal>
          <c:yVal>
            <c:numRef>
              <c:f>PlantData!$FV$7:$FV$106</c:f>
              <c:numCache>
                <c:formatCode>0%</c:formatCode>
                <c:ptCount val="100"/>
                <c:pt idx="0">
                  <c:v>0.35900466158165162</c:v>
                </c:pt>
                <c:pt idx="1">
                  <c:v>1.1266187938018623E-2</c:v>
                </c:pt>
                <c:pt idx="2">
                  <c:v>1.6415069739107484E-2</c:v>
                </c:pt>
                <c:pt idx="3">
                  <c:v>3.4707422704724974E-2</c:v>
                </c:pt>
                <c:pt idx="4">
                  <c:v>0.24558329952199795</c:v>
                </c:pt>
                <c:pt idx="5">
                  <c:v>1.3717414661262708E-2</c:v>
                </c:pt>
                <c:pt idx="6">
                  <c:v>0.16468777868252593</c:v>
                </c:pt>
                <c:pt idx="7">
                  <c:v>0.41939673869619892</c:v>
                </c:pt>
                <c:pt idx="8">
                  <c:v>0.19912224480329155</c:v>
                </c:pt>
                <c:pt idx="9">
                  <c:v>0.12938544234167085</c:v>
                </c:pt>
                <c:pt idx="10">
                  <c:v>4.0208387860952495E-2</c:v>
                </c:pt>
                <c:pt idx="11">
                  <c:v>5.3003512031051053E-2</c:v>
                </c:pt>
                <c:pt idx="12">
                  <c:v>0.16645062075429948</c:v>
                </c:pt>
                <c:pt idx="13">
                  <c:v>2.0462570071391281E-2</c:v>
                </c:pt>
                <c:pt idx="14">
                  <c:v>0.17708165321633365</c:v>
                </c:pt>
                <c:pt idx="15">
                  <c:v>9.3568084819196776E-2</c:v>
                </c:pt>
                <c:pt idx="16">
                  <c:v>0.41567755476760709</c:v>
                </c:pt>
                <c:pt idx="17">
                  <c:v>0.10267537770546907</c:v>
                </c:pt>
                <c:pt idx="18">
                  <c:v>5.8071648067424785E-2</c:v>
                </c:pt>
                <c:pt idx="19">
                  <c:v>2.1245699139014768E-2</c:v>
                </c:pt>
                <c:pt idx="20">
                  <c:v>2.3456363290405402E-2</c:v>
                </c:pt>
                <c:pt idx="21">
                  <c:v>0.10471457030303871</c:v>
                </c:pt>
                <c:pt idx="22">
                  <c:v>0.36724797312489543</c:v>
                </c:pt>
                <c:pt idx="23">
                  <c:v>0.15002312726041964</c:v>
                </c:pt>
                <c:pt idx="24">
                  <c:v>0.22136707454170082</c:v>
                </c:pt>
                <c:pt idx="25">
                  <c:v>4.5271268925330808E-2</c:v>
                </c:pt>
                <c:pt idx="26">
                  <c:v>0.14138862035340019</c:v>
                </c:pt>
                <c:pt idx="27">
                  <c:v>1.6593686122240416E-2</c:v>
                </c:pt>
                <c:pt idx="28">
                  <c:v>0.13981422562607537</c:v>
                </c:pt>
                <c:pt idx="29">
                  <c:v>2.3678816309792003E-2</c:v>
                </c:pt>
                <c:pt idx="30">
                  <c:v>3.4659547082064576E-2</c:v>
                </c:pt>
                <c:pt idx="31">
                  <c:v>9.1107960990781667E-2</c:v>
                </c:pt>
                <c:pt idx="32">
                  <c:v>3.4066254684282843E-2</c:v>
                </c:pt>
                <c:pt idx="33">
                  <c:v>1.0481610427990203E-2</c:v>
                </c:pt>
                <c:pt idx="34">
                  <c:v>3.2247147114215419E-2</c:v>
                </c:pt>
                <c:pt idx="35">
                  <c:v>5.0286820929700715E-2</c:v>
                </c:pt>
                <c:pt idx="36">
                  <c:v>0.36756069373215727</c:v>
                </c:pt>
                <c:pt idx="37">
                  <c:v>2.3375342674182256E-2</c:v>
                </c:pt>
                <c:pt idx="38">
                  <c:v>3.1813560806372383E-2</c:v>
                </c:pt>
                <c:pt idx="39">
                  <c:v>5.0093662085376495E-2</c:v>
                </c:pt>
                <c:pt idx="40">
                  <c:v>1.1361512546095444E-2</c:v>
                </c:pt>
                <c:pt idx="41">
                  <c:v>3.8385372907867477E-2</c:v>
                </c:pt>
                <c:pt idx="42">
                  <c:v>9.9267985954167526E-2</c:v>
                </c:pt>
                <c:pt idx="43">
                  <c:v>2.7284760957557049E-2</c:v>
                </c:pt>
                <c:pt idx="44">
                  <c:v>0.20478969519324999</c:v>
                </c:pt>
                <c:pt idx="45">
                  <c:v>7.1856662129958906E-2</c:v>
                </c:pt>
                <c:pt idx="46">
                  <c:v>0.35761783547351472</c:v>
                </c:pt>
                <c:pt idx="47">
                  <c:v>6.6872480037353924E-2</c:v>
                </c:pt>
                <c:pt idx="48">
                  <c:v>4.5059506521166852E-2</c:v>
                </c:pt>
                <c:pt idx="49">
                  <c:v>3.2837684704158647E-2</c:v>
                </c:pt>
                <c:pt idx="50">
                  <c:v>1.8306350025625071E-2</c:v>
                </c:pt>
                <c:pt idx="51">
                  <c:v>7.7235262284706035E-2</c:v>
                </c:pt>
                <c:pt idx="52">
                  <c:v>7.7653677764689844E-2</c:v>
                </c:pt>
                <c:pt idx="53">
                  <c:v>2.6681469190569729E-2</c:v>
                </c:pt>
                <c:pt idx="54">
                  <c:v>4.7425725179189172E-2</c:v>
                </c:pt>
                <c:pt idx="55">
                  <c:v>2.7466349270784778E-2</c:v>
                </c:pt>
                <c:pt idx="56">
                  <c:v>0.10738948849427167</c:v>
                </c:pt>
                <c:pt idx="57">
                  <c:v>5.0709121132302429E-2</c:v>
                </c:pt>
                <c:pt idx="58">
                  <c:v>7.6250137304283261E-2</c:v>
                </c:pt>
                <c:pt idx="59">
                  <c:v>3.6898028604722327E-2</c:v>
                </c:pt>
                <c:pt idx="60">
                  <c:v>0.44918438536311628</c:v>
                </c:pt>
                <c:pt idx="61">
                  <c:v>6.4910943602989921E-2</c:v>
                </c:pt>
                <c:pt idx="62">
                  <c:v>0.10143805446095619</c:v>
                </c:pt>
                <c:pt idx="63">
                  <c:v>2.5640762958759149E-2</c:v>
                </c:pt>
                <c:pt idx="64">
                  <c:v>3.0408644539476514E-2</c:v>
                </c:pt>
                <c:pt idx="65">
                  <c:v>3.2255800358496366E-2</c:v>
                </c:pt>
                <c:pt idx="66">
                  <c:v>3.4945392666825975E-2</c:v>
                </c:pt>
                <c:pt idx="67">
                  <c:v>3.644794394042615E-2</c:v>
                </c:pt>
                <c:pt idx="68">
                  <c:v>0.23333533928683955</c:v>
                </c:pt>
                <c:pt idx="69">
                  <c:v>4.0714908368577635E-2</c:v>
                </c:pt>
                <c:pt idx="70">
                  <c:v>3.2193421234928868E-2</c:v>
                </c:pt>
                <c:pt idx="71">
                  <c:v>0.19660524641868901</c:v>
                </c:pt>
                <c:pt idx="72">
                  <c:v>0.10207822295777291</c:v>
                </c:pt>
                <c:pt idx="73">
                  <c:v>3.861050142043445E-2</c:v>
                </c:pt>
                <c:pt idx="74">
                  <c:v>5.8876240239126715E-2</c:v>
                </c:pt>
                <c:pt idx="75">
                  <c:v>1.3279071963808443E-2</c:v>
                </c:pt>
                <c:pt idx="76">
                  <c:v>0.12369770632414191</c:v>
                </c:pt>
                <c:pt idx="77">
                  <c:v>3.9068357002384618E-2</c:v>
                </c:pt>
                <c:pt idx="78">
                  <c:v>8.8346289097485015E-2</c:v>
                </c:pt>
                <c:pt idx="79">
                  <c:v>3.3526511452790855E-2</c:v>
                </c:pt>
                <c:pt idx="80">
                  <c:v>5.6832245888073486E-2</c:v>
                </c:pt>
                <c:pt idx="81">
                  <c:v>7.3980722632383547E-2</c:v>
                </c:pt>
                <c:pt idx="82">
                  <c:v>2.1225153847644323E-2</c:v>
                </c:pt>
                <c:pt idx="83">
                  <c:v>0.34217706377618551</c:v>
                </c:pt>
                <c:pt idx="84">
                  <c:v>6.733077781930856E-2</c:v>
                </c:pt>
                <c:pt idx="85">
                  <c:v>3.8835559739525551E-2</c:v>
                </c:pt>
                <c:pt idx="86">
                  <c:v>4.9126458179204503E-2</c:v>
                </c:pt>
                <c:pt idx="87">
                  <c:v>1.2089937156986828E-2</c:v>
                </c:pt>
                <c:pt idx="88">
                  <c:v>4.8407228722874181E-2</c:v>
                </c:pt>
                <c:pt idx="89">
                  <c:v>3.3919614265646034E-2</c:v>
                </c:pt>
                <c:pt idx="90">
                  <c:v>0.40924808463656748</c:v>
                </c:pt>
                <c:pt idx="91">
                  <c:v>7.7832291710227569E-2</c:v>
                </c:pt>
                <c:pt idx="92">
                  <c:v>3.827835845577026E-2</c:v>
                </c:pt>
                <c:pt idx="93">
                  <c:v>0.15024758493598397</c:v>
                </c:pt>
                <c:pt idx="94">
                  <c:v>5.4413297005078812E-2</c:v>
                </c:pt>
                <c:pt idx="95">
                  <c:v>3.7349796288858456E-2</c:v>
                </c:pt>
                <c:pt idx="96">
                  <c:v>0.11432843377751552</c:v>
                </c:pt>
                <c:pt idx="97">
                  <c:v>2.6415967364948934E-2</c:v>
                </c:pt>
                <c:pt idx="98">
                  <c:v>9.7840687075409466E-2</c:v>
                </c:pt>
                <c:pt idx="99">
                  <c:v>5.0368288875799708E-2</c:v>
                </c:pt>
              </c:numCache>
            </c:numRef>
          </c:yVal>
          <c:smooth val="0"/>
          <c:extLst>
            <c:ext xmlns:c16="http://schemas.microsoft.com/office/drawing/2014/chart" uri="{C3380CC4-5D6E-409C-BE32-E72D297353CC}">
              <c16:uniqueId val="{00000003-1C1E-445F-A290-042243FD7BE0}"/>
            </c:ext>
          </c:extLst>
        </c:ser>
        <c:ser>
          <c:idx val="2"/>
          <c:order val="2"/>
          <c:tx>
            <c:v>Newer 25 (5-7 yrs)</c:v>
          </c:tx>
          <c:spPr>
            <a:ln w="25400" cap="rnd">
              <a:noFill/>
              <a:round/>
            </a:ln>
            <a:effectLst/>
          </c:spPr>
          <c:marker>
            <c:symbol val="circle"/>
            <c:size val="7"/>
            <c:spPr>
              <a:noFill/>
              <a:ln w="15875">
                <a:solidFill>
                  <a:srgbClr val="00B050"/>
                </a:solidFill>
              </a:ln>
              <a:effectLst/>
            </c:spPr>
          </c:marker>
          <c:trendline>
            <c:spPr>
              <a:ln w="19050" cap="rnd">
                <a:solidFill>
                  <a:srgbClr val="00B050"/>
                </a:solidFill>
                <a:prstDash val="sysDot"/>
              </a:ln>
              <a:effectLst/>
            </c:spPr>
            <c:trendlineType val="linear"/>
            <c:dispRSqr val="1"/>
            <c:dispEq val="1"/>
            <c:trendlineLbl>
              <c:layout>
                <c:manualLayout>
                  <c:x val="-0.19559101350863253"/>
                  <c:y val="-0.43836097527411927"/>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rgbClr val="00B050"/>
                      </a:solidFill>
                      <a:latin typeface="+mn-lt"/>
                      <a:ea typeface="+mn-ea"/>
                      <a:cs typeface="+mn-cs"/>
                    </a:defRPr>
                  </a:pPr>
                  <a:endParaRPr lang="en-US"/>
                </a:p>
              </c:txPr>
            </c:trendlineLbl>
          </c:trendline>
          <c:xVal>
            <c:numRef>
              <c:f>Newer25!$CB$7:$CB$31</c:f>
              <c:numCache>
                <c:formatCode>0.00</c:formatCode>
                <c:ptCount val="25"/>
                <c:pt idx="0">
                  <c:v>1.0352031594480515</c:v>
                </c:pt>
                <c:pt idx="1">
                  <c:v>0.92456425541434972</c:v>
                </c:pt>
                <c:pt idx="2">
                  <c:v>0.9329953550940765</c:v>
                </c:pt>
                <c:pt idx="3">
                  <c:v>0.93899232282022227</c:v>
                </c:pt>
                <c:pt idx="4">
                  <c:v>1.0088221455892812</c:v>
                </c:pt>
                <c:pt idx="5">
                  <c:v>0.70342443001727684</c:v>
                </c:pt>
                <c:pt idx="6" formatCode="0.000">
                  <c:v>0.76268020864649744</c:v>
                </c:pt>
                <c:pt idx="7">
                  <c:v>0.88746463558037436</c:v>
                </c:pt>
                <c:pt idx="8">
                  <c:v>0.97400461986618647</c:v>
                </c:pt>
                <c:pt idx="9">
                  <c:v>0.97459041477593134</c:v>
                </c:pt>
                <c:pt idx="10">
                  <c:v>0.82001793308335491</c:v>
                </c:pt>
                <c:pt idx="11" formatCode="0.0000">
                  <c:v>0.79054081372113016</c:v>
                </c:pt>
                <c:pt idx="12">
                  <c:v>0.95276051176215137</c:v>
                </c:pt>
                <c:pt idx="13">
                  <c:v>1.0851671682870663</c:v>
                </c:pt>
                <c:pt idx="14">
                  <c:v>0.60485371093527607</c:v>
                </c:pt>
                <c:pt idx="15">
                  <c:v>0.8464125112158809</c:v>
                </c:pt>
                <c:pt idx="16">
                  <c:v>0.84930518365793339</c:v>
                </c:pt>
                <c:pt idx="17" formatCode="0.0000">
                  <c:v>0.77528018868209148</c:v>
                </c:pt>
                <c:pt idx="18">
                  <c:v>0.83127608105390849</c:v>
                </c:pt>
                <c:pt idx="19">
                  <c:v>0.89719117149648298</c:v>
                </c:pt>
                <c:pt idx="20">
                  <c:v>0.5755860030060963</c:v>
                </c:pt>
                <c:pt idx="21" formatCode="0.000">
                  <c:v>0.70792001101905777</c:v>
                </c:pt>
                <c:pt idx="22">
                  <c:v>0.96209210643922649</c:v>
                </c:pt>
                <c:pt idx="23">
                  <c:v>0.96502346346771861</c:v>
                </c:pt>
                <c:pt idx="24">
                  <c:v>0.87947305500931861</c:v>
                </c:pt>
              </c:numCache>
            </c:numRef>
          </c:xVal>
          <c:yVal>
            <c:numRef>
              <c:f>Newer25!$EC$7:$EC$31</c:f>
              <c:numCache>
                <c:formatCode>0%</c:formatCode>
                <c:ptCount val="25"/>
                <c:pt idx="0">
                  <c:v>7.8439241025654E-2</c:v>
                </c:pt>
                <c:pt idx="1">
                  <c:v>8.1874048951944292E-2</c:v>
                </c:pt>
                <c:pt idx="2">
                  <c:v>2.2539361636219411E-2</c:v>
                </c:pt>
                <c:pt idx="3">
                  <c:v>2.4251882870101601E-2</c:v>
                </c:pt>
                <c:pt idx="4">
                  <c:v>2.7363184448693338E-2</c:v>
                </c:pt>
                <c:pt idx="5">
                  <c:v>0.35343896376678779</c:v>
                </c:pt>
                <c:pt idx="6">
                  <c:v>5.2616712760201356E-2</c:v>
                </c:pt>
                <c:pt idx="7">
                  <c:v>8.4468617951865013E-2</c:v>
                </c:pt>
                <c:pt idx="8">
                  <c:v>2.2952333250994019E-2</c:v>
                </c:pt>
                <c:pt idx="9">
                  <c:v>2.5904688371615282E-2</c:v>
                </c:pt>
                <c:pt idx="10">
                  <c:v>7.3684406130637065E-2</c:v>
                </c:pt>
                <c:pt idx="11">
                  <c:v>7.6406940564499912E-2</c:v>
                </c:pt>
                <c:pt idx="12">
                  <c:v>1.3520531988044994E-2</c:v>
                </c:pt>
                <c:pt idx="13">
                  <c:v>1.3525551295016076E-2</c:v>
                </c:pt>
                <c:pt idx="14">
                  <c:v>0.75595401246079297</c:v>
                </c:pt>
                <c:pt idx="15">
                  <c:v>6.5815422395546039E-2</c:v>
                </c:pt>
                <c:pt idx="16">
                  <c:v>7.2406742031282112E-2</c:v>
                </c:pt>
                <c:pt idx="17">
                  <c:v>5.4382957852150901E-2</c:v>
                </c:pt>
                <c:pt idx="18">
                  <c:v>0.2098055208692691</c:v>
                </c:pt>
                <c:pt idx="19">
                  <c:v>7.792133140515875E-2</c:v>
                </c:pt>
                <c:pt idx="20">
                  <c:v>0.30491708869262202</c:v>
                </c:pt>
                <c:pt idx="21">
                  <c:v>6.2359190486441882E-2</c:v>
                </c:pt>
                <c:pt idx="22">
                  <c:v>3.7949940056525848E-2</c:v>
                </c:pt>
                <c:pt idx="23">
                  <c:v>2.9668573067854493E-2</c:v>
                </c:pt>
                <c:pt idx="24">
                  <c:v>4.1879874618864554E-2</c:v>
                </c:pt>
              </c:numCache>
            </c:numRef>
          </c:yVal>
          <c:smooth val="0"/>
          <c:extLst>
            <c:ext xmlns:c16="http://schemas.microsoft.com/office/drawing/2014/chart" uri="{C3380CC4-5D6E-409C-BE32-E72D297353CC}">
              <c16:uniqueId val="{00000005-1C1E-445F-A290-042243FD7BE0}"/>
            </c:ext>
          </c:extLst>
        </c:ser>
        <c:ser>
          <c:idx val="3"/>
          <c:order val="3"/>
          <c:tx>
            <c:v>POA:100oldest</c:v>
          </c:tx>
          <c:spPr>
            <a:ln w="25400" cap="rnd">
              <a:noFill/>
              <a:round/>
            </a:ln>
            <a:effectLst/>
          </c:spPr>
          <c:marker>
            <c:symbol val="triangle"/>
            <c:size val="8"/>
            <c:spPr>
              <a:noFill/>
              <a:ln w="9525">
                <a:solidFill>
                  <a:srgbClr val="C00000"/>
                </a:solidFill>
              </a:ln>
              <a:effectLst/>
            </c:spPr>
          </c:marker>
          <c:xVal>
            <c:numRef>
              <c:f>PlantData!$CB$7:$CB$106</c:f>
              <c:numCache>
                <c:formatCode>0.00</c:formatCode>
                <c:ptCount val="100"/>
                <c:pt idx="0">
                  <c:v>0.4223254391495242</c:v>
                </c:pt>
                <c:pt idx="1">
                  <c:v>0.8883293062644867</c:v>
                </c:pt>
                <c:pt idx="2">
                  <c:v>0.77666786901755636</c:v>
                </c:pt>
                <c:pt idx="3">
                  <c:v>0.98161033978231671</c:v>
                </c:pt>
                <c:pt idx="4">
                  <c:v>0.62716432381056253</c:v>
                </c:pt>
                <c:pt idx="5">
                  <c:v>0.91959539690607461</c:v>
                </c:pt>
                <c:pt idx="6">
                  <c:v>0.88031106349258481</c:v>
                </c:pt>
                <c:pt idx="7">
                  <c:v>0.82211896532774376</c:v>
                </c:pt>
                <c:pt idx="8">
                  <c:v>0.69289177196237006</c:v>
                </c:pt>
                <c:pt idx="9">
                  <c:v>0.47000013773752236</c:v>
                </c:pt>
                <c:pt idx="10">
                  <c:v>0.91231903506818879</c:v>
                </c:pt>
                <c:pt idx="11">
                  <c:v>0.7603580474705659</c:v>
                </c:pt>
                <c:pt idx="12">
                  <c:v>0.69471804757805666</c:v>
                </c:pt>
                <c:pt idx="13">
                  <c:v>0.86619296642192156</c:v>
                </c:pt>
                <c:pt idx="14">
                  <c:v>0.80509783098090337</c:v>
                </c:pt>
                <c:pt idx="15">
                  <c:v>0.87247347249856833</c:v>
                </c:pt>
                <c:pt idx="16">
                  <c:v>0.70489791257871792</c:v>
                </c:pt>
                <c:pt idx="17">
                  <c:v>0.98718593254235454</c:v>
                </c:pt>
                <c:pt idx="18">
                  <c:v>0.83455224708120468</c:v>
                </c:pt>
                <c:pt idx="19">
                  <c:v>1.0034820611743425</c:v>
                </c:pt>
                <c:pt idx="20">
                  <c:v>0.97945964878553882</c:v>
                </c:pt>
                <c:pt idx="21">
                  <c:v>0.80554561998610741</c:v>
                </c:pt>
                <c:pt idx="22">
                  <c:v>0.78728983102034367</c:v>
                </c:pt>
                <c:pt idx="23">
                  <c:v>0.82334171999690065</c:v>
                </c:pt>
                <c:pt idx="24">
                  <c:v>0.62537989993170884</c:v>
                </c:pt>
                <c:pt idx="25">
                  <c:v>0.85801874031390035</c:v>
                </c:pt>
                <c:pt idx="26">
                  <c:v>0.89438225168448626</c:v>
                </c:pt>
                <c:pt idx="27">
                  <c:v>0.94175918744763809</c:v>
                </c:pt>
                <c:pt idx="28">
                  <c:v>0.42964816540808276</c:v>
                </c:pt>
                <c:pt idx="29">
                  <c:v>0.84764030541524016</c:v>
                </c:pt>
                <c:pt idx="30">
                  <c:v>0.79559419125408937</c:v>
                </c:pt>
                <c:pt idx="31">
                  <c:v>0.76841211249920605</c:v>
                </c:pt>
                <c:pt idx="32">
                  <c:v>0.973617858036258</c:v>
                </c:pt>
                <c:pt idx="33">
                  <c:v>0.76406259370075247</c:v>
                </c:pt>
                <c:pt idx="34">
                  <c:v>0.82101680962123635</c:v>
                </c:pt>
                <c:pt idx="35">
                  <c:v>0.96372354744028332</c:v>
                </c:pt>
                <c:pt idx="36">
                  <c:v>0.58525823520585085</c:v>
                </c:pt>
                <c:pt idx="37">
                  <c:v>0.73474233126129429</c:v>
                </c:pt>
                <c:pt idx="38">
                  <c:v>0.61282953156478992</c:v>
                </c:pt>
                <c:pt idx="39">
                  <c:v>0.88629814450810263</c:v>
                </c:pt>
                <c:pt idx="40">
                  <c:v>0.93096529348537627</c:v>
                </c:pt>
                <c:pt idx="41">
                  <c:v>0.85602638378363893</c:v>
                </c:pt>
                <c:pt idx="42">
                  <c:v>0.78821256226159175</c:v>
                </c:pt>
                <c:pt idx="43">
                  <c:v>0.93830633455926238</c:v>
                </c:pt>
                <c:pt idx="44">
                  <c:v>0.70547949042681068</c:v>
                </c:pt>
                <c:pt idx="45">
                  <c:v>0.77132115984055394</c:v>
                </c:pt>
                <c:pt idx="46">
                  <c:v>0.74443141109319233</c:v>
                </c:pt>
                <c:pt idx="47">
                  <c:v>0.7577291341019049</c:v>
                </c:pt>
                <c:pt idx="48">
                  <c:v>0.86925867059040318</c:v>
                </c:pt>
                <c:pt idx="49">
                  <c:v>1.0256170186128266</c:v>
                </c:pt>
                <c:pt idx="50">
                  <c:v>1.0180195189881553</c:v>
                </c:pt>
                <c:pt idx="51">
                  <c:v>0.7237096988614492</c:v>
                </c:pt>
                <c:pt idx="52">
                  <c:v>0.86336455517906363</c:v>
                </c:pt>
                <c:pt idx="53">
                  <c:v>0.90474702116995132</c:v>
                </c:pt>
                <c:pt idx="54">
                  <c:v>1.0451530490491237</c:v>
                </c:pt>
                <c:pt idx="55">
                  <c:v>0.99899855886389732</c:v>
                </c:pt>
                <c:pt idx="56">
                  <c:v>0.91992304657942037</c:v>
                </c:pt>
                <c:pt idx="57">
                  <c:v>0.74562835349594958</c:v>
                </c:pt>
                <c:pt idx="58">
                  <c:v>0.6662853690633892</c:v>
                </c:pt>
                <c:pt idx="59">
                  <c:v>0.86481595248123344</c:v>
                </c:pt>
                <c:pt idx="60">
                  <c:v>0.34604067474432193</c:v>
                </c:pt>
                <c:pt idx="61">
                  <c:v>0.95638389421698122</c:v>
                </c:pt>
                <c:pt idx="62">
                  <c:v>0.80195143430654292</c:v>
                </c:pt>
                <c:pt idx="63">
                  <c:v>0.90564218391443563</c:v>
                </c:pt>
                <c:pt idx="64">
                  <c:v>0.6844742218646962</c:v>
                </c:pt>
                <c:pt idx="65">
                  <c:v>0.96323329069185337</c:v>
                </c:pt>
                <c:pt idx="66">
                  <c:v>0.96270191741735811</c:v>
                </c:pt>
                <c:pt idx="67">
                  <c:v>0.97629315081514711</c:v>
                </c:pt>
                <c:pt idx="68">
                  <c:v>0.90697071291573272</c:v>
                </c:pt>
                <c:pt idx="69">
                  <c:v>0.85206841675290124</c:v>
                </c:pt>
                <c:pt idx="70">
                  <c:v>0.91182231159603933</c:v>
                </c:pt>
                <c:pt idx="71">
                  <c:v>0.62975594795750789</c:v>
                </c:pt>
                <c:pt idx="72">
                  <c:v>0.90213180588160924</c:v>
                </c:pt>
                <c:pt idx="73">
                  <c:v>0.90331368903344955</c:v>
                </c:pt>
                <c:pt idx="74">
                  <c:v>1.0000961133344008</c:v>
                </c:pt>
                <c:pt idx="75">
                  <c:v>0.74665953776972915</c:v>
                </c:pt>
                <c:pt idx="76">
                  <c:v>0.85563375268615716</c:v>
                </c:pt>
                <c:pt idx="77">
                  <c:v>0.9388334517476713</c:v>
                </c:pt>
                <c:pt idx="78">
                  <c:v>0.71664216108131984</c:v>
                </c:pt>
                <c:pt idx="79">
                  <c:v>1.0352364170030122</c:v>
                </c:pt>
                <c:pt idx="80">
                  <c:v>0.92075554920315983</c:v>
                </c:pt>
                <c:pt idx="81">
                  <c:v>0.92088219907058377</c:v>
                </c:pt>
                <c:pt idx="82">
                  <c:v>0.9857428960508694</c:v>
                </c:pt>
                <c:pt idx="83">
                  <c:v>0.88073238276924048</c:v>
                </c:pt>
                <c:pt idx="84">
                  <c:v>0.68815063860010051</c:v>
                </c:pt>
                <c:pt idx="85">
                  <c:v>0.91253477593530907</c:v>
                </c:pt>
                <c:pt idx="86">
                  <c:v>0.93149549119118624</c:v>
                </c:pt>
                <c:pt idx="87">
                  <c:v>1.0049579563391708</c:v>
                </c:pt>
                <c:pt idx="88">
                  <c:v>0.88038083996444283</c:v>
                </c:pt>
                <c:pt idx="89">
                  <c:v>1.030229181055579</c:v>
                </c:pt>
                <c:pt idx="90">
                  <c:v>0.7219997211877226</c:v>
                </c:pt>
                <c:pt idx="91">
                  <c:v>0.82322810520926371</c:v>
                </c:pt>
                <c:pt idx="92">
                  <c:v>0.96797685535191047</c:v>
                </c:pt>
                <c:pt idx="93">
                  <c:v>1.0255334217624725</c:v>
                </c:pt>
                <c:pt idx="94">
                  <c:v>0.81368716748018988</c:v>
                </c:pt>
                <c:pt idx="95">
                  <c:v>0.89386228323894068</c:v>
                </c:pt>
                <c:pt idx="96">
                  <c:v>0.77952977414962443</c:v>
                </c:pt>
                <c:pt idx="97">
                  <c:v>0.98354338658030449</c:v>
                </c:pt>
                <c:pt idx="98">
                  <c:v>0.96928221524482927</c:v>
                </c:pt>
                <c:pt idx="99">
                  <c:v>0.86769769353721438</c:v>
                </c:pt>
              </c:numCache>
            </c:numRef>
          </c:xVal>
          <c:yVal>
            <c:numRef>
              <c:f>PlantData!$FR$7:$FR$106</c:f>
              <c:numCache>
                <c:formatCode>0.0%</c:formatCode>
                <c:ptCount val="100"/>
                <c:pt idx="0">
                  <c:v>3.5999999999999997E-2</c:v>
                </c:pt>
                <c:pt idx="1">
                  <c:v>4.1000000000000002E-2</c:v>
                </c:pt>
                <c:pt idx="2">
                  <c:v>3.1E-2</c:v>
                </c:pt>
                <c:pt idx="3">
                  <c:v>2.75E-2</c:v>
                </c:pt>
                <c:pt idx="4">
                  <c:v>2.8000000000000001E-2</c:v>
                </c:pt>
                <c:pt idx="5">
                  <c:v>0.03</c:v>
                </c:pt>
                <c:pt idx="6">
                  <c:v>0.03</c:v>
                </c:pt>
                <c:pt idx="7">
                  <c:v>2.9000000000000001E-2</c:v>
                </c:pt>
                <c:pt idx="8">
                  <c:v>5.0999999999999997E-2</c:v>
                </c:pt>
                <c:pt idx="9">
                  <c:v>0.05</c:v>
                </c:pt>
                <c:pt idx="10">
                  <c:v>3.3000000000000002E-2</c:v>
                </c:pt>
                <c:pt idx="11">
                  <c:v>3.3000000000000002E-2</c:v>
                </c:pt>
                <c:pt idx="12">
                  <c:v>3.5000000000000003E-2</c:v>
                </c:pt>
                <c:pt idx="13">
                  <c:v>3.4000000000000002E-2</c:v>
                </c:pt>
                <c:pt idx="14">
                  <c:v>3.3000000000000002E-2</c:v>
                </c:pt>
                <c:pt idx="15">
                  <c:v>2.3E-2</c:v>
                </c:pt>
                <c:pt idx="16">
                  <c:v>3.3000000000000002E-2</c:v>
                </c:pt>
                <c:pt idx="17">
                  <c:v>0.03</c:v>
                </c:pt>
                <c:pt idx="18">
                  <c:v>2.1999999999999999E-2</c:v>
                </c:pt>
                <c:pt idx="19">
                  <c:v>4.8000000000000001E-2</c:v>
                </c:pt>
                <c:pt idx="20">
                  <c:v>4.2999999999999997E-2</c:v>
                </c:pt>
                <c:pt idx="21">
                  <c:v>2.5999999999999999E-2</c:v>
                </c:pt>
                <c:pt idx="22">
                  <c:v>2.4E-2</c:v>
                </c:pt>
                <c:pt idx="23">
                  <c:v>3.3000000000000002E-2</c:v>
                </c:pt>
                <c:pt idx="24">
                  <c:v>2.5000000000000001E-2</c:v>
                </c:pt>
                <c:pt idx="25">
                  <c:v>2.9000000000000001E-2</c:v>
                </c:pt>
                <c:pt idx="26">
                  <c:v>5.0999999999999997E-2</c:v>
                </c:pt>
                <c:pt idx="27">
                  <c:v>2.1999999999999999E-2</c:v>
                </c:pt>
                <c:pt idx="28">
                  <c:v>2.4E-2</c:v>
                </c:pt>
                <c:pt idx="29">
                  <c:v>3.3000000000000002E-2</c:v>
                </c:pt>
                <c:pt idx="30">
                  <c:v>2.8000000000000001E-2</c:v>
                </c:pt>
                <c:pt idx="31">
                  <c:v>3.2000000000000001E-2</c:v>
                </c:pt>
                <c:pt idx="32">
                  <c:v>2.5999999999999999E-2</c:v>
                </c:pt>
                <c:pt idx="33">
                  <c:v>2.4E-2</c:v>
                </c:pt>
                <c:pt idx="34">
                  <c:v>2.8000000000000001E-2</c:v>
                </c:pt>
                <c:pt idx="35">
                  <c:v>3.2000000000000001E-2</c:v>
                </c:pt>
                <c:pt idx="36">
                  <c:v>4.7E-2</c:v>
                </c:pt>
                <c:pt idx="37">
                  <c:v>2.8000000000000001E-2</c:v>
                </c:pt>
                <c:pt idx="38">
                  <c:v>2.75E-2</c:v>
                </c:pt>
                <c:pt idx="39">
                  <c:v>2.4E-2</c:v>
                </c:pt>
                <c:pt idx="40">
                  <c:v>0.03</c:v>
                </c:pt>
                <c:pt idx="41">
                  <c:v>3.5999999999999997E-2</c:v>
                </c:pt>
                <c:pt idx="42">
                  <c:v>3.1E-2</c:v>
                </c:pt>
                <c:pt idx="43">
                  <c:v>2.5000000000000001E-2</c:v>
                </c:pt>
                <c:pt idx="44">
                  <c:v>2.9000000000000001E-2</c:v>
                </c:pt>
                <c:pt idx="45">
                  <c:v>2.5000000000000001E-2</c:v>
                </c:pt>
                <c:pt idx="46">
                  <c:v>2.5999999999999999E-2</c:v>
                </c:pt>
                <c:pt idx="47">
                  <c:v>2.7E-2</c:v>
                </c:pt>
                <c:pt idx="48">
                  <c:v>2.8000000000000001E-2</c:v>
                </c:pt>
                <c:pt idx="49">
                  <c:v>0.02</c:v>
                </c:pt>
                <c:pt idx="50">
                  <c:v>3.1E-2</c:v>
                </c:pt>
                <c:pt idx="51">
                  <c:v>2.9000000000000001E-2</c:v>
                </c:pt>
                <c:pt idx="52">
                  <c:v>2.5000000000000001E-2</c:v>
                </c:pt>
                <c:pt idx="53">
                  <c:v>2.9000000000000001E-2</c:v>
                </c:pt>
                <c:pt idx="54">
                  <c:v>3.3000000000000002E-2</c:v>
                </c:pt>
                <c:pt idx="55">
                  <c:v>3.4000000000000002E-2</c:v>
                </c:pt>
                <c:pt idx="56">
                  <c:v>3.1E-2</c:v>
                </c:pt>
                <c:pt idx="57">
                  <c:v>2.4E-2</c:v>
                </c:pt>
                <c:pt idx="58">
                  <c:v>2.3E-2</c:v>
                </c:pt>
                <c:pt idx="59">
                  <c:v>2.8000000000000001E-2</c:v>
                </c:pt>
                <c:pt idx="60">
                  <c:v>2.4E-2</c:v>
                </c:pt>
                <c:pt idx="61">
                  <c:v>2.5999999999999999E-2</c:v>
                </c:pt>
                <c:pt idx="62">
                  <c:v>0.04</c:v>
                </c:pt>
                <c:pt idx="63">
                  <c:v>3.3000000000000002E-2</c:v>
                </c:pt>
                <c:pt idx="64">
                  <c:v>0.03</c:v>
                </c:pt>
                <c:pt idx="65">
                  <c:v>3.3000000000000002E-2</c:v>
                </c:pt>
                <c:pt idx="66">
                  <c:v>3.1E-2</c:v>
                </c:pt>
                <c:pt idx="67">
                  <c:v>3.2000000000000001E-2</c:v>
                </c:pt>
                <c:pt idx="68">
                  <c:v>2.3E-2</c:v>
                </c:pt>
                <c:pt idx="69">
                  <c:v>3.3000000000000002E-2</c:v>
                </c:pt>
                <c:pt idx="70">
                  <c:v>3.3000000000000002E-2</c:v>
                </c:pt>
                <c:pt idx="71">
                  <c:v>0.03</c:v>
                </c:pt>
                <c:pt idx="72">
                  <c:v>2.8000000000000001E-2</c:v>
                </c:pt>
                <c:pt idx="73">
                  <c:v>3.6999999999999998E-2</c:v>
                </c:pt>
                <c:pt idx="74">
                  <c:v>3.1E-2</c:v>
                </c:pt>
                <c:pt idx="75">
                  <c:v>3.3000000000000002E-2</c:v>
                </c:pt>
                <c:pt idx="76">
                  <c:v>2.5999999999999999E-2</c:v>
                </c:pt>
                <c:pt idx="77">
                  <c:v>2.8000000000000001E-2</c:v>
                </c:pt>
                <c:pt idx="78">
                  <c:v>4.1000000000000002E-2</c:v>
                </c:pt>
                <c:pt idx="79">
                  <c:v>4.1000000000000002E-2</c:v>
                </c:pt>
                <c:pt idx="80">
                  <c:v>3.3000000000000002E-2</c:v>
                </c:pt>
                <c:pt idx="81">
                  <c:v>3.3000000000000002E-2</c:v>
                </c:pt>
                <c:pt idx="82">
                  <c:v>2.3E-2</c:v>
                </c:pt>
                <c:pt idx="83">
                  <c:v>3.5999999999999997E-2</c:v>
                </c:pt>
                <c:pt idx="84">
                  <c:v>3.5999999999999997E-2</c:v>
                </c:pt>
                <c:pt idx="85">
                  <c:v>4.1000000000000002E-2</c:v>
                </c:pt>
                <c:pt idx="86" formatCode="0.00%">
                  <c:v>3.5999999999999997E-2</c:v>
                </c:pt>
                <c:pt idx="87">
                  <c:v>3.6999999999999998E-2</c:v>
                </c:pt>
                <c:pt idx="88" formatCode="0.00%">
                  <c:v>3.5999999999999997E-2</c:v>
                </c:pt>
                <c:pt idx="89">
                  <c:v>3.5999999999999997E-2</c:v>
                </c:pt>
                <c:pt idx="90">
                  <c:v>0.03</c:v>
                </c:pt>
                <c:pt idx="91">
                  <c:v>0.03</c:v>
                </c:pt>
                <c:pt idx="92">
                  <c:v>0.03</c:v>
                </c:pt>
                <c:pt idx="93">
                  <c:v>2.7E-2</c:v>
                </c:pt>
                <c:pt idx="94">
                  <c:v>2.8000000000000001E-2</c:v>
                </c:pt>
                <c:pt idx="95">
                  <c:v>3.5999999999999997E-2</c:v>
                </c:pt>
                <c:pt idx="96">
                  <c:v>0.03</c:v>
                </c:pt>
                <c:pt idx="97">
                  <c:v>3.4000000000000002E-2</c:v>
                </c:pt>
                <c:pt idx="98">
                  <c:v>2.9000000000000001E-2</c:v>
                </c:pt>
                <c:pt idx="99">
                  <c:v>3.5999999999999997E-2</c:v>
                </c:pt>
              </c:numCache>
            </c:numRef>
          </c:yVal>
          <c:smooth val="0"/>
          <c:extLst>
            <c:ext xmlns:c16="http://schemas.microsoft.com/office/drawing/2014/chart" uri="{C3380CC4-5D6E-409C-BE32-E72D297353CC}">
              <c16:uniqueId val="{00000006-1C1E-445F-A290-042243FD7BE0}"/>
            </c:ext>
          </c:extLst>
        </c:ser>
        <c:ser>
          <c:idx val="4"/>
          <c:order val="4"/>
          <c:tx>
            <c:v>POA:25newer</c:v>
          </c:tx>
          <c:spPr>
            <a:ln w="25400" cap="rnd">
              <a:noFill/>
              <a:round/>
            </a:ln>
            <a:effectLst/>
          </c:spPr>
          <c:marker>
            <c:symbol val="triangle"/>
            <c:size val="8"/>
            <c:spPr>
              <a:noFill/>
              <a:ln w="9525">
                <a:solidFill>
                  <a:srgbClr val="7030A0"/>
                </a:solidFill>
              </a:ln>
              <a:effectLst/>
            </c:spPr>
          </c:marker>
          <c:xVal>
            <c:numRef>
              <c:f>Newer25!$CB$7:$CB$31</c:f>
              <c:numCache>
                <c:formatCode>0.00</c:formatCode>
                <c:ptCount val="25"/>
                <c:pt idx="0">
                  <c:v>1.0352031594480515</c:v>
                </c:pt>
                <c:pt idx="1">
                  <c:v>0.92456425541434972</c:v>
                </c:pt>
                <c:pt idx="2">
                  <c:v>0.9329953550940765</c:v>
                </c:pt>
                <c:pt idx="3">
                  <c:v>0.93899232282022227</c:v>
                </c:pt>
                <c:pt idx="4">
                  <c:v>1.0088221455892812</c:v>
                </c:pt>
                <c:pt idx="5">
                  <c:v>0.70342443001727684</c:v>
                </c:pt>
                <c:pt idx="6" formatCode="0.000">
                  <c:v>0.76268020864649744</c:v>
                </c:pt>
                <c:pt idx="7">
                  <c:v>0.88746463558037436</c:v>
                </c:pt>
                <c:pt idx="8">
                  <c:v>0.97400461986618647</c:v>
                </c:pt>
                <c:pt idx="9">
                  <c:v>0.97459041477593134</c:v>
                </c:pt>
                <c:pt idx="10">
                  <c:v>0.82001793308335491</c:v>
                </c:pt>
                <c:pt idx="11" formatCode="0.0000">
                  <c:v>0.79054081372113016</c:v>
                </c:pt>
                <c:pt idx="12">
                  <c:v>0.95276051176215137</c:v>
                </c:pt>
                <c:pt idx="13">
                  <c:v>1.0851671682870663</c:v>
                </c:pt>
                <c:pt idx="14">
                  <c:v>0.60485371093527607</c:v>
                </c:pt>
                <c:pt idx="15">
                  <c:v>0.8464125112158809</c:v>
                </c:pt>
                <c:pt idx="16">
                  <c:v>0.84930518365793339</c:v>
                </c:pt>
                <c:pt idx="17" formatCode="0.0000">
                  <c:v>0.77528018868209148</c:v>
                </c:pt>
                <c:pt idx="18">
                  <c:v>0.83127608105390849</c:v>
                </c:pt>
                <c:pt idx="19">
                  <c:v>0.89719117149648298</c:v>
                </c:pt>
                <c:pt idx="20">
                  <c:v>0.5755860030060963</c:v>
                </c:pt>
                <c:pt idx="21" formatCode="0.000">
                  <c:v>0.70792001101905777</c:v>
                </c:pt>
                <c:pt idx="22">
                  <c:v>0.96209210643922649</c:v>
                </c:pt>
                <c:pt idx="23">
                  <c:v>0.96502346346771861</c:v>
                </c:pt>
                <c:pt idx="24">
                  <c:v>0.87947305500931861</c:v>
                </c:pt>
              </c:numCache>
            </c:numRef>
          </c:xVal>
          <c:yVal>
            <c:numRef>
              <c:f>Newer25!$ED$7:$ED$31</c:f>
              <c:numCache>
                <c:formatCode>0.0%</c:formatCode>
                <c:ptCount val="25"/>
                <c:pt idx="0">
                  <c:v>3.9E-2</c:v>
                </c:pt>
                <c:pt idx="1">
                  <c:v>4.8000000000000001E-2</c:v>
                </c:pt>
                <c:pt idx="2">
                  <c:v>3.6999999999999998E-2</c:v>
                </c:pt>
                <c:pt idx="3">
                  <c:v>3.7999999999999999E-2</c:v>
                </c:pt>
                <c:pt idx="4">
                  <c:v>4.2999999999999997E-2</c:v>
                </c:pt>
                <c:pt idx="5">
                  <c:v>0.02</c:v>
                </c:pt>
                <c:pt idx="6">
                  <c:v>3.7999999999999999E-2</c:v>
                </c:pt>
                <c:pt idx="7">
                  <c:v>3.7999999999999999E-2</c:v>
                </c:pt>
                <c:pt idx="8">
                  <c:v>3.7999999999999999E-2</c:v>
                </c:pt>
                <c:pt idx="9">
                  <c:v>4.5999999999999999E-2</c:v>
                </c:pt>
                <c:pt idx="10">
                  <c:v>3.7999999999999999E-2</c:v>
                </c:pt>
                <c:pt idx="11">
                  <c:v>3.4000000000000002E-2</c:v>
                </c:pt>
                <c:pt idx="12">
                  <c:v>3.1E-2</c:v>
                </c:pt>
                <c:pt idx="13">
                  <c:v>2.1000000000000001E-2</c:v>
                </c:pt>
                <c:pt idx="14">
                  <c:v>2.5999999999999999E-2</c:v>
                </c:pt>
                <c:pt idx="15">
                  <c:v>3.2000000000000001E-2</c:v>
                </c:pt>
                <c:pt idx="16">
                  <c:v>3.2000000000000001E-2</c:v>
                </c:pt>
                <c:pt idx="17">
                  <c:v>2.7E-2</c:v>
                </c:pt>
                <c:pt idx="18">
                  <c:v>3.1E-2</c:v>
                </c:pt>
                <c:pt idx="19">
                  <c:v>3.2000000000000001E-2</c:v>
                </c:pt>
                <c:pt idx="20">
                  <c:v>2.9000000000000001E-2</c:v>
                </c:pt>
                <c:pt idx="21">
                  <c:v>0.03</c:v>
                </c:pt>
                <c:pt idx="22">
                  <c:v>5.0999999999999997E-2</c:v>
                </c:pt>
                <c:pt idx="23">
                  <c:v>2.8000000000000001E-2</c:v>
                </c:pt>
                <c:pt idx="24">
                  <c:v>0.03</c:v>
                </c:pt>
              </c:numCache>
            </c:numRef>
          </c:yVal>
          <c:smooth val="0"/>
          <c:extLst>
            <c:ext xmlns:c16="http://schemas.microsoft.com/office/drawing/2014/chart" uri="{C3380CC4-5D6E-409C-BE32-E72D297353CC}">
              <c16:uniqueId val="{00000003-00B0-40F0-985A-E9BF60AE27A0}"/>
            </c:ext>
          </c:extLst>
        </c:ser>
        <c:dLbls>
          <c:showLegendKey val="0"/>
          <c:showVal val="0"/>
          <c:showCatName val="0"/>
          <c:showSerName val="0"/>
          <c:showPercent val="0"/>
          <c:showBubbleSize val="0"/>
        </c:dLbls>
        <c:axId val="1189405552"/>
        <c:axId val="1292772720"/>
      </c:scatterChart>
      <c:valAx>
        <c:axId val="1189405552"/>
        <c:scaling>
          <c:orientation val="minMax"/>
          <c:max val="1.100000000000000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2772720"/>
        <c:crosses val="autoZero"/>
        <c:crossBetween val="midCat"/>
        <c:majorUnit val="0.1"/>
      </c:valAx>
      <c:valAx>
        <c:axId val="1292772720"/>
        <c:scaling>
          <c:orientation val="minMax"/>
          <c:min val="0"/>
        </c:scaling>
        <c:delete val="0"/>
        <c:axPos val="l"/>
        <c:majorGridlines>
          <c:spPr>
            <a:ln w="9525" cap="flat" cmpd="sng" algn="ctr">
              <a:solidFill>
                <a:schemeClr val="bg2">
                  <a:lumMod val="50000"/>
                </a:schemeClr>
              </a:solidFill>
              <a:round/>
            </a:ln>
            <a:effectLst/>
          </c:spPr>
        </c:majorGridlines>
        <c:minorGridlines>
          <c:spPr>
            <a:ln w="9525" cap="flat" cmpd="sng" algn="ctr">
              <a:solidFill>
                <a:schemeClr val="bg2">
                  <a:lumMod val="90000"/>
                </a:schemeClr>
              </a:solidFill>
              <a:round/>
            </a:ln>
            <a:effectLst/>
          </c:spPr>
        </c:min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RMS Annual Variability, %</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89405552"/>
        <c:crosses val="autoZero"/>
        <c:crossBetween val="midCat"/>
        <c:minorUnit val="5.000000000000001E-2"/>
      </c:valAx>
      <c:spPr>
        <a:noFill/>
        <a:ln>
          <a:noFill/>
        </a:ln>
        <a:effectLst/>
      </c:spPr>
    </c:plotArea>
    <c:legend>
      <c:legendPos val="b"/>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a:t>Five Median-Ranked PI Histories (PIs</a:t>
            </a:r>
            <a:r>
              <a:rPr lang="en-US" sz="2000" baseline="0"/>
              <a:t> = 0.87). Systems #48 &amp; #49 had major outages, so only a very minor portion of their ±20% lifetime variabilities was caused by their </a:t>
            </a:r>
            <a:r>
              <a:rPr lang="en-US" sz="2000" b="1" i="0" u="none" strike="noStrike" kern="1200" spc="0" baseline="0">
                <a:solidFill>
                  <a:sysClr val="windowText" lastClr="000000">
                    <a:lumMod val="65000"/>
                    <a:lumOff val="35000"/>
                  </a:sysClr>
                </a:solidFill>
              </a:rPr>
              <a:t>±2.5% normal </a:t>
            </a:r>
            <a:r>
              <a:rPr lang="en-US" sz="2000" baseline="0"/>
              <a:t>POA fluctuations. Almost all of the variability shown by the other three </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DetailOfP50!$A$6:$B$6</c:f>
              <c:strCache>
                <c:ptCount val="2"/>
                <c:pt idx="0">
                  <c:v>48</c:v>
                </c:pt>
                <c:pt idx="1">
                  <c:v>Wild Horse</c:v>
                </c:pt>
              </c:strCache>
            </c:strRef>
          </c:tx>
          <c:spPr>
            <a:ln w="19050" cap="rnd">
              <a:solidFill>
                <a:srgbClr val="7030A0"/>
              </a:solidFill>
              <a:round/>
            </a:ln>
            <a:effectLst/>
          </c:spPr>
          <c:marker>
            <c:symbol val="none"/>
          </c:marker>
          <c:xVal>
            <c:numRef>
              <c:f>DetailOfP50!$W$5:$AK$5</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DetailOfP50!$W$6:$AK$6</c:f>
              <c:numCache>
                <c:formatCode>0.00</c:formatCode>
                <c:ptCount val="15"/>
                <c:pt idx="0">
                  <c:v>1.1499999999999999</c:v>
                </c:pt>
                <c:pt idx="1">
                  <c:v>1.1066117886697027</c:v>
                </c:pt>
                <c:pt idx="2">
                  <c:v>1.067349572758393</c:v>
                </c:pt>
                <c:pt idx="3">
                  <c:v>1.0262570576516028</c:v>
                </c:pt>
                <c:pt idx="4">
                  <c:v>1.1177190141996209</c:v>
                </c:pt>
                <c:pt idx="5">
                  <c:v>1.0337532260328532</c:v>
                </c:pt>
                <c:pt idx="6">
                  <c:v>0.68739198291568215</c:v>
                </c:pt>
                <c:pt idx="7">
                  <c:v>0.7009001089916379</c:v>
                </c:pt>
                <c:pt idx="8">
                  <c:v>0.56151689265538174</c:v>
                </c:pt>
                <c:pt idx="9">
                  <c:v>0.13782047719900598</c:v>
                </c:pt>
                <c:pt idx="10">
                  <c:v>0.70568750028372274</c:v>
                </c:pt>
                <c:pt idx="11">
                  <c:v>0.81473950362919945</c:v>
                </c:pt>
                <c:pt idx="12">
                  <c:v>0.93812418895159255</c:v>
                </c:pt>
                <c:pt idx="13">
                  <c:v>0.98576194921508731</c:v>
                </c:pt>
                <c:pt idx="14">
                  <c:v>1.0055911353605851</c:v>
                </c:pt>
              </c:numCache>
            </c:numRef>
          </c:yVal>
          <c:smooth val="0"/>
          <c:extLst>
            <c:ext xmlns:c16="http://schemas.microsoft.com/office/drawing/2014/chart" uri="{C3380CC4-5D6E-409C-BE32-E72D297353CC}">
              <c16:uniqueId val="{00000000-E033-4D1B-B367-9C582B25557B}"/>
            </c:ext>
          </c:extLst>
        </c:ser>
        <c:ser>
          <c:idx val="2"/>
          <c:order val="1"/>
          <c:tx>
            <c:strRef>
              <c:f>DetailOfP50!$A$7:$B$7</c:f>
              <c:strCache>
                <c:ptCount val="2"/>
                <c:pt idx="0">
                  <c:v>49</c:v>
                </c:pt>
                <c:pt idx="1">
                  <c:v>Dow Jones</c:v>
                </c:pt>
              </c:strCache>
            </c:strRef>
          </c:tx>
          <c:spPr>
            <a:ln w="19050" cap="rnd">
              <a:solidFill>
                <a:srgbClr val="00B0F0"/>
              </a:solidFill>
              <a:round/>
            </a:ln>
            <a:effectLst/>
          </c:spPr>
          <c:marker>
            <c:symbol val="none"/>
          </c:marker>
          <c:xVal>
            <c:numRef>
              <c:f>DetailOfP50!$W$5:$AM$5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DetailOfP50!$W$7:$AM$7</c:f>
              <c:numCache>
                <c:formatCode>0.00</c:formatCode>
                <c:ptCount val="17"/>
                <c:pt idx="0">
                  <c:v>0.90361177026642492</c:v>
                </c:pt>
                <c:pt idx="1">
                  <c:v>1.0137516646672524</c:v>
                </c:pt>
                <c:pt idx="2">
                  <c:v>0.99504108352724252</c:v>
                </c:pt>
                <c:pt idx="3">
                  <c:v>0.96016723535284088</c:v>
                </c:pt>
                <c:pt idx="4">
                  <c:v>0.99404615573411981</c:v>
                </c:pt>
                <c:pt idx="5">
                  <c:v>1.0364978619287759</c:v>
                </c:pt>
                <c:pt idx="6">
                  <c:v>0.92431962326275241</c:v>
                </c:pt>
                <c:pt idx="7">
                  <c:v>0.81505595206464754</c:v>
                </c:pt>
                <c:pt idx="8">
                  <c:v>0.98494458241982852</c:v>
                </c:pt>
                <c:pt idx="9">
                  <c:v>0.96400641245117979</c:v>
                </c:pt>
                <c:pt idx="10">
                  <c:v>0.96079755922308474</c:v>
                </c:pt>
                <c:pt idx="11">
                  <c:v>0.70746141612673208</c:v>
                </c:pt>
                <c:pt idx="12">
                  <c:v>0.86932143333747613</c:v>
                </c:pt>
                <c:pt idx="13">
                  <c:v>0</c:v>
                </c:pt>
              </c:numCache>
            </c:numRef>
          </c:yVal>
          <c:smooth val="0"/>
          <c:extLst>
            <c:ext xmlns:c16="http://schemas.microsoft.com/office/drawing/2014/chart" uri="{C3380CC4-5D6E-409C-BE32-E72D297353CC}">
              <c16:uniqueId val="{00000001-E033-4D1B-B367-9C582B25557B}"/>
            </c:ext>
          </c:extLst>
        </c:ser>
        <c:ser>
          <c:idx val="4"/>
          <c:order val="2"/>
          <c:tx>
            <c:strRef>
              <c:f>DetailOfP50!$A$8:$B$8</c:f>
              <c:strCache>
                <c:ptCount val="2"/>
                <c:pt idx="0">
                  <c:v>50</c:v>
                </c:pt>
                <c:pt idx="1">
                  <c:v>Westside Solar Station</c:v>
                </c:pt>
              </c:strCache>
            </c:strRef>
          </c:tx>
          <c:spPr>
            <a:ln w="19050" cap="rnd">
              <a:solidFill>
                <a:srgbClr val="00B050"/>
              </a:solidFill>
              <a:round/>
            </a:ln>
            <a:effectLst/>
          </c:spPr>
          <c:marker>
            <c:symbol val="none"/>
          </c:marker>
          <c:xVal>
            <c:numRef>
              <c:f>DetailOfP50!$W$5:$AJ$5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DetailOfP50!$W$8:$AJ$8</c:f>
              <c:numCache>
                <c:formatCode>0.00</c:formatCode>
                <c:ptCount val="14"/>
                <c:pt idx="0">
                  <c:v>1.0604998318300161</c:v>
                </c:pt>
                <c:pt idx="1">
                  <c:v>1.0770808785450856</c:v>
                </c:pt>
                <c:pt idx="2">
                  <c:v>1.0645855453067783</c:v>
                </c:pt>
                <c:pt idx="3">
                  <c:v>0.95698243138919081</c:v>
                </c:pt>
                <c:pt idx="4">
                  <c:v>1.0254016640401151</c:v>
                </c:pt>
                <c:pt idx="5">
                  <c:v>0.85451990247625953</c:v>
                </c:pt>
                <c:pt idx="6">
                  <c:v>0.97131274939439194</c:v>
                </c:pt>
                <c:pt idx="7">
                  <c:v>0.94065928732757642</c:v>
                </c:pt>
                <c:pt idx="8">
                  <c:v>0.83349689046876507</c:v>
                </c:pt>
                <c:pt idx="9">
                  <c:v>0.71578834750937292</c:v>
                </c:pt>
                <c:pt idx="10">
                  <c:v>0.61095969109310422</c:v>
                </c:pt>
                <c:pt idx="11">
                  <c:v>0.64282495682344876</c:v>
                </c:pt>
                <c:pt idx="12">
                  <c:v>0.4836087258648053</c:v>
                </c:pt>
              </c:numCache>
            </c:numRef>
          </c:yVal>
          <c:smooth val="0"/>
          <c:extLst>
            <c:ext xmlns:c16="http://schemas.microsoft.com/office/drawing/2014/chart" uri="{C3380CC4-5D6E-409C-BE32-E72D297353CC}">
              <c16:uniqueId val="{00000002-E033-4D1B-B367-9C582B25557B}"/>
            </c:ext>
          </c:extLst>
        </c:ser>
        <c:ser>
          <c:idx val="6"/>
          <c:order val="3"/>
          <c:tx>
            <c:strRef>
              <c:f>DetailOfP50!$A$9:$B$9</c:f>
              <c:strCache>
                <c:ptCount val="2"/>
                <c:pt idx="0">
                  <c:v>51</c:v>
                </c:pt>
                <c:pt idx="1">
                  <c:v>Sacramento Soleil</c:v>
                </c:pt>
              </c:strCache>
            </c:strRef>
          </c:tx>
          <c:spPr>
            <a:ln w="19050" cap="rnd">
              <a:solidFill>
                <a:schemeClr val="accent2"/>
              </a:solidFill>
              <a:round/>
            </a:ln>
            <a:effectLst/>
          </c:spPr>
          <c:marker>
            <c:symbol val="none"/>
          </c:marker>
          <c:xVal>
            <c:numRef>
              <c:f>DetailOfP50!$W$5:$AJ$5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DetailOfP50!$W$9:$AJ$9</c:f>
              <c:numCache>
                <c:formatCode>0.00</c:formatCode>
                <c:ptCount val="14"/>
                <c:pt idx="0">
                  <c:v>0.85876737435078587</c:v>
                </c:pt>
                <c:pt idx="1">
                  <c:v>0.89277365526789976</c:v>
                </c:pt>
                <c:pt idx="2">
                  <c:v>0.91578137613345478</c:v>
                </c:pt>
                <c:pt idx="3">
                  <c:v>0.88367137474568025</c:v>
                </c:pt>
                <c:pt idx="4">
                  <c:v>0.92396899906073349</c:v>
                </c:pt>
                <c:pt idx="5">
                  <c:v>0.88369606548533497</c:v>
                </c:pt>
                <c:pt idx="6">
                  <c:v>0.90808308284307437</c:v>
                </c:pt>
                <c:pt idx="7">
                  <c:v>0.88785187697150159</c:v>
                </c:pt>
                <c:pt idx="8">
                  <c:v>0.90662863313672803</c:v>
                </c:pt>
                <c:pt idx="9">
                  <c:v>0.81900038739378245</c:v>
                </c:pt>
                <c:pt idx="10">
                  <c:v>0.77438236084221312</c:v>
                </c:pt>
                <c:pt idx="11">
                  <c:v>0.73198635691973701</c:v>
                </c:pt>
              </c:numCache>
            </c:numRef>
          </c:yVal>
          <c:smooth val="0"/>
          <c:extLst>
            <c:ext xmlns:c16="http://schemas.microsoft.com/office/drawing/2014/chart" uri="{C3380CC4-5D6E-409C-BE32-E72D297353CC}">
              <c16:uniqueId val="{00000003-E033-4D1B-B367-9C582B25557B}"/>
            </c:ext>
          </c:extLst>
        </c:ser>
        <c:ser>
          <c:idx val="1"/>
          <c:order val="4"/>
          <c:tx>
            <c:strRef>
              <c:f>DetailOfP50!$A$10:$B$10</c:f>
              <c:strCache>
                <c:ptCount val="2"/>
                <c:pt idx="0">
                  <c:v>52</c:v>
                </c:pt>
                <c:pt idx="1">
                  <c:v>NEDC Solar Site</c:v>
                </c:pt>
              </c:strCache>
            </c:strRef>
          </c:tx>
          <c:spPr>
            <a:ln w="19050" cap="rnd">
              <a:solidFill>
                <a:srgbClr val="FF0000"/>
              </a:solidFill>
              <a:round/>
            </a:ln>
            <a:effectLst/>
          </c:spPr>
          <c:marker>
            <c:symbol val="none"/>
          </c:marker>
          <c:xVal>
            <c:numRef>
              <c:f>DetailOfP50!$W$5:$AI$5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DetailOfP50!$W$10:$AI$10</c:f>
              <c:numCache>
                <c:formatCode>0.00</c:formatCode>
                <c:ptCount val="13"/>
                <c:pt idx="0">
                  <c:v>0.82752964866121748</c:v>
                </c:pt>
                <c:pt idx="1">
                  <c:v>0.86964210904614658</c:v>
                </c:pt>
                <c:pt idx="2">
                  <c:v>0.8209412221979776</c:v>
                </c:pt>
                <c:pt idx="3">
                  <c:v>0.86423638132003733</c:v>
                </c:pt>
                <c:pt idx="4">
                  <c:v>0.86355374669001572</c:v>
                </c:pt>
                <c:pt idx="5">
                  <c:v>0.92850263207315653</c:v>
                </c:pt>
                <c:pt idx="6">
                  <c:v>0.83164515900254943</c:v>
                </c:pt>
                <c:pt idx="7">
                  <c:v>0.84517734966647495</c:v>
                </c:pt>
                <c:pt idx="8">
                  <c:v>0.87420647372557336</c:v>
                </c:pt>
                <c:pt idx="9">
                  <c:v>0.9395775379888468</c:v>
                </c:pt>
                <c:pt idx="10">
                  <c:v>0.86229866007446543</c:v>
                </c:pt>
                <c:pt idx="11">
                  <c:v>0.95858674693013057</c:v>
                </c:pt>
                <c:pt idx="12">
                  <c:v>0.7654918609378607</c:v>
                </c:pt>
              </c:numCache>
            </c:numRef>
          </c:yVal>
          <c:smooth val="0"/>
          <c:extLst>
            <c:ext xmlns:c16="http://schemas.microsoft.com/office/drawing/2014/chart" uri="{C3380CC4-5D6E-409C-BE32-E72D297353CC}">
              <c16:uniqueId val="{00000004-E033-4D1B-B367-9C582B25557B}"/>
            </c:ext>
          </c:extLst>
        </c:ser>
        <c:dLbls>
          <c:showLegendKey val="0"/>
          <c:showVal val="0"/>
          <c:showCatName val="0"/>
          <c:showSerName val="0"/>
          <c:showPercent val="0"/>
          <c:showBubbleSize val="0"/>
        </c:dLbls>
        <c:axId val="1109670256"/>
        <c:axId val="1109674576"/>
      </c:scatterChart>
      <c:valAx>
        <c:axId val="1109670256"/>
        <c:scaling>
          <c:orientation val="minMax"/>
          <c:max val="15"/>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Year of operation</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Performance Index</a:t>
                </a:r>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r>
              <a:rPr lang="en-US" sz="2000"/>
              <a:t>Median</a:t>
            </a:r>
            <a:r>
              <a:rPr lang="en-US" sz="2000" baseline="0"/>
              <a:t> </a:t>
            </a:r>
            <a:r>
              <a:rPr lang="en-US" sz="2000"/>
              <a:t>(#50) System Variability: 18.5 MW</a:t>
            </a:r>
            <a:r>
              <a:rPr lang="en-US" sz="2000" baseline="-25000"/>
              <a:t>P</a:t>
            </a:r>
            <a:r>
              <a:rPr lang="en-US" sz="2000"/>
              <a:t> fixed-tilt,</a:t>
            </a:r>
            <a:r>
              <a:rPr lang="en-US" sz="2000" baseline="0"/>
              <a:t> Westside Solar Station, California, </a:t>
            </a:r>
            <a:r>
              <a:rPr lang="en-US" sz="2000"/>
              <a:t>with ±3.6% </a:t>
            </a:r>
            <a:r>
              <a:rPr lang="en-US" sz="2000" baseline="0"/>
              <a:t>POA-based IAV range. Four years fell outside the POA insolation-based variability range.</a:t>
            </a:r>
            <a:endParaRPr lang="en-US" sz="2000"/>
          </a:p>
        </c:rich>
      </c:tx>
      <c:layout>
        <c:manualLayout>
          <c:xMode val="edge"/>
          <c:yMode val="edge"/>
          <c:x val="0.14012457570369688"/>
          <c:y val="3.0282639558855861E-2"/>
        </c:manualLayout>
      </c:layout>
      <c:overlay val="0"/>
      <c:spPr>
        <a:noFill/>
        <a:ln>
          <a:noFill/>
        </a:ln>
        <a:effectLst/>
      </c:spPr>
      <c:txPr>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4"/>
          <c:order val="4"/>
          <c:tx>
            <c:strRef>
              <c:f>DetailOfP50!$B$8:$D$8</c:f>
              <c:strCache>
                <c:ptCount val="3"/>
                <c:pt idx="0">
                  <c:v>Westside Solar Station</c:v>
                </c:pt>
                <c:pt idx="1">
                  <c:v>5%</c:v>
                </c:pt>
                <c:pt idx="2">
                  <c:v>CA</c:v>
                </c:pt>
              </c:strCache>
            </c:strRef>
          </c:tx>
          <c:spPr>
            <a:ln w="38100" cap="rnd">
              <a:solidFill>
                <a:srgbClr val="00B050"/>
              </a:solidFill>
              <a:round/>
            </a:ln>
            <a:effectLst/>
          </c:spPr>
          <c:marker>
            <c:symbol val="none"/>
          </c:marker>
          <c:xVal>
            <c:numRef>
              <c:f>DetailOfP50!$W$5:$AJ$5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DetailOfP50!$W$8:$AJ$8</c:f>
              <c:numCache>
                <c:formatCode>0.00</c:formatCode>
                <c:ptCount val="14"/>
                <c:pt idx="0">
                  <c:v>1.0604998318300161</c:v>
                </c:pt>
                <c:pt idx="1">
                  <c:v>1.0770808785450856</c:v>
                </c:pt>
                <c:pt idx="2">
                  <c:v>1.0645855453067783</c:v>
                </c:pt>
                <c:pt idx="3">
                  <c:v>0.95698243138919081</c:v>
                </c:pt>
                <c:pt idx="4">
                  <c:v>1.0254016640401151</c:v>
                </c:pt>
                <c:pt idx="5">
                  <c:v>0.85451990247625953</c:v>
                </c:pt>
                <c:pt idx="6">
                  <c:v>0.97131274939439194</c:v>
                </c:pt>
                <c:pt idx="7">
                  <c:v>0.94065928732757642</c:v>
                </c:pt>
                <c:pt idx="8">
                  <c:v>0.83349689046876507</c:v>
                </c:pt>
                <c:pt idx="9">
                  <c:v>0.71578834750937292</c:v>
                </c:pt>
                <c:pt idx="10">
                  <c:v>0.61095969109310422</c:v>
                </c:pt>
                <c:pt idx="11">
                  <c:v>0.64282495682344876</c:v>
                </c:pt>
                <c:pt idx="12">
                  <c:v>0.4836087258648053</c:v>
                </c:pt>
              </c:numCache>
            </c:numRef>
          </c:yVal>
          <c:smooth val="0"/>
          <c:extLst>
            <c:ext xmlns:c16="http://schemas.microsoft.com/office/drawing/2014/chart" uri="{C3380CC4-5D6E-409C-BE32-E72D297353CC}">
              <c16:uniqueId val="{00000000-86E0-4FD4-8759-866BE15AAD25}"/>
            </c:ext>
          </c:extLst>
        </c:ser>
        <c:ser>
          <c:idx val="7"/>
          <c:order val="5"/>
          <c:tx>
            <c:strRef>
              <c:f>DetailOfP50!$H$8</c:f>
              <c:strCache>
                <c:ptCount val="1"/>
                <c:pt idx="0">
                  <c:v>3.6%</c:v>
                </c:pt>
              </c:strCache>
            </c:strRef>
          </c:tx>
          <c:spPr>
            <a:ln w="25400" cap="rnd" cmpd="sng">
              <a:solidFill>
                <a:srgbClr val="00B050">
                  <a:alpha val="38000"/>
                </a:srgbClr>
              </a:solidFill>
              <a:prstDash val="solid"/>
              <a:round/>
            </a:ln>
            <a:effectLst/>
          </c:spPr>
          <c:marker>
            <c:symbol val="none"/>
          </c:marker>
          <c:xVal>
            <c:numRef>
              <c:f>DetailOfP50!$AO$5:$BB$5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DetailOfP50!$AO$8:$BB$8</c:f>
              <c:numCache>
                <c:formatCode>0.00</c:formatCode>
                <c:ptCount val="14"/>
                <c:pt idx="0">
                  <c:v>1.0820404733593183</c:v>
                </c:pt>
                <c:pt idx="1">
                  <c:v>1.0551880776196332</c:v>
                </c:pt>
                <c:pt idx="2">
                  <c:v>1.0283356818799478</c:v>
                </c:pt>
                <c:pt idx="3">
                  <c:v>1.0014832861402625</c:v>
                </c:pt>
                <c:pt idx="4">
                  <c:v>0.97463089040057727</c:v>
                </c:pt>
                <c:pt idx="5">
                  <c:v>0.94777849466089203</c:v>
                </c:pt>
                <c:pt idx="6">
                  <c:v>0.95400869922567266</c:v>
                </c:pt>
                <c:pt idx="7">
                  <c:v>0.90561565913825748</c:v>
                </c:pt>
                <c:pt idx="8">
                  <c:v>0.82414001874637621</c:v>
                </c:pt>
                <c:pt idx="9">
                  <c:v>0.74266437835449484</c:v>
                </c:pt>
                <c:pt idx="10">
                  <c:v>0.66118873796261357</c:v>
                </c:pt>
                <c:pt idx="11">
                  <c:v>0.57971309757073231</c:v>
                </c:pt>
                <c:pt idx="12">
                  <c:v>0.49823745717885104</c:v>
                </c:pt>
              </c:numCache>
            </c:numRef>
          </c:yVal>
          <c:smooth val="1"/>
          <c:extLst>
            <c:ext xmlns:c16="http://schemas.microsoft.com/office/drawing/2014/chart" uri="{C3380CC4-5D6E-409C-BE32-E72D297353CC}">
              <c16:uniqueId val="{00000001-86E0-4FD4-8759-866BE15AAD25}"/>
            </c:ext>
          </c:extLst>
        </c:ser>
        <c:ser>
          <c:idx val="10"/>
          <c:order val="10"/>
          <c:tx>
            <c:strRef>
              <c:f>DetailOfP50!$BG$3</c:f>
              <c:strCache>
                <c:ptCount val="1"/>
                <c:pt idx="0">
                  <c:v>High range for variability band</c:v>
                </c:pt>
              </c:strCache>
            </c:strRef>
          </c:tx>
          <c:spPr>
            <a:ln w="25400" cap="rnd">
              <a:solidFill>
                <a:srgbClr val="00B050">
                  <a:alpha val="75000"/>
                </a:srgbClr>
              </a:solidFill>
              <a:prstDash val="sysDot"/>
              <a:round/>
            </a:ln>
            <a:effectLst/>
          </c:spPr>
          <c:marker>
            <c:symbol val="none"/>
          </c:marker>
          <c:xVal>
            <c:numRef>
              <c:f>DetailOfP50!$BG$5:$BS$5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DetailOfP50!$BG$8:$BS$8</c:f>
              <c:numCache>
                <c:formatCode>0.000</c:formatCode>
                <c:ptCount val="13"/>
                <c:pt idx="0">
                  <c:v>1.1209939304002539</c:v>
                </c:pt>
                <c:pt idx="1">
                  <c:v>1.0931748484139401</c:v>
                </c:pt>
                <c:pt idx="2">
                  <c:v>1.0653557664276261</c:v>
                </c:pt>
                <c:pt idx="3">
                  <c:v>1.0375366844413121</c:v>
                </c:pt>
                <c:pt idx="4">
                  <c:v>1.0097176024549981</c:v>
                </c:pt>
                <c:pt idx="5">
                  <c:v>0.9818985204686842</c:v>
                </c:pt>
                <c:pt idx="6">
                  <c:v>0.98835301239779694</c:v>
                </c:pt>
                <c:pt idx="7">
                  <c:v>0.93821782286723476</c:v>
                </c:pt>
                <c:pt idx="8">
                  <c:v>0.85380905942124574</c:v>
                </c:pt>
                <c:pt idx="9">
                  <c:v>0.76940029597525672</c:v>
                </c:pt>
                <c:pt idx="10">
                  <c:v>0.6849915325292677</c:v>
                </c:pt>
                <c:pt idx="11">
                  <c:v>0.60058276908327868</c:v>
                </c:pt>
                <c:pt idx="12">
                  <c:v>0.51617400563728966</c:v>
                </c:pt>
              </c:numCache>
            </c:numRef>
          </c:yVal>
          <c:smooth val="1"/>
          <c:extLst>
            <c:ext xmlns:c16="http://schemas.microsoft.com/office/drawing/2014/chart" uri="{C3380CC4-5D6E-409C-BE32-E72D297353CC}">
              <c16:uniqueId val="{00000000-FEA8-4059-BA29-33383EA22A7D}"/>
            </c:ext>
          </c:extLst>
        </c:ser>
        <c:ser>
          <c:idx val="11"/>
          <c:order val="11"/>
          <c:tx>
            <c:strRef>
              <c:f>DetailOfP50!$BY$3</c:f>
              <c:strCache>
                <c:ptCount val="1"/>
                <c:pt idx="0">
                  <c:v>Low range for variability band</c:v>
                </c:pt>
              </c:strCache>
            </c:strRef>
          </c:tx>
          <c:spPr>
            <a:ln w="25400" cap="rnd">
              <a:solidFill>
                <a:srgbClr val="00B050">
                  <a:alpha val="75000"/>
                </a:srgbClr>
              </a:solidFill>
              <a:prstDash val="sysDot"/>
              <a:round/>
            </a:ln>
            <a:effectLst/>
          </c:spPr>
          <c:marker>
            <c:symbol val="none"/>
          </c:marker>
          <c:xVal>
            <c:numRef>
              <c:f>DetailOfP50!$BY$5:$CK$5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DetailOfP50!$BY$8:$CK$8</c:f>
              <c:numCache>
                <c:formatCode>0.000</c:formatCode>
                <c:ptCount val="13"/>
                <c:pt idx="0">
                  <c:v>1.0430870163183827</c:v>
                </c:pt>
                <c:pt idx="1">
                  <c:v>1.0172013068253263</c:v>
                </c:pt>
                <c:pt idx="2">
                  <c:v>0.9913155973322697</c:v>
                </c:pt>
                <c:pt idx="3">
                  <c:v>0.96542988783921302</c:v>
                </c:pt>
                <c:pt idx="4">
                  <c:v>0.93954417834615644</c:v>
                </c:pt>
                <c:pt idx="5">
                  <c:v>0.91365846885309987</c:v>
                </c:pt>
                <c:pt idx="6">
                  <c:v>0.91966438605354839</c:v>
                </c:pt>
                <c:pt idx="7">
                  <c:v>0.87301349540928019</c:v>
                </c:pt>
                <c:pt idx="8">
                  <c:v>0.79447097807150668</c:v>
                </c:pt>
                <c:pt idx="9">
                  <c:v>0.71592846073373295</c:v>
                </c:pt>
                <c:pt idx="10">
                  <c:v>0.63738594339595944</c:v>
                </c:pt>
                <c:pt idx="11">
                  <c:v>0.55884342605818593</c:v>
                </c:pt>
                <c:pt idx="12">
                  <c:v>0.48030090872041237</c:v>
                </c:pt>
              </c:numCache>
            </c:numRef>
          </c:yVal>
          <c:smooth val="1"/>
          <c:extLst>
            <c:ext xmlns:c16="http://schemas.microsoft.com/office/drawing/2014/chart" uri="{C3380CC4-5D6E-409C-BE32-E72D297353CC}">
              <c16:uniqueId val="{00000001-FEA8-4059-BA29-33383EA22A7D}"/>
            </c:ext>
          </c:extLst>
        </c:ser>
        <c:dLbls>
          <c:showLegendKey val="0"/>
          <c:showVal val="0"/>
          <c:showCatName val="0"/>
          <c:showSerName val="0"/>
          <c:showPercent val="0"/>
          <c:showBubbleSize val="0"/>
        </c:dLbls>
        <c:axId val="1109670256"/>
        <c:axId val="1109674576"/>
        <c:extLst>
          <c:ext xmlns:c15="http://schemas.microsoft.com/office/drawing/2012/chart" uri="{02D57815-91ED-43cb-92C2-25804820EDAC}">
            <c15:filteredScatterSeries>
              <c15:ser>
                <c:idx val="0"/>
                <c:order val="0"/>
                <c:tx>
                  <c:strRef>
                    <c:extLst>
                      <c:ext uri="{02D57815-91ED-43cb-92C2-25804820EDAC}">
                        <c15:formulaRef>
                          <c15:sqref>DetailOfP50!$B$6:$E$6</c15:sqref>
                        </c15:formulaRef>
                      </c:ext>
                    </c:extLst>
                    <c:strCache>
                      <c:ptCount val="4"/>
                      <c:pt idx="0">
                        <c:v>Wild Horse</c:v>
                      </c:pt>
                      <c:pt idx="1">
                        <c:v>18%</c:v>
                      </c:pt>
                      <c:pt idx="2">
                        <c:v>WA</c:v>
                      </c:pt>
                      <c:pt idx="3">
                        <c:v>0.5</c:v>
                      </c:pt>
                    </c:strCache>
                  </c:strRef>
                </c:tx>
                <c:spPr>
                  <a:ln w="19050" cap="rnd">
                    <a:solidFill>
                      <a:srgbClr val="7030A0"/>
                    </a:solidFill>
                    <a:round/>
                  </a:ln>
                  <a:effectLst/>
                </c:spPr>
                <c:marker>
                  <c:symbol val="none"/>
                </c:marker>
                <c:xVal>
                  <c:numRef>
                    <c:extLst>
                      <c:ext uri="{02D57815-91ED-43cb-92C2-25804820EDAC}">
                        <c15:formulaRef>
                          <c15:sqref>DetailOfP50!$W$5:$AK$5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c:ext uri="{02D57815-91ED-43cb-92C2-25804820EDAC}">
                        <c15:formulaRef>
                          <c15:sqref>DetailOfP50!$W$6:$AK$6</c15:sqref>
                        </c15:formulaRef>
                      </c:ext>
                    </c:extLst>
                    <c:numCache>
                      <c:formatCode>0.00</c:formatCode>
                      <c:ptCount val="15"/>
                      <c:pt idx="0">
                        <c:v>1.1499999999999999</c:v>
                      </c:pt>
                      <c:pt idx="1">
                        <c:v>1.1066117886697027</c:v>
                      </c:pt>
                      <c:pt idx="2">
                        <c:v>1.067349572758393</c:v>
                      </c:pt>
                      <c:pt idx="3">
                        <c:v>1.0262570576516028</c:v>
                      </c:pt>
                      <c:pt idx="4">
                        <c:v>1.1177190141996209</c:v>
                      </c:pt>
                      <c:pt idx="5">
                        <c:v>1.0337532260328532</c:v>
                      </c:pt>
                      <c:pt idx="6">
                        <c:v>0.68739198291568215</c:v>
                      </c:pt>
                      <c:pt idx="7">
                        <c:v>0.7009001089916379</c:v>
                      </c:pt>
                      <c:pt idx="8">
                        <c:v>0.56151689265538174</c:v>
                      </c:pt>
                      <c:pt idx="9">
                        <c:v>0.13782047719900598</c:v>
                      </c:pt>
                      <c:pt idx="10">
                        <c:v>0.70568750028372274</c:v>
                      </c:pt>
                      <c:pt idx="11">
                        <c:v>0.81473950362919945</c:v>
                      </c:pt>
                      <c:pt idx="12">
                        <c:v>0.93812418895159255</c:v>
                      </c:pt>
                      <c:pt idx="13">
                        <c:v>0.98576194921508731</c:v>
                      </c:pt>
                      <c:pt idx="14">
                        <c:v>1.0055911353605851</c:v>
                      </c:pt>
                    </c:numCache>
                  </c:numRef>
                </c:yVal>
                <c:smooth val="0"/>
                <c:extLst>
                  <c:ext xmlns:c16="http://schemas.microsoft.com/office/drawing/2014/chart" uri="{C3380CC4-5D6E-409C-BE32-E72D297353CC}">
                    <c16:uniqueId val="{00000002-86E0-4FD4-8759-866BE15AAD25}"/>
                  </c:ext>
                </c:extLst>
              </c15:ser>
            </c15:filteredScatterSeries>
            <c15:filteredScatterSeries>
              <c15:ser>
                <c:idx val="3"/>
                <c:order val="1"/>
                <c:tx>
                  <c:strRef>
                    <c:extLst xmlns:c15="http://schemas.microsoft.com/office/drawing/2012/chart">
                      <c:ext xmlns:c15="http://schemas.microsoft.com/office/drawing/2012/chart" uri="{02D57815-91ED-43cb-92C2-25804820EDAC}">
                        <c15:formulaRef>
                          <c15:sqref>DetailOfP50!$A$6</c15:sqref>
                        </c15:formulaRef>
                      </c:ext>
                    </c:extLst>
                    <c:strCache>
                      <c:ptCount val="1"/>
                      <c:pt idx="0">
                        <c:v>48</c:v>
                      </c:pt>
                    </c:strCache>
                  </c:strRef>
                </c:tx>
                <c:spPr>
                  <a:ln w="19050" cap="rnd">
                    <a:solidFill>
                      <a:srgbClr val="7030A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2.3E-2</c:v>
                        </c:pt>
                      </c:numCache>
                    </c:numRef>
                  </c:plus>
                  <c:min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2.3E-2</c:v>
                        </c:pt>
                      </c:numCache>
                    </c:numRef>
                  </c:minus>
                  <c:spPr>
                    <a:noFill/>
                    <a:ln w="19050" cap="sq" cmpd="sng" algn="ctr">
                      <a:solidFill>
                        <a:srgbClr val="7030A0"/>
                      </a:solidFill>
                      <a:round/>
                    </a:ln>
                    <a:effectLst/>
                  </c:spPr>
                </c:errBars>
                <c:xVal>
                  <c:numRef>
                    <c:extLst xmlns:c15="http://schemas.microsoft.com/office/drawing/2012/chart">
                      <c:ext xmlns:c15="http://schemas.microsoft.com/office/drawing/2012/chart" uri="{02D57815-91ED-43cb-92C2-25804820EDAC}">
                        <c15:formulaRef>
                          <c15:sqref>DetailOfP50!$AO$5:$BC$5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xmlns:c15="http://schemas.microsoft.com/office/drawing/2012/chart">
                      <c:ext xmlns:c15="http://schemas.microsoft.com/office/drawing/2012/chart" uri="{02D57815-91ED-43cb-92C2-25804820EDAC}">
                        <c15:formulaRef>
                          <c15:sqref>DetailOfP50!$AO$6:$BC$6</c15:sqref>
                        </c15:formulaRef>
                      </c:ext>
                    </c:extLst>
                    <c:numCache>
                      <c:formatCode>0.00</c:formatCode>
                      <c:ptCount val="15"/>
                      <c:pt idx="0">
                        <c:v>1.1859230633631319</c:v>
                      </c:pt>
                      <c:pt idx="1">
                        <c:v>1.1329526442529381</c:v>
                      </c:pt>
                      <c:pt idx="2">
                        <c:v>1.0799822251427444</c:v>
                      </c:pt>
                      <c:pt idx="3">
                        <c:v>1.0270118060325506</c:v>
                      </c:pt>
                      <c:pt idx="4">
                        <c:v>0.97404138692235698</c:v>
                      </c:pt>
                      <c:pt idx="5">
                        <c:v>0.92107096781216313</c:v>
                      </c:pt>
                      <c:pt idx="6">
                        <c:v>0.67866273487978201</c:v>
                      </c:pt>
                      <c:pt idx="7">
                        <c:v>0.5485168502154707</c:v>
                      </c:pt>
                      <c:pt idx="8">
                        <c:v>0.60780877937334687</c:v>
                      </c:pt>
                      <c:pt idx="9">
                        <c:v>0.66710070853122316</c:v>
                      </c:pt>
                      <c:pt idx="10">
                        <c:v>0.72639263768909934</c:v>
                      </c:pt>
                      <c:pt idx="11">
                        <c:v>0.78568456684697563</c:v>
                      </c:pt>
                      <c:pt idx="12">
                        <c:v>0.84497649600485181</c:v>
                      </c:pt>
                      <c:pt idx="13">
                        <c:v>0.9042684251627281</c:v>
                      </c:pt>
                      <c:pt idx="14">
                        <c:v>0.96356035432060427</c:v>
                      </c:pt>
                    </c:numCache>
                  </c:numRef>
                </c:yVal>
                <c:smooth val="0"/>
                <c:extLst xmlns:c15="http://schemas.microsoft.com/office/drawing/2012/chart">
                  <c:ext xmlns:c16="http://schemas.microsoft.com/office/drawing/2014/chart" uri="{C3380CC4-5D6E-409C-BE32-E72D297353CC}">
                    <c16:uniqueId val="{00000003-86E0-4FD4-8759-866BE15AAD25}"/>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DetailOfP50!$B$7:$E$7</c15:sqref>
                        </c15:formulaRef>
                      </c:ext>
                    </c:extLst>
                    <c:strCache>
                      <c:ptCount val="4"/>
                      <c:pt idx="0">
                        <c:v>Dow Jones</c:v>
                      </c:pt>
                      <c:pt idx="1">
                        <c:v>20%</c:v>
                      </c:pt>
                      <c:pt idx="2">
                        <c:v>NJ</c:v>
                      </c:pt>
                      <c:pt idx="3">
                        <c:v>4.1</c:v>
                      </c:pt>
                    </c:strCache>
                  </c:strRef>
                </c:tx>
                <c:spPr>
                  <a:ln w="19050" cap="rnd">
                    <a:solidFill>
                      <a:srgbClr val="00B0F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DetailOfP50!$W$7:$AJ$7</c15:sqref>
                        </c15:formulaRef>
                      </c:ext>
                    </c:extLst>
                    <c:numCache>
                      <c:formatCode>0.00</c:formatCode>
                      <c:ptCount val="14"/>
                      <c:pt idx="0">
                        <c:v>0.90361177026642492</c:v>
                      </c:pt>
                      <c:pt idx="1">
                        <c:v>1.0137516646672524</c:v>
                      </c:pt>
                      <c:pt idx="2">
                        <c:v>0.99504108352724252</c:v>
                      </c:pt>
                      <c:pt idx="3">
                        <c:v>0.96016723535284088</c:v>
                      </c:pt>
                      <c:pt idx="4">
                        <c:v>0.99404615573411981</c:v>
                      </c:pt>
                      <c:pt idx="5">
                        <c:v>1.0364978619287759</c:v>
                      </c:pt>
                      <c:pt idx="6">
                        <c:v>0.92431962326275241</c:v>
                      </c:pt>
                      <c:pt idx="7">
                        <c:v>0.81505595206464754</c:v>
                      </c:pt>
                      <c:pt idx="8">
                        <c:v>0.98494458241982852</c:v>
                      </c:pt>
                      <c:pt idx="9">
                        <c:v>0.96400641245117979</c:v>
                      </c:pt>
                      <c:pt idx="10">
                        <c:v>0.96079755922308474</c:v>
                      </c:pt>
                      <c:pt idx="11">
                        <c:v>0.70746141612673208</c:v>
                      </c:pt>
                      <c:pt idx="12">
                        <c:v>0.86932143333747613</c:v>
                      </c:pt>
                      <c:pt idx="13">
                        <c:v>0</c:v>
                      </c:pt>
                    </c:numCache>
                  </c:numRef>
                </c:yVal>
                <c:smooth val="0"/>
                <c:extLst xmlns:c15="http://schemas.microsoft.com/office/drawing/2012/chart">
                  <c:ext xmlns:c16="http://schemas.microsoft.com/office/drawing/2014/chart" uri="{C3380CC4-5D6E-409C-BE32-E72D297353CC}">
                    <c16:uniqueId val="{00000004-86E0-4FD4-8759-866BE15AAD25}"/>
                  </c:ext>
                </c:extLst>
              </c15:ser>
            </c15:filteredScatterSeries>
            <c15:filteredScatterSeries>
              <c15:ser>
                <c:idx val="5"/>
                <c:order val="3"/>
                <c:tx>
                  <c:strRef>
                    <c:extLst xmlns:c15="http://schemas.microsoft.com/office/drawing/2012/chart">
                      <c:ext xmlns:c15="http://schemas.microsoft.com/office/drawing/2012/chart" uri="{02D57815-91ED-43cb-92C2-25804820EDAC}">
                        <c15:formulaRef>
                          <c15:sqref>DetailOfP50!$A$7</c15:sqref>
                        </c15:formulaRef>
                      </c:ext>
                    </c:extLst>
                    <c:strCache>
                      <c:ptCount val="1"/>
                      <c:pt idx="0">
                        <c:v>49</c:v>
                      </c:pt>
                    </c:strCache>
                  </c:strRef>
                </c:tx>
                <c:spPr>
                  <a:ln w="19050" cap="rnd">
                    <a:solidFill>
                      <a:srgbClr val="00B0F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2.8000000000000001E-2</c:v>
                        </c:pt>
                      </c:numCache>
                    </c:numRef>
                  </c:plus>
                  <c:min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2.8000000000000001E-2</c:v>
                        </c:pt>
                      </c:numCache>
                    </c:numRef>
                  </c:minus>
                  <c:spPr>
                    <a:noFill/>
                    <a:ln w="19050" cap="sq" cmpd="sng" algn="ctr">
                      <a:solidFill>
                        <a:srgbClr val="00B0F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DetailOfP50!$AO$7:$BB$7</c15:sqref>
                        </c15:formulaRef>
                      </c:ext>
                    </c:extLst>
                    <c:numCache>
                      <c:formatCode>0.00</c:formatCode>
                      <c:ptCount val="14"/>
                      <c:pt idx="0">
                        <c:v>0.96392423220717549</c:v>
                      </c:pt>
                      <c:pt idx="1">
                        <c:v>0.96773212598285074</c:v>
                      </c:pt>
                      <c:pt idx="2">
                        <c:v>0.971540019758526</c:v>
                      </c:pt>
                      <c:pt idx="3">
                        <c:v>0.97534791353420125</c:v>
                      </c:pt>
                      <c:pt idx="4">
                        <c:v>0.97915580730987639</c:v>
                      </c:pt>
                      <c:pt idx="5">
                        <c:v>0.98296370108555164</c:v>
                      </c:pt>
                      <c:pt idx="6">
                        <c:v>1.0290584900397719</c:v>
                      </c:pt>
                      <c:pt idx="7">
                        <c:v>0.98760052440185853</c:v>
                      </c:pt>
                      <c:pt idx="8">
                        <c:v>0.90385566358540015</c:v>
                      </c:pt>
                      <c:pt idx="9">
                        <c:v>0.82011080276894166</c:v>
                      </c:pt>
                      <c:pt idx="10">
                        <c:v>0.73636594195248328</c:v>
                      </c:pt>
                      <c:pt idx="11">
                        <c:v>0.65262108113602491</c:v>
                      </c:pt>
                      <c:pt idx="12">
                        <c:v>0.56887622031956653</c:v>
                      </c:pt>
                      <c:pt idx="13">
                        <c:v>0.48513135950310793</c:v>
                      </c:pt>
                    </c:numCache>
                  </c:numRef>
                </c:yVal>
                <c:smooth val="0"/>
                <c:extLst xmlns:c15="http://schemas.microsoft.com/office/drawing/2012/chart">
                  <c:ext xmlns:c16="http://schemas.microsoft.com/office/drawing/2014/chart" uri="{C3380CC4-5D6E-409C-BE32-E72D297353CC}">
                    <c16:uniqueId val="{00000005-86E0-4FD4-8759-866BE15AAD25}"/>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DetailOfP50!$B$9:$E$9</c15:sqref>
                        </c15:formulaRef>
                      </c:ext>
                    </c:extLst>
                    <c:strCache>
                      <c:ptCount val="4"/>
                      <c:pt idx="0">
                        <c:v>Sacramento Soleil</c:v>
                      </c:pt>
                      <c:pt idx="1">
                        <c:v>2%</c:v>
                      </c:pt>
                      <c:pt idx="2">
                        <c:v>CA</c:v>
                      </c:pt>
                      <c:pt idx="3">
                        <c:v>1.2</c:v>
                      </c:pt>
                    </c:strCache>
                  </c:strRef>
                </c:tx>
                <c:spPr>
                  <a:ln w="19050" cap="rnd">
                    <a:solidFill>
                      <a:schemeClr val="accent2"/>
                    </a:solidFill>
                    <a:round/>
                  </a:ln>
                  <a:effectLst/>
                </c:spPr>
                <c:marker>
                  <c:symbol val="none"/>
                </c:marker>
                <c:xVal>
                  <c:numRef>
                    <c:extLst xmlns:c15="http://schemas.microsoft.com/office/drawing/2012/chart">
                      <c:ext xmlns:c15="http://schemas.microsoft.com/office/drawing/2012/chart" uri="{02D57815-91ED-43cb-92C2-25804820EDAC}">
                        <c15:formulaRef>
                          <c15:sqref>DetailOfP50!$W$5:$AM$5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DetailOfP50!$W$9:$AM$9</c15:sqref>
                        </c15:formulaRef>
                      </c:ext>
                    </c:extLst>
                    <c:numCache>
                      <c:formatCode>0.00</c:formatCode>
                      <c:ptCount val="17"/>
                      <c:pt idx="0">
                        <c:v>0.85876737435078587</c:v>
                      </c:pt>
                      <c:pt idx="1">
                        <c:v>0.89277365526789976</c:v>
                      </c:pt>
                      <c:pt idx="2">
                        <c:v>0.91578137613345478</c:v>
                      </c:pt>
                      <c:pt idx="3">
                        <c:v>0.88367137474568025</c:v>
                      </c:pt>
                      <c:pt idx="4">
                        <c:v>0.92396899906073349</c:v>
                      </c:pt>
                      <c:pt idx="5">
                        <c:v>0.88369606548533497</c:v>
                      </c:pt>
                      <c:pt idx="6">
                        <c:v>0.90808308284307437</c:v>
                      </c:pt>
                      <c:pt idx="7">
                        <c:v>0.88785187697150159</c:v>
                      </c:pt>
                      <c:pt idx="8">
                        <c:v>0.90662863313672803</c:v>
                      </c:pt>
                      <c:pt idx="9">
                        <c:v>0.81900038739378245</c:v>
                      </c:pt>
                      <c:pt idx="10">
                        <c:v>0.77438236084221312</c:v>
                      </c:pt>
                      <c:pt idx="11">
                        <c:v>0.73198635691973701</c:v>
                      </c:pt>
                    </c:numCache>
                  </c:numRef>
                </c:yVal>
                <c:smooth val="0"/>
                <c:extLst xmlns:c15="http://schemas.microsoft.com/office/drawing/2012/chart">
                  <c:ext xmlns:c16="http://schemas.microsoft.com/office/drawing/2014/chart" uri="{C3380CC4-5D6E-409C-BE32-E72D297353CC}">
                    <c16:uniqueId val="{00000006-86E0-4FD4-8759-866BE15AAD25}"/>
                  </c:ext>
                </c:extLst>
              </c15:ser>
            </c15:filteredScatterSeries>
            <c15:filteredScatterSeries>
              <c15:ser>
                <c:idx val="8"/>
                <c:order val="7"/>
                <c:tx>
                  <c:strRef>
                    <c:extLst xmlns:c15="http://schemas.microsoft.com/office/drawing/2012/chart">
                      <c:ext xmlns:c15="http://schemas.microsoft.com/office/drawing/2012/chart" uri="{02D57815-91ED-43cb-92C2-25804820EDAC}">
                        <c15:formulaRef>
                          <c15:sqref>DetailOfP50!$A$9</c15:sqref>
                        </c15:formulaRef>
                      </c:ext>
                    </c:extLst>
                    <c:strCache>
                      <c:ptCount val="1"/>
                      <c:pt idx="0">
                        <c:v>51</c:v>
                      </c:pt>
                    </c:strCache>
                  </c:strRef>
                </c:tx>
                <c:spPr>
                  <a:ln w="19050" cap="rnd">
                    <a:solidFill>
                      <a:schemeClr val="accent2"/>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3.4000000000000002E-2</c:v>
                        </c:pt>
                      </c:numCache>
                    </c:numRef>
                  </c:plus>
                  <c:min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3.4000000000000002E-2</c:v>
                        </c:pt>
                      </c:numCache>
                    </c:numRef>
                  </c:minus>
                  <c:spPr>
                    <a:noFill/>
                    <a:ln w="19050" cap="sq" cmpd="sng" algn="ctr">
                      <a:solidFill>
                        <a:schemeClr val="accent2"/>
                      </a:solidFill>
                      <a:round/>
                    </a:ln>
                    <a:effectLst/>
                  </c:spPr>
                </c:errBars>
                <c:xVal>
                  <c:numRef>
                    <c:extLst xmlns:c15="http://schemas.microsoft.com/office/drawing/2012/chart">
                      <c:ext xmlns:c15="http://schemas.microsoft.com/office/drawing/2012/chart" uri="{02D57815-91ED-43cb-92C2-25804820EDAC}">
                        <c15:formulaRef>
                          <c15:sqref>DetailOfP50!$AO$5:$BE$5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DetailOfP50!$AO$9:$BE$9</c15:sqref>
                        </c15:formulaRef>
                      </c:ext>
                    </c:extLst>
                    <c:numCache>
                      <c:formatCode>0.00</c:formatCode>
                      <c:ptCount val="17"/>
                      <c:pt idx="0">
                        <c:v>0.88046532160824331</c:v>
                      </c:pt>
                      <c:pt idx="1">
                        <c:v>0.88539316335249385</c:v>
                      </c:pt>
                      <c:pt idx="2">
                        <c:v>0.89032100509674439</c:v>
                      </c:pt>
                      <c:pt idx="3">
                        <c:v>0.89524884684099482</c:v>
                      </c:pt>
                      <c:pt idx="4">
                        <c:v>0.90017668858524535</c:v>
                      </c:pt>
                      <c:pt idx="5">
                        <c:v>0.90510453032949589</c:v>
                      </c:pt>
                      <c:pt idx="6">
                        <c:v>0.92074344982248935</c:v>
                      </c:pt>
                      <c:pt idx="7">
                        <c:v>0.89406822974987521</c:v>
                      </c:pt>
                      <c:pt idx="8">
                        <c:v>0.85668193192851805</c:v>
                      </c:pt>
                      <c:pt idx="9">
                        <c:v>0.819295634107161</c:v>
                      </c:pt>
                      <c:pt idx="10">
                        <c:v>0.78190933628580384</c:v>
                      </c:pt>
                      <c:pt idx="11">
                        <c:v>0.74452303846444678</c:v>
                      </c:pt>
                    </c:numCache>
                  </c:numRef>
                </c:yVal>
                <c:smooth val="0"/>
                <c:extLst xmlns:c15="http://schemas.microsoft.com/office/drawing/2012/chart">
                  <c:ext xmlns:c16="http://schemas.microsoft.com/office/drawing/2014/chart" uri="{C3380CC4-5D6E-409C-BE32-E72D297353CC}">
                    <c16:uniqueId val="{00000007-86E0-4FD4-8759-866BE15AAD25}"/>
                  </c:ext>
                </c:extLst>
              </c15:ser>
            </c15:filteredScatterSeries>
            <c15:filteredScatterSeries>
              <c15:ser>
                <c:idx val="1"/>
                <c:order val="8"/>
                <c:tx>
                  <c:strRef>
                    <c:extLst xmlns:c15="http://schemas.microsoft.com/office/drawing/2012/chart">
                      <c:ext xmlns:c15="http://schemas.microsoft.com/office/drawing/2012/chart" uri="{02D57815-91ED-43cb-92C2-25804820EDAC}">
                        <c15:formulaRef>
                          <c15:sqref>DetailOfP50!$B$10:$E$10</c15:sqref>
                        </c15:formulaRef>
                      </c:ext>
                    </c:extLst>
                    <c:strCache>
                      <c:ptCount val="4"/>
                      <c:pt idx="0">
                        <c:v>NEDC Solar Site</c:v>
                      </c:pt>
                      <c:pt idx="1">
                        <c:v>5%</c:v>
                      </c:pt>
                      <c:pt idx="2">
                        <c:v>MA</c:v>
                      </c:pt>
                      <c:pt idx="3">
                        <c:v>1.0</c:v>
                      </c:pt>
                    </c:strCache>
                  </c:strRef>
                </c:tx>
                <c:spPr>
                  <a:ln w="19050" cap="rnd">
                    <a:solidFill>
                      <a:srgbClr val="FF000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DetailOfP50!$W$5:$AI$5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DetailOfP50!$W$10:$AI$10</c15:sqref>
                        </c15:formulaRef>
                      </c:ext>
                    </c:extLst>
                    <c:numCache>
                      <c:formatCode>0.00</c:formatCode>
                      <c:ptCount val="13"/>
                      <c:pt idx="0">
                        <c:v>0.82752964866121748</c:v>
                      </c:pt>
                      <c:pt idx="1">
                        <c:v>0.86964210904614658</c:v>
                      </c:pt>
                      <c:pt idx="2">
                        <c:v>0.8209412221979776</c:v>
                      </c:pt>
                      <c:pt idx="3">
                        <c:v>0.86423638132003733</c:v>
                      </c:pt>
                      <c:pt idx="4">
                        <c:v>0.86355374669001572</c:v>
                      </c:pt>
                      <c:pt idx="5">
                        <c:v>0.92850263207315653</c:v>
                      </c:pt>
                      <c:pt idx="6">
                        <c:v>0.83164515900254943</c:v>
                      </c:pt>
                      <c:pt idx="7">
                        <c:v>0.84517734966647495</c:v>
                      </c:pt>
                      <c:pt idx="8">
                        <c:v>0.87420647372557336</c:v>
                      </c:pt>
                      <c:pt idx="9">
                        <c:v>0.9395775379888468</c:v>
                      </c:pt>
                      <c:pt idx="10">
                        <c:v>0.86229866007446543</c:v>
                      </c:pt>
                      <c:pt idx="11">
                        <c:v>0.95858674693013057</c:v>
                      </c:pt>
                      <c:pt idx="12">
                        <c:v>0.7654918609378607</c:v>
                      </c:pt>
                    </c:numCache>
                  </c:numRef>
                </c:yVal>
                <c:smooth val="0"/>
                <c:extLst xmlns:c15="http://schemas.microsoft.com/office/drawing/2012/chart">
                  <c:ext xmlns:c16="http://schemas.microsoft.com/office/drawing/2014/chart" uri="{C3380CC4-5D6E-409C-BE32-E72D297353CC}">
                    <c16:uniqueId val="{00000008-86E0-4FD4-8759-866BE15AAD25}"/>
                  </c:ext>
                </c:extLst>
              </c15:ser>
            </c15:filteredScatterSeries>
            <c15:filteredScatterSeries>
              <c15:ser>
                <c:idx val="9"/>
                <c:order val="9"/>
                <c:tx>
                  <c:strRef>
                    <c:extLst xmlns:c15="http://schemas.microsoft.com/office/drawing/2012/chart">
                      <c:ext xmlns:c15="http://schemas.microsoft.com/office/drawing/2012/chart" uri="{02D57815-91ED-43cb-92C2-25804820EDAC}">
                        <c15:formulaRef>
                          <c15:sqref>DetailOfP50!$A$10</c15:sqref>
                        </c15:formulaRef>
                      </c:ext>
                    </c:extLst>
                    <c:strCache>
                      <c:ptCount val="1"/>
                      <c:pt idx="0">
                        <c:v>52</c:v>
                      </c:pt>
                    </c:strCache>
                  </c:strRef>
                </c:tx>
                <c:spPr>
                  <a:ln w="19050" cap="rnd">
                    <a:solidFill>
                      <a:srgbClr val="FF000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2.8000000000000001E-2</c:v>
                        </c:pt>
                      </c:numCache>
                    </c:numRef>
                  </c:plus>
                  <c:min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2.8000000000000001E-2</c:v>
                        </c:pt>
                      </c:numCache>
                    </c:numRef>
                  </c:minus>
                  <c:spPr>
                    <a:noFill/>
                    <a:ln w="19050" cap="sq" cmpd="sng" algn="ctr">
                      <a:solidFill>
                        <a:srgbClr val="FF0000"/>
                      </a:solidFill>
                      <a:round/>
                    </a:ln>
                    <a:effectLst/>
                  </c:spPr>
                </c:errBars>
                <c:xVal>
                  <c:numRef>
                    <c:extLst xmlns:c15="http://schemas.microsoft.com/office/drawing/2012/chart">
                      <c:ext xmlns:c15="http://schemas.microsoft.com/office/drawing/2012/chart" uri="{02D57815-91ED-43cb-92C2-25804820EDAC}">
                        <c15:formulaRef>
                          <c15:sqref>DetailOfP50!$AO$5:$BA$5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DetailOfP50!$AO$10:$BA$10</c15:sqref>
                        </c15:formulaRef>
                      </c:ext>
                    </c:extLst>
                    <c:numCache>
                      <c:formatCode>0.00</c:formatCode>
                      <c:ptCount val="13"/>
                      <c:pt idx="0">
                        <c:v>0.83950583183050864</c:v>
                      </c:pt>
                      <c:pt idx="1">
                        <c:v>0.84567297831515342</c:v>
                      </c:pt>
                      <c:pt idx="2">
                        <c:v>0.8518401247997982</c:v>
                      </c:pt>
                      <c:pt idx="3">
                        <c:v>0.85800727128444298</c:v>
                      </c:pt>
                      <c:pt idx="4">
                        <c:v>0.86417441776908777</c:v>
                      </c:pt>
                      <c:pt idx="5">
                        <c:v>0.87034156425373255</c:v>
                      </c:pt>
                      <c:pt idx="6">
                        <c:v>0.87249764456984591</c:v>
                      </c:pt>
                      <c:pt idx="7">
                        <c:v>0.86801979039032628</c:v>
                      </c:pt>
                      <c:pt idx="8">
                        <c:v>0.86755300237933808</c:v>
                      </c:pt>
                      <c:pt idx="9">
                        <c:v>0.86708621436834998</c:v>
                      </c:pt>
                      <c:pt idx="10">
                        <c:v>0.86661942635736178</c:v>
                      </c:pt>
                      <c:pt idx="11">
                        <c:v>0.86615263834637368</c:v>
                      </c:pt>
                      <c:pt idx="12">
                        <c:v>0.86568585033538548</c:v>
                      </c:pt>
                    </c:numCache>
                  </c:numRef>
                </c:yVal>
                <c:smooth val="0"/>
                <c:extLst xmlns:c15="http://schemas.microsoft.com/office/drawing/2012/chart">
                  <c:ext xmlns:c16="http://schemas.microsoft.com/office/drawing/2014/chart" uri="{C3380CC4-5D6E-409C-BE32-E72D297353CC}">
                    <c16:uniqueId val="{00000009-86E0-4FD4-8759-866BE15AAD25}"/>
                  </c:ext>
                </c:extLst>
              </c15:ser>
            </c15:filteredScatterSeries>
          </c:ext>
        </c:extLst>
      </c:scatterChart>
      <c:valAx>
        <c:axId val="1109670256"/>
        <c:scaling>
          <c:orientation val="minMax"/>
          <c:max val="13"/>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Year of operation</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Performance Index</a:t>
                </a:r>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Five Median-Ranked U.S. Systems </a:t>
            </a:r>
            <a:r>
              <a:rPr lang="en-US" sz="1600" b="1" i="0" u="none" strike="noStrike" kern="1200" spc="0" baseline="0">
                <a:solidFill>
                  <a:sysClr val="windowText" lastClr="000000">
                    <a:lumMod val="65000"/>
                    <a:lumOff val="35000"/>
                  </a:sysClr>
                </a:solidFill>
              </a:rPr>
              <a:t>(#48-#52 of 100)</a:t>
            </a:r>
            <a:r>
              <a:rPr lang="en-US"/>
              <a:t>: PI Histories w/normal weather range</a:t>
            </a:r>
            <a:endParaRPr lang="en-US" baseline="0"/>
          </a:p>
          <a:p>
            <a:pPr>
              <a:defRPr/>
            </a:pPr>
            <a:r>
              <a:rPr lang="en-US" baseline="0"/>
              <a:t>Two dashed best-fit lines are used to define the 1st-7 and post-7 periods for each system</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DetailOfP50!$B$6:$E$6</c:f>
              <c:strCache>
                <c:ptCount val="4"/>
                <c:pt idx="0">
                  <c:v>Wild Horse</c:v>
                </c:pt>
                <c:pt idx="1">
                  <c:v>18%</c:v>
                </c:pt>
                <c:pt idx="2">
                  <c:v>WA</c:v>
                </c:pt>
                <c:pt idx="3">
                  <c:v>0.5</c:v>
                </c:pt>
              </c:strCache>
            </c:strRef>
          </c:tx>
          <c:spPr>
            <a:ln w="19050" cap="rnd">
              <a:solidFill>
                <a:srgbClr val="7030A0"/>
              </a:solidFill>
              <a:round/>
            </a:ln>
            <a:effectLst/>
          </c:spPr>
          <c:marker>
            <c:symbol val="none"/>
          </c:marker>
          <c:xVal>
            <c:numRef>
              <c:f>DetailOfP50!$W$5:$AK$5</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DetailOfP50!$W$6:$AK$6</c:f>
              <c:numCache>
                <c:formatCode>0.00</c:formatCode>
                <c:ptCount val="15"/>
                <c:pt idx="0">
                  <c:v>1.1499999999999999</c:v>
                </c:pt>
                <c:pt idx="1">
                  <c:v>1.1066117886697027</c:v>
                </c:pt>
                <c:pt idx="2">
                  <c:v>1.067349572758393</c:v>
                </c:pt>
                <c:pt idx="3">
                  <c:v>1.0262570576516028</c:v>
                </c:pt>
                <c:pt idx="4">
                  <c:v>1.1177190141996209</c:v>
                </c:pt>
                <c:pt idx="5">
                  <c:v>1.0337532260328532</c:v>
                </c:pt>
                <c:pt idx="6">
                  <c:v>0.68739198291568215</c:v>
                </c:pt>
                <c:pt idx="7">
                  <c:v>0.7009001089916379</c:v>
                </c:pt>
                <c:pt idx="8">
                  <c:v>0.56151689265538174</c:v>
                </c:pt>
                <c:pt idx="9">
                  <c:v>0.13782047719900598</c:v>
                </c:pt>
                <c:pt idx="10">
                  <c:v>0.70568750028372274</c:v>
                </c:pt>
                <c:pt idx="11">
                  <c:v>0.81473950362919945</c:v>
                </c:pt>
                <c:pt idx="12">
                  <c:v>0.93812418895159255</c:v>
                </c:pt>
                <c:pt idx="13">
                  <c:v>0.98576194921508731</c:v>
                </c:pt>
                <c:pt idx="14">
                  <c:v>1.0055911353605851</c:v>
                </c:pt>
              </c:numCache>
            </c:numRef>
          </c:yVal>
          <c:smooth val="0"/>
          <c:extLst>
            <c:ext xmlns:c16="http://schemas.microsoft.com/office/drawing/2014/chart" uri="{C3380CC4-5D6E-409C-BE32-E72D297353CC}">
              <c16:uniqueId val="{00000000-AA65-40EF-959D-C5BBBED704DA}"/>
            </c:ext>
          </c:extLst>
        </c:ser>
        <c:ser>
          <c:idx val="3"/>
          <c:order val="1"/>
          <c:tx>
            <c:strRef>
              <c:f>DetailOfP50!$A$6</c:f>
              <c:strCache>
                <c:ptCount val="1"/>
                <c:pt idx="0">
                  <c:v>48</c:v>
                </c:pt>
              </c:strCache>
            </c:strRef>
          </c:tx>
          <c:spPr>
            <a:ln w="19050" cap="rnd">
              <a:solidFill>
                <a:srgbClr val="7030A0"/>
              </a:solidFill>
              <a:prstDash val="dash"/>
              <a:round/>
            </a:ln>
            <a:effectLst/>
          </c:spPr>
          <c:marker>
            <c:symbol val="none"/>
          </c:marker>
          <c:errBars>
            <c:errDir val="y"/>
            <c:errBarType val="both"/>
            <c:errValType val="cust"/>
            <c:noEndCap val="0"/>
            <c:plus>
              <c:numRef>
                <c:f>DetailOfP50!$H$6</c:f>
                <c:numCache>
                  <c:formatCode>General</c:formatCode>
                  <c:ptCount val="1"/>
                  <c:pt idx="0">
                    <c:v>2.3E-2</c:v>
                  </c:pt>
                </c:numCache>
              </c:numRef>
            </c:plus>
            <c:minus>
              <c:numRef>
                <c:f>DetailOfP50!$H$6</c:f>
                <c:numCache>
                  <c:formatCode>General</c:formatCode>
                  <c:ptCount val="1"/>
                  <c:pt idx="0">
                    <c:v>2.3E-2</c:v>
                  </c:pt>
                </c:numCache>
              </c:numRef>
            </c:minus>
            <c:spPr>
              <a:noFill/>
              <a:ln w="19050" cap="sq" cmpd="sng" algn="ctr">
                <a:solidFill>
                  <a:srgbClr val="7030A0"/>
                </a:solidFill>
                <a:round/>
              </a:ln>
              <a:effectLst/>
            </c:spPr>
          </c:errBars>
          <c:xVal>
            <c:numRef>
              <c:f>DetailOfP50!$AO$5:$BC$5</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DetailOfP50!$AO$6:$BC$6</c:f>
              <c:numCache>
                <c:formatCode>0.00</c:formatCode>
                <c:ptCount val="15"/>
                <c:pt idx="0">
                  <c:v>1.1859230633631319</c:v>
                </c:pt>
                <c:pt idx="1">
                  <c:v>1.1329526442529381</c:v>
                </c:pt>
                <c:pt idx="2">
                  <c:v>1.0799822251427444</c:v>
                </c:pt>
                <c:pt idx="3">
                  <c:v>1.0270118060325506</c:v>
                </c:pt>
                <c:pt idx="4">
                  <c:v>0.97404138692235698</c:v>
                </c:pt>
                <c:pt idx="5">
                  <c:v>0.92107096781216313</c:v>
                </c:pt>
                <c:pt idx="6">
                  <c:v>0.67866273487978201</c:v>
                </c:pt>
                <c:pt idx="7">
                  <c:v>0.5485168502154707</c:v>
                </c:pt>
                <c:pt idx="8">
                  <c:v>0.60780877937334687</c:v>
                </c:pt>
                <c:pt idx="9">
                  <c:v>0.66710070853122316</c:v>
                </c:pt>
                <c:pt idx="10">
                  <c:v>0.72639263768909934</c:v>
                </c:pt>
                <c:pt idx="11">
                  <c:v>0.78568456684697563</c:v>
                </c:pt>
                <c:pt idx="12">
                  <c:v>0.84497649600485181</c:v>
                </c:pt>
                <c:pt idx="13">
                  <c:v>0.9042684251627281</c:v>
                </c:pt>
                <c:pt idx="14">
                  <c:v>0.96356035432060427</c:v>
                </c:pt>
              </c:numCache>
            </c:numRef>
          </c:yVal>
          <c:smooth val="0"/>
          <c:extLst>
            <c:ext xmlns:c16="http://schemas.microsoft.com/office/drawing/2014/chart" uri="{C3380CC4-5D6E-409C-BE32-E72D297353CC}">
              <c16:uniqueId val="{00000001-0ACB-4B32-A82F-9A654A206A24}"/>
            </c:ext>
          </c:extLst>
        </c:ser>
        <c:ser>
          <c:idx val="2"/>
          <c:order val="2"/>
          <c:tx>
            <c:strRef>
              <c:f>DetailOfP50!$B$7:$E$7</c:f>
              <c:strCache>
                <c:ptCount val="4"/>
                <c:pt idx="0">
                  <c:v>Dow Jones</c:v>
                </c:pt>
                <c:pt idx="1">
                  <c:v>20%</c:v>
                </c:pt>
                <c:pt idx="2">
                  <c:v>NJ</c:v>
                </c:pt>
                <c:pt idx="3">
                  <c:v>4.1</c:v>
                </c:pt>
              </c:strCache>
            </c:strRef>
          </c:tx>
          <c:spPr>
            <a:ln w="19050" cap="rnd">
              <a:solidFill>
                <a:srgbClr val="00B0F0"/>
              </a:solidFill>
              <a:round/>
            </a:ln>
            <a:effectLst/>
          </c:spPr>
          <c:marker>
            <c:symbol val="none"/>
          </c:marker>
          <c:xVal>
            <c:numRef>
              <c:f>DetailOfP50!$W$5:$AJ$5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DetailOfP50!$W$7:$AJ$7</c:f>
              <c:numCache>
                <c:formatCode>0.00</c:formatCode>
                <c:ptCount val="14"/>
                <c:pt idx="0">
                  <c:v>0.90361177026642492</c:v>
                </c:pt>
                <c:pt idx="1">
                  <c:v>1.0137516646672524</c:v>
                </c:pt>
                <c:pt idx="2">
                  <c:v>0.99504108352724252</c:v>
                </c:pt>
                <c:pt idx="3">
                  <c:v>0.96016723535284088</c:v>
                </c:pt>
                <c:pt idx="4">
                  <c:v>0.99404615573411981</c:v>
                </c:pt>
                <c:pt idx="5">
                  <c:v>1.0364978619287759</c:v>
                </c:pt>
                <c:pt idx="6">
                  <c:v>0.92431962326275241</c:v>
                </c:pt>
                <c:pt idx="7">
                  <c:v>0.81505595206464754</c:v>
                </c:pt>
                <c:pt idx="8">
                  <c:v>0.98494458241982852</c:v>
                </c:pt>
                <c:pt idx="9">
                  <c:v>0.96400641245117979</c:v>
                </c:pt>
                <c:pt idx="10">
                  <c:v>0.96079755922308474</c:v>
                </c:pt>
                <c:pt idx="11">
                  <c:v>0.70746141612673208</c:v>
                </c:pt>
                <c:pt idx="12">
                  <c:v>0.86932143333747613</c:v>
                </c:pt>
                <c:pt idx="13">
                  <c:v>0</c:v>
                </c:pt>
              </c:numCache>
            </c:numRef>
          </c:yVal>
          <c:smooth val="0"/>
          <c:extLst>
            <c:ext xmlns:c16="http://schemas.microsoft.com/office/drawing/2014/chart" uri="{C3380CC4-5D6E-409C-BE32-E72D297353CC}">
              <c16:uniqueId val="{00000001-AA65-40EF-959D-C5BBBED704DA}"/>
            </c:ext>
          </c:extLst>
        </c:ser>
        <c:ser>
          <c:idx val="5"/>
          <c:order val="3"/>
          <c:tx>
            <c:strRef>
              <c:f>DetailOfP50!$A$7</c:f>
              <c:strCache>
                <c:ptCount val="1"/>
                <c:pt idx="0">
                  <c:v>49</c:v>
                </c:pt>
              </c:strCache>
            </c:strRef>
          </c:tx>
          <c:spPr>
            <a:ln w="19050" cap="rnd">
              <a:solidFill>
                <a:srgbClr val="00B0F0"/>
              </a:solidFill>
              <a:prstDash val="dash"/>
              <a:round/>
            </a:ln>
            <a:effectLst/>
          </c:spPr>
          <c:marker>
            <c:symbol val="none"/>
          </c:marker>
          <c:errBars>
            <c:errDir val="y"/>
            <c:errBarType val="both"/>
            <c:errValType val="cust"/>
            <c:noEndCap val="0"/>
            <c:plus>
              <c:numRef>
                <c:f>DetailOfP50!$H$7</c:f>
                <c:numCache>
                  <c:formatCode>General</c:formatCode>
                  <c:ptCount val="1"/>
                  <c:pt idx="0">
                    <c:v>2.8000000000000001E-2</c:v>
                  </c:pt>
                </c:numCache>
              </c:numRef>
            </c:plus>
            <c:minus>
              <c:numRef>
                <c:f>DetailOfP50!$H$7</c:f>
                <c:numCache>
                  <c:formatCode>General</c:formatCode>
                  <c:ptCount val="1"/>
                  <c:pt idx="0">
                    <c:v>2.8000000000000001E-2</c:v>
                  </c:pt>
                </c:numCache>
              </c:numRef>
            </c:minus>
            <c:spPr>
              <a:noFill/>
              <a:ln w="19050" cap="sq" cmpd="sng" algn="ctr">
                <a:solidFill>
                  <a:srgbClr val="00B0F0"/>
                </a:solidFill>
                <a:round/>
              </a:ln>
              <a:effectLst/>
            </c:spPr>
          </c:errBars>
          <c:xVal>
            <c:numRef>
              <c:f>DetailOfP50!$AO$5:$BB$5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DetailOfP50!$AO$7:$BB$7</c:f>
              <c:numCache>
                <c:formatCode>0.00</c:formatCode>
                <c:ptCount val="14"/>
                <c:pt idx="0">
                  <c:v>0.96392423220717549</c:v>
                </c:pt>
                <c:pt idx="1">
                  <c:v>0.96773212598285074</c:v>
                </c:pt>
                <c:pt idx="2">
                  <c:v>0.971540019758526</c:v>
                </c:pt>
                <c:pt idx="3">
                  <c:v>0.97534791353420125</c:v>
                </c:pt>
                <c:pt idx="4">
                  <c:v>0.97915580730987639</c:v>
                </c:pt>
                <c:pt idx="5">
                  <c:v>0.98296370108555164</c:v>
                </c:pt>
                <c:pt idx="6">
                  <c:v>1.0290584900397719</c:v>
                </c:pt>
                <c:pt idx="7">
                  <c:v>0.98760052440185853</c:v>
                </c:pt>
                <c:pt idx="8">
                  <c:v>0.90385566358540015</c:v>
                </c:pt>
                <c:pt idx="9">
                  <c:v>0.82011080276894166</c:v>
                </c:pt>
                <c:pt idx="10">
                  <c:v>0.73636594195248328</c:v>
                </c:pt>
                <c:pt idx="11">
                  <c:v>0.65262108113602491</c:v>
                </c:pt>
                <c:pt idx="12">
                  <c:v>0.56887622031956653</c:v>
                </c:pt>
                <c:pt idx="13">
                  <c:v>0.48513135950310793</c:v>
                </c:pt>
              </c:numCache>
            </c:numRef>
          </c:yVal>
          <c:smooth val="0"/>
          <c:extLst>
            <c:ext xmlns:c16="http://schemas.microsoft.com/office/drawing/2014/chart" uri="{C3380CC4-5D6E-409C-BE32-E72D297353CC}">
              <c16:uniqueId val="{00000002-0ACB-4B32-A82F-9A654A206A24}"/>
            </c:ext>
          </c:extLst>
        </c:ser>
        <c:ser>
          <c:idx val="4"/>
          <c:order val="4"/>
          <c:tx>
            <c:strRef>
              <c:f>DetailOfP50!$B$8:$E$8</c:f>
              <c:strCache>
                <c:ptCount val="4"/>
                <c:pt idx="0">
                  <c:v>Westside Solar Station</c:v>
                </c:pt>
                <c:pt idx="1">
                  <c:v>5%</c:v>
                </c:pt>
                <c:pt idx="2">
                  <c:v>CA</c:v>
                </c:pt>
                <c:pt idx="3">
                  <c:v>18.5</c:v>
                </c:pt>
              </c:strCache>
            </c:strRef>
          </c:tx>
          <c:spPr>
            <a:ln w="19050" cap="rnd">
              <a:solidFill>
                <a:srgbClr val="00B050"/>
              </a:solidFill>
              <a:round/>
            </a:ln>
            <a:effectLst/>
          </c:spPr>
          <c:marker>
            <c:symbol val="none"/>
          </c:marker>
          <c:xVal>
            <c:numRef>
              <c:f>DetailOfP50!$W$5:$AJ$5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DetailOfP50!$W$8:$AJ$8</c:f>
              <c:numCache>
                <c:formatCode>0.00</c:formatCode>
                <c:ptCount val="14"/>
                <c:pt idx="0">
                  <c:v>1.0604998318300161</c:v>
                </c:pt>
                <c:pt idx="1">
                  <c:v>1.0770808785450856</c:v>
                </c:pt>
                <c:pt idx="2">
                  <c:v>1.0645855453067783</c:v>
                </c:pt>
                <c:pt idx="3">
                  <c:v>0.95698243138919081</c:v>
                </c:pt>
                <c:pt idx="4">
                  <c:v>1.0254016640401151</c:v>
                </c:pt>
                <c:pt idx="5">
                  <c:v>0.85451990247625953</c:v>
                </c:pt>
                <c:pt idx="6">
                  <c:v>0.97131274939439194</c:v>
                </c:pt>
                <c:pt idx="7">
                  <c:v>0.94065928732757642</c:v>
                </c:pt>
                <c:pt idx="8">
                  <c:v>0.83349689046876507</c:v>
                </c:pt>
                <c:pt idx="9">
                  <c:v>0.71578834750937292</c:v>
                </c:pt>
                <c:pt idx="10">
                  <c:v>0.61095969109310422</c:v>
                </c:pt>
                <c:pt idx="11">
                  <c:v>0.64282495682344876</c:v>
                </c:pt>
                <c:pt idx="12">
                  <c:v>0.4836087258648053</c:v>
                </c:pt>
              </c:numCache>
            </c:numRef>
          </c:yVal>
          <c:smooth val="0"/>
          <c:extLst>
            <c:ext xmlns:c16="http://schemas.microsoft.com/office/drawing/2014/chart" uri="{C3380CC4-5D6E-409C-BE32-E72D297353CC}">
              <c16:uniqueId val="{00000002-AA65-40EF-959D-C5BBBED704DA}"/>
            </c:ext>
          </c:extLst>
        </c:ser>
        <c:ser>
          <c:idx val="7"/>
          <c:order val="5"/>
          <c:tx>
            <c:strRef>
              <c:f>DetailOfP50!$A$8</c:f>
              <c:strCache>
                <c:ptCount val="1"/>
                <c:pt idx="0">
                  <c:v>50</c:v>
                </c:pt>
              </c:strCache>
            </c:strRef>
          </c:tx>
          <c:spPr>
            <a:ln w="19050" cap="rnd">
              <a:solidFill>
                <a:srgbClr val="00B050"/>
              </a:solidFill>
              <a:prstDash val="dash"/>
              <a:round/>
            </a:ln>
            <a:effectLst/>
          </c:spPr>
          <c:marker>
            <c:symbol val="none"/>
          </c:marker>
          <c:errBars>
            <c:errDir val="y"/>
            <c:errBarType val="both"/>
            <c:errValType val="cust"/>
            <c:noEndCap val="0"/>
            <c:plus>
              <c:numRef>
                <c:f>DetailOfP50!$H$8</c:f>
                <c:numCache>
                  <c:formatCode>General</c:formatCode>
                  <c:ptCount val="1"/>
                  <c:pt idx="0">
                    <c:v>3.5999999999999997E-2</c:v>
                  </c:pt>
                </c:numCache>
              </c:numRef>
            </c:plus>
            <c:minus>
              <c:numRef>
                <c:f>DetailOfP50!$H$8</c:f>
                <c:numCache>
                  <c:formatCode>General</c:formatCode>
                  <c:ptCount val="1"/>
                  <c:pt idx="0">
                    <c:v>3.5999999999999997E-2</c:v>
                  </c:pt>
                </c:numCache>
              </c:numRef>
            </c:minus>
            <c:spPr>
              <a:noFill/>
              <a:ln w="19050" cap="sq" cmpd="sng" algn="ctr">
                <a:solidFill>
                  <a:srgbClr val="00B050"/>
                </a:solidFill>
                <a:round/>
              </a:ln>
              <a:effectLst/>
            </c:spPr>
          </c:errBars>
          <c:xVal>
            <c:numRef>
              <c:f>DetailOfP50!$AO$5:$BB$5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DetailOfP50!$AO$8:$BB$8</c:f>
              <c:numCache>
                <c:formatCode>0.00</c:formatCode>
                <c:ptCount val="14"/>
                <c:pt idx="0">
                  <c:v>1.0820404733593183</c:v>
                </c:pt>
                <c:pt idx="1">
                  <c:v>1.0551880776196332</c:v>
                </c:pt>
                <c:pt idx="2">
                  <c:v>1.0283356818799478</c:v>
                </c:pt>
                <c:pt idx="3">
                  <c:v>1.0014832861402625</c:v>
                </c:pt>
                <c:pt idx="4">
                  <c:v>0.97463089040057727</c:v>
                </c:pt>
                <c:pt idx="5">
                  <c:v>0.94777849466089203</c:v>
                </c:pt>
                <c:pt idx="6">
                  <c:v>0.95400869922567266</c:v>
                </c:pt>
                <c:pt idx="7">
                  <c:v>0.90561565913825748</c:v>
                </c:pt>
                <c:pt idx="8">
                  <c:v>0.82414001874637621</c:v>
                </c:pt>
                <c:pt idx="9">
                  <c:v>0.74266437835449484</c:v>
                </c:pt>
                <c:pt idx="10">
                  <c:v>0.66118873796261357</c:v>
                </c:pt>
                <c:pt idx="11">
                  <c:v>0.57971309757073231</c:v>
                </c:pt>
                <c:pt idx="12">
                  <c:v>0.49823745717885104</c:v>
                </c:pt>
              </c:numCache>
            </c:numRef>
          </c:yVal>
          <c:smooth val="0"/>
          <c:extLst>
            <c:ext xmlns:c16="http://schemas.microsoft.com/office/drawing/2014/chart" uri="{C3380CC4-5D6E-409C-BE32-E72D297353CC}">
              <c16:uniqueId val="{00000003-0ACB-4B32-A82F-9A654A206A24}"/>
            </c:ext>
          </c:extLst>
        </c:ser>
        <c:ser>
          <c:idx val="6"/>
          <c:order val="6"/>
          <c:tx>
            <c:strRef>
              <c:f>DetailOfP50!$B$9:$E$9</c:f>
              <c:strCache>
                <c:ptCount val="4"/>
                <c:pt idx="0">
                  <c:v>Sacramento Soleil</c:v>
                </c:pt>
                <c:pt idx="1">
                  <c:v>2%</c:v>
                </c:pt>
                <c:pt idx="2">
                  <c:v>CA</c:v>
                </c:pt>
                <c:pt idx="3">
                  <c:v>1.2</c:v>
                </c:pt>
              </c:strCache>
            </c:strRef>
          </c:tx>
          <c:spPr>
            <a:ln w="19050" cap="rnd">
              <a:solidFill>
                <a:schemeClr val="accent2"/>
              </a:solidFill>
              <a:round/>
            </a:ln>
            <a:effectLst/>
          </c:spPr>
          <c:marker>
            <c:symbol val="none"/>
          </c:marker>
          <c:xVal>
            <c:numRef>
              <c:f>DetailOfP50!$W$5:$AM$5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DetailOfP50!$W$9:$AM$9</c:f>
              <c:numCache>
                <c:formatCode>0.00</c:formatCode>
                <c:ptCount val="17"/>
                <c:pt idx="0">
                  <c:v>0.85876737435078587</c:v>
                </c:pt>
                <c:pt idx="1">
                  <c:v>0.89277365526789976</c:v>
                </c:pt>
                <c:pt idx="2">
                  <c:v>0.91578137613345478</c:v>
                </c:pt>
                <c:pt idx="3">
                  <c:v>0.88367137474568025</c:v>
                </c:pt>
                <c:pt idx="4">
                  <c:v>0.92396899906073349</c:v>
                </c:pt>
                <c:pt idx="5">
                  <c:v>0.88369606548533497</c:v>
                </c:pt>
                <c:pt idx="6">
                  <c:v>0.90808308284307437</c:v>
                </c:pt>
                <c:pt idx="7">
                  <c:v>0.88785187697150159</c:v>
                </c:pt>
                <c:pt idx="8">
                  <c:v>0.90662863313672803</c:v>
                </c:pt>
                <c:pt idx="9">
                  <c:v>0.81900038739378245</c:v>
                </c:pt>
                <c:pt idx="10">
                  <c:v>0.77438236084221312</c:v>
                </c:pt>
                <c:pt idx="11">
                  <c:v>0.73198635691973701</c:v>
                </c:pt>
              </c:numCache>
            </c:numRef>
          </c:yVal>
          <c:smooth val="0"/>
          <c:extLst>
            <c:ext xmlns:c16="http://schemas.microsoft.com/office/drawing/2014/chart" uri="{C3380CC4-5D6E-409C-BE32-E72D297353CC}">
              <c16:uniqueId val="{00000003-AA65-40EF-959D-C5BBBED704DA}"/>
            </c:ext>
          </c:extLst>
        </c:ser>
        <c:ser>
          <c:idx val="8"/>
          <c:order val="7"/>
          <c:tx>
            <c:strRef>
              <c:f>DetailOfP50!$A$9</c:f>
              <c:strCache>
                <c:ptCount val="1"/>
                <c:pt idx="0">
                  <c:v>51</c:v>
                </c:pt>
              </c:strCache>
            </c:strRef>
          </c:tx>
          <c:spPr>
            <a:ln w="19050" cap="rnd">
              <a:solidFill>
                <a:schemeClr val="accent2"/>
              </a:solidFill>
              <a:prstDash val="dash"/>
              <a:round/>
            </a:ln>
            <a:effectLst/>
          </c:spPr>
          <c:marker>
            <c:symbol val="none"/>
          </c:marker>
          <c:errBars>
            <c:errDir val="y"/>
            <c:errBarType val="both"/>
            <c:errValType val="cust"/>
            <c:noEndCap val="0"/>
            <c:plus>
              <c:numRef>
                <c:f>DetailOfP50!$H$9</c:f>
                <c:numCache>
                  <c:formatCode>General</c:formatCode>
                  <c:ptCount val="1"/>
                  <c:pt idx="0">
                    <c:v>3.4000000000000002E-2</c:v>
                  </c:pt>
                </c:numCache>
              </c:numRef>
            </c:plus>
            <c:minus>
              <c:numRef>
                <c:f>DetailOfP50!$H$9</c:f>
                <c:numCache>
                  <c:formatCode>General</c:formatCode>
                  <c:ptCount val="1"/>
                  <c:pt idx="0">
                    <c:v>3.4000000000000002E-2</c:v>
                  </c:pt>
                </c:numCache>
              </c:numRef>
            </c:minus>
            <c:spPr>
              <a:noFill/>
              <a:ln w="19050" cap="sq" cmpd="sng" algn="ctr">
                <a:solidFill>
                  <a:schemeClr val="accent2"/>
                </a:solidFill>
                <a:round/>
              </a:ln>
              <a:effectLst/>
            </c:spPr>
          </c:errBars>
          <c:xVal>
            <c:numRef>
              <c:f>DetailOfP50!$AO$5:$BE$5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DetailOfP50!$AO$9:$BE$9</c:f>
              <c:numCache>
                <c:formatCode>0.00</c:formatCode>
                <c:ptCount val="17"/>
                <c:pt idx="0">
                  <c:v>0.88046532160824331</c:v>
                </c:pt>
                <c:pt idx="1">
                  <c:v>0.88539316335249385</c:v>
                </c:pt>
                <c:pt idx="2">
                  <c:v>0.89032100509674439</c:v>
                </c:pt>
                <c:pt idx="3">
                  <c:v>0.89524884684099482</c:v>
                </c:pt>
                <c:pt idx="4">
                  <c:v>0.90017668858524535</c:v>
                </c:pt>
                <c:pt idx="5">
                  <c:v>0.90510453032949589</c:v>
                </c:pt>
                <c:pt idx="6">
                  <c:v>0.92074344982248935</c:v>
                </c:pt>
                <c:pt idx="7">
                  <c:v>0.89406822974987521</c:v>
                </c:pt>
                <c:pt idx="8">
                  <c:v>0.85668193192851805</c:v>
                </c:pt>
                <c:pt idx="9">
                  <c:v>0.819295634107161</c:v>
                </c:pt>
                <c:pt idx="10">
                  <c:v>0.78190933628580384</c:v>
                </c:pt>
                <c:pt idx="11">
                  <c:v>0.74452303846444678</c:v>
                </c:pt>
              </c:numCache>
            </c:numRef>
          </c:yVal>
          <c:smooth val="0"/>
          <c:extLst>
            <c:ext xmlns:c16="http://schemas.microsoft.com/office/drawing/2014/chart" uri="{C3380CC4-5D6E-409C-BE32-E72D297353CC}">
              <c16:uniqueId val="{00000004-0ACB-4B32-A82F-9A654A206A24}"/>
            </c:ext>
          </c:extLst>
        </c:ser>
        <c:ser>
          <c:idx val="1"/>
          <c:order val="8"/>
          <c:tx>
            <c:strRef>
              <c:f>DetailOfP50!$B$10:$E$10</c:f>
              <c:strCache>
                <c:ptCount val="4"/>
                <c:pt idx="0">
                  <c:v>NEDC Solar Site</c:v>
                </c:pt>
                <c:pt idx="1">
                  <c:v>5%</c:v>
                </c:pt>
                <c:pt idx="2">
                  <c:v>MA</c:v>
                </c:pt>
                <c:pt idx="3">
                  <c:v>1.0</c:v>
                </c:pt>
              </c:strCache>
            </c:strRef>
          </c:tx>
          <c:spPr>
            <a:ln w="19050" cap="rnd">
              <a:solidFill>
                <a:srgbClr val="FF0000"/>
              </a:solidFill>
              <a:round/>
            </a:ln>
            <a:effectLst/>
          </c:spPr>
          <c:marker>
            <c:symbol val="none"/>
          </c:marker>
          <c:xVal>
            <c:numRef>
              <c:f>DetailOfP50!$W$5:$AI$5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DetailOfP50!$W$10:$AI$10</c:f>
              <c:numCache>
                <c:formatCode>0.00</c:formatCode>
                <c:ptCount val="13"/>
                <c:pt idx="0">
                  <c:v>0.82752964866121748</c:v>
                </c:pt>
                <c:pt idx="1">
                  <c:v>0.86964210904614658</c:v>
                </c:pt>
                <c:pt idx="2">
                  <c:v>0.8209412221979776</c:v>
                </c:pt>
                <c:pt idx="3">
                  <c:v>0.86423638132003733</c:v>
                </c:pt>
                <c:pt idx="4">
                  <c:v>0.86355374669001572</c:v>
                </c:pt>
                <c:pt idx="5">
                  <c:v>0.92850263207315653</c:v>
                </c:pt>
                <c:pt idx="6">
                  <c:v>0.83164515900254943</c:v>
                </c:pt>
                <c:pt idx="7">
                  <c:v>0.84517734966647495</c:v>
                </c:pt>
                <c:pt idx="8">
                  <c:v>0.87420647372557336</c:v>
                </c:pt>
                <c:pt idx="9">
                  <c:v>0.9395775379888468</c:v>
                </c:pt>
                <c:pt idx="10">
                  <c:v>0.86229866007446543</c:v>
                </c:pt>
                <c:pt idx="11">
                  <c:v>0.95858674693013057</c:v>
                </c:pt>
                <c:pt idx="12">
                  <c:v>0.7654918609378607</c:v>
                </c:pt>
              </c:numCache>
            </c:numRef>
          </c:yVal>
          <c:smooth val="0"/>
          <c:extLst>
            <c:ext xmlns:c16="http://schemas.microsoft.com/office/drawing/2014/chart" uri="{C3380CC4-5D6E-409C-BE32-E72D297353CC}">
              <c16:uniqueId val="{00000004-AA65-40EF-959D-C5BBBED704DA}"/>
            </c:ext>
          </c:extLst>
        </c:ser>
        <c:ser>
          <c:idx val="9"/>
          <c:order val="9"/>
          <c:tx>
            <c:strRef>
              <c:f>DetailOfP50!$A$10</c:f>
              <c:strCache>
                <c:ptCount val="1"/>
                <c:pt idx="0">
                  <c:v>52</c:v>
                </c:pt>
              </c:strCache>
            </c:strRef>
          </c:tx>
          <c:spPr>
            <a:ln w="19050" cap="rnd">
              <a:solidFill>
                <a:srgbClr val="FF0000"/>
              </a:solidFill>
              <a:prstDash val="dash"/>
              <a:round/>
            </a:ln>
            <a:effectLst/>
          </c:spPr>
          <c:marker>
            <c:symbol val="none"/>
          </c:marker>
          <c:errBars>
            <c:errDir val="y"/>
            <c:errBarType val="both"/>
            <c:errValType val="cust"/>
            <c:noEndCap val="0"/>
            <c:plus>
              <c:numRef>
                <c:f>DetailOfP50!$H$10</c:f>
                <c:numCache>
                  <c:formatCode>General</c:formatCode>
                  <c:ptCount val="1"/>
                  <c:pt idx="0">
                    <c:v>2.8000000000000001E-2</c:v>
                  </c:pt>
                </c:numCache>
              </c:numRef>
            </c:plus>
            <c:minus>
              <c:numRef>
                <c:f>DetailOfP50!$H$10</c:f>
                <c:numCache>
                  <c:formatCode>General</c:formatCode>
                  <c:ptCount val="1"/>
                  <c:pt idx="0">
                    <c:v>2.8000000000000001E-2</c:v>
                  </c:pt>
                </c:numCache>
              </c:numRef>
            </c:minus>
            <c:spPr>
              <a:noFill/>
              <a:ln w="19050" cap="sq" cmpd="sng" algn="ctr">
                <a:solidFill>
                  <a:srgbClr val="FF0000"/>
                </a:solidFill>
                <a:round/>
              </a:ln>
              <a:effectLst/>
            </c:spPr>
          </c:errBars>
          <c:xVal>
            <c:numRef>
              <c:f>DetailOfP50!$AO$5:$BA$5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DetailOfP50!$AO$10:$BA$10</c:f>
              <c:numCache>
                <c:formatCode>0.00</c:formatCode>
                <c:ptCount val="13"/>
                <c:pt idx="0">
                  <c:v>0.83950583183050864</c:v>
                </c:pt>
                <c:pt idx="1">
                  <c:v>0.84567297831515342</c:v>
                </c:pt>
                <c:pt idx="2">
                  <c:v>0.8518401247997982</c:v>
                </c:pt>
                <c:pt idx="3">
                  <c:v>0.85800727128444298</c:v>
                </c:pt>
                <c:pt idx="4">
                  <c:v>0.86417441776908777</c:v>
                </c:pt>
                <c:pt idx="5">
                  <c:v>0.87034156425373255</c:v>
                </c:pt>
                <c:pt idx="6">
                  <c:v>0.87249764456984591</c:v>
                </c:pt>
                <c:pt idx="7">
                  <c:v>0.86801979039032628</c:v>
                </c:pt>
                <c:pt idx="8">
                  <c:v>0.86755300237933808</c:v>
                </c:pt>
                <c:pt idx="9">
                  <c:v>0.86708621436834998</c:v>
                </c:pt>
                <c:pt idx="10">
                  <c:v>0.86661942635736178</c:v>
                </c:pt>
                <c:pt idx="11">
                  <c:v>0.86615263834637368</c:v>
                </c:pt>
                <c:pt idx="12">
                  <c:v>0.86568585033538548</c:v>
                </c:pt>
              </c:numCache>
            </c:numRef>
          </c:yVal>
          <c:smooth val="0"/>
          <c:extLst>
            <c:ext xmlns:c16="http://schemas.microsoft.com/office/drawing/2014/chart" uri="{C3380CC4-5D6E-409C-BE32-E72D297353CC}">
              <c16:uniqueId val="{00000005-0ACB-4B32-A82F-9A654A206A24}"/>
            </c:ext>
          </c:extLst>
        </c:ser>
        <c:dLbls>
          <c:showLegendKey val="0"/>
          <c:showVal val="0"/>
          <c:showCatName val="0"/>
          <c:showSerName val="0"/>
          <c:showPercent val="0"/>
          <c:showBubbleSize val="0"/>
        </c:dLbls>
        <c:axId val="1109670256"/>
        <c:axId val="1109674576"/>
      </c:scatterChart>
      <c:valAx>
        <c:axId val="1109670256"/>
        <c:scaling>
          <c:orientation val="minMax"/>
          <c:max val="17"/>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legend>
      <c:legendPos val="r"/>
      <c:legendEntry>
        <c:idx val="1"/>
        <c:delete val="1"/>
      </c:legendEntry>
      <c:legendEntry>
        <c:idx val="3"/>
        <c:delete val="1"/>
      </c:legendEntry>
      <c:legendEntry>
        <c:idx val="5"/>
        <c:delete val="1"/>
      </c:legendEntry>
      <c:legendEntry>
        <c:idx val="7"/>
        <c:delete val="1"/>
      </c:legendEntry>
      <c:legendEntry>
        <c:idx val="9"/>
        <c:delete val="1"/>
      </c:legendEntry>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Five Median-Ranked U.S. Systems </a:t>
            </a:r>
            <a:r>
              <a:rPr lang="en-US" sz="1600" b="1" i="0" u="none" strike="noStrike" kern="1200" spc="0" baseline="0">
                <a:solidFill>
                  <a:sysClr val="windowText" lastClr="000000">
                    <a:lumMod val="65000"/>
                    <a:lumOff val="35000"/>
                  </a:sysClr>
                </a:solidFill>
              </a:rPr>
              <a:t>(#48-#52 of 100)</a:t>
            </a:r>
            <a:r>
              <a:rPr lang="en-US"/>
              <a:t>: PI Histories w/normal weather range</a:t>
            </a:r>
            <a:endParaRPr lang="en-US" baseline="0"/>
          </a:p>
          <a:p>
            <a:pPr>
              <a:defRPr/>
            </a:pPr>
            <a:r>
              <a:rPr lang="en-US" baseline="0"/>
              <a:t>Two dashed best-fit lines are used to define the 1st-7 and post-7 periods for each system</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DetailOfP50!$B$6:$D$6</c:f>
              <c:strCache>
                <c:ptCount val="3"/>
                <c:pt idx="0">
                  <c:v>Wild Horse</c:v>
                </c:pt>
                <c:pt idx="1">
                  <c:v>18%</c:v>
                </c:pt>
                <c:pt idx="2">
                  <c:v>WA</c:v>
                </c:pt>
              </c:strCache>
            </c:strRef>
          </c:tx>
          <c:spPr>
            <a:ln w="19050" cap="rnd">
              <a:solidFill>
                <a:srgbClr val="7030A0"/>
              </a:solidFill>
              <a:round/>
            </a:ln>
            <a:effectLst/>
          </c:spPr>
          <c:marker>
            <c:symbol val="none"/>
          </c:marker>
          <c:xVal>
            <c:numRef>
              <c:f>DetailOfP50!$W$5:$AK$5</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DetailOfP50!$W$6:$AK$6</c:f>
              <c:numCache>
                <c:formatCode>0.00</c:formatCode>
                <c:ptCount val="15"/>
                <c:pt idx="0">
                  <c:v>1.1499999999999999</c:v>
                </c:pt>
                <c:pt idx="1">
                  <c:v>1.1066117886697027</c:v>
                </c:pt>
                <c:pt idx="2">
                  <c:v>1.067349572758393</c:v>
                </c:pt>
                <c:pt idx="3">
                  <c:v>1.0262570576516028</c:v>
                </c:pt>
                <c:pt idx="4">
                  <c:v>1.1177190141996209</c:v>
                </c:pt>
                <c:pt idx="5">
                  <c:v>1.0337532260328532</c:v>
                </c:pt>
                <c:pt idx="6">
                  <c:v>0.68739198291568215</c:v>
                </c:pt>
                <c:pt idx="7">
                  <c:v>0.7009001089916379</c:v>
                </c:pt>
                <c:pt idx="8">
                  <c:v>0.56151689265538174</c:v>
                </c:pt>
                <c:pt idx="9">
                  <c:v>0.13782047719900598</c:v>
                </c:pt>
                <c:pt idx="10">
                  <c:v>0.70568750028372274</c:v>
                </c:pt>
                <c:pt idx="11">
                  <c:v>0.81473950362919945</c:v>
                </c:pt>
                <c:pt idx="12">
                  <c:v>0.93812418895159255</c:v>
                </c:pt>
                <c:pt idx="13">
                  <c:v>0.98576194921508731</c:v>
                </c:pt>
                <c:pt idx="14">
                  <c:v>1.0055911353605851</c:v>
                </c:pt>
              </c:numCache>
            </c:numRef>
          </c:yVal>
          <c:smooth val="0"/>
          <c:extLst>
            <c:ext xmlns:c16="http://schemas.microsoft.com/office/drawing/2014/chart" uri="{C3380CC4-5D6E-409C-BE32-E72D297353CC}">
              <c16:uniqueId val="{00000000-CD0B-4513-92A6-D7E406C474A7}"/>
            </c:ext>
          </c:extLst>
        </c:ser>
        <c:ser>
          <c:idx val="3"/>
          <c:order val="1"/>
          <c:tx>
            <c:strRef>
              <c:f>DetailOfP50!$H$6</c:f>
              <c:strCache>
                <c:ptCount val="1"/>
                <c:pt idx="0">
                  <c:v>2.3%</c:v>
                </c:pt>
              </c:strCache>
            </c:strRef>
          </c:tx>
          <c:spPr>
            <a:ln w="19050" cap="rnd">
              <a:solidFill>
                <a:srgbClr val="7030A0"/>
              </a:solidFill>
              <a:prstDash val="dash"/>
              <a:round/>
            </a:ln>
            <a:effectLst/>
          </c:spPr>
          <c:marker>
            <c:symbol val="none"/>
          </c:marker>
          <c:errBars>
            <c:errDir val="y"/>
            <c:errBarType val="both"/>
            <c:errValType val="cust"/>
            <c:noEndCap val="0"/>
            <c:plus>
              <c:numRef>
                <c:f>DetailOfP50!$H$6</c:f>
                <c:numCache>
                  <c:formatCode>General</c:formatCode>
                  <c:ptCount val="1"/>
                  <c:pt idx="0">
                    <c:v>2.3E-2</c:v>
                  </c:pt>
                </c:numCache>
              </c:numRef>
            </c:plus>
            <c:minus>
              <c:numRef>
                <c:f>DetailOfP50!$H$6</c:f>
                <c:numCache>
                  <c:formatCode>General</c:formatCode>
                  <c:ptCount val="1"/>
                  <c:pt idx="0">
                    <c:v>2.3E-2</c:v>
                  </c:pt>
                </c:numCache>
              </c:numRef>
            </c:minus>
            <c:spPr>
              <a:noFill/>
              <a:ln w="19050" cap="sq" cmpd="sng" algn="ctr">
                <a:solidFill>
                  <a:srgbClr val="7030A0"/>
                </a:solidFill>
                <a:round/>
              </a:ln>
              <a:effectLst/>
            </c:spPr>
          </c:errBars>
          <c:xVal>
            <c:numRef>
              <c:f>DetailOfP50!$AO$5:$BC$5</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DetailOfP50!$AO$6:$BC$6</c:f>
              <c:numCache>
                <c:formatCode>0.00</c:formatCode>
                <c:ptCount val="15"/>
                <c:pt idx="0">
                  <c:v>1.1859230633631319</c:v>
                </c:pt>
                <c:pt idx="1">
                  <c:v>1.1329526442529381</c:v>
                </c:pt>
                <c:pt idx="2">
                  <c:v>1.0799822251427444</c:v>
                </c:pt>
                <c:pt idx="3">
                  <c:v>1.0270118060325506</c:v>
                </c:pt>
                <c:pt idx="4">
                  <c:v>0.97404138692235698</c:v>
                </c:pt>
                <c:pt idx="5">
                  <c:v>0.92107096781216313</c:v>
                </c:pt>
                <c:pt idx="6">
                  <c:v>0.67866273487978201</c:v>
                </c:pt>
                <c:pt idx="7">
                  <c:v>0.5485168502154707</c:v>
                </c:pt>
                <c:pt idx="8">
                  <c:v>0.60780877937334687</c:v>
                </c:pt>
                <c:pt idx="9">
                  <c:v>0.66710070853122316</c:v>
                </c:pt>
                <c:pt idx="10">
                  <c:v>0.72639263768909934</c:v>
                </c:pt>
                <c:pt idx="11">
                  <c:v>0.78568456684697563</c:v>
                </c:pt>
                <c:pt idx="12">
                  <c:v>0.84497649600485181</c:v>
                </c:pt>
                <c:pt idx="13">
                  <c:v>0.9042684251627281</c:v>
                </c:pt>
                <c:pt idx="14">
                  <c:v>0.96356035432060427</c:v>
                </c:pt>
              </c:numCache>
            </c:numRef>
          </c:yVal>
          <c:smooth val="0"/>
          <c:extLst>
            <c:ext xmlns:c16="http://schemas.microsoft.com/office/drawing/2014/chart" uri="{C3380CC4-5D6E-409C-BE32-E72D297353CC}">
              <c16:uniqueId val="{00000001-CD0B-4513-92A6-D7E406C474A7}"/>
            </c:ext>
          </c:extLst>
        </c:ser>
        <c:dLbls>
          <c:showLegendKey val="0"/>
          <c:showVal val="0"/>
          <c:showCatName val="0"/>
          <c:showSerName val="0"/>
          <c:showPercent val="0"/>
          <c:showBubbleSize val="0"/>
        </c:dLbls>
        <c:axId val="1109670256"/>
        <c:axId val="1109674576"/>
        <c:extLst>
          <c:ext xmlns:c15="http://schemas.microsoft.com/office/drawing/2012/chart" uri="{02D57815-91ED-43cb-92C2-25804820EDAC}">
            <c15:filteredScatterSeries>
              <c15:ser>
                <c:idx val="2"/>
                <c:order val="2"/>
                <c:tx>
                  <c:strRef>
                    <c:extLst>
                      <c:ext uri="{02D57815-91ED-43cb-92C2-25804820EDAC}">
                        <c15:formulaRef>
                          <c15:sqref>DetailOfP50!$B$7:$E$7</c15:sqref>
                        </c15:formulaRef>
                      </c:ext>
                    </c:extLst>
                    <c:strCache>
                      <c:ptCount val="4"/>
                      <c:pt idx="0">
                        <c:v>Dow Jones</c:v>
                      </c:pt>
                      <c:pt idx="1">
                        <c:v>20%</c:v>
                      </c:pt>
                      <c:pt idx="2">
                        <c:v>NJ</c:v>
                      </c:pt>
                      <c:pt idx="3">
                        <c:v>4.1</c:v>
                      </c:pt>
                    </c:strCache>
                  </c:strRef>
                </c:tx>
                <c:spPr>
                  <a:ln w="19050" cap="rnd">
                    <a:solidFill>
                      <a:srgbClr val="00B0F0"/>
                    </a:solidFill>
                    <a:round/>
                  </a:ln>
                  <a:effectLst/>
                </c:spPr>
                <c:marker>
                  <c:symbol val="none"/>
                </c:marker>
                <c:xVal>
                  <c:numRef>
                    <c:extLst>
                      <c:ex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c:ext uri="{02D57815-91ED-43cb-92C2-25804820EDAC}">
                        <c15:formulaRef>
                          <c15:sqref>DetailOfP50!$W$7:$AJ$7</c15:sqref>
                        </c15:formulaRef>
                      </c:ext>
                    </c:extLst>
                    <c:numCache>
                      <c:formatCode>0.00</c:formatCode>
                      <c:ptCount val="14"/>
                      <c:pt idx="0">
                        <c:v>0.90361177026642492</c:v>
                      </c:pt>
                      <c:pt idx="1">
                        <c:v>1.0137516646672524</c:v>
                      </c:pt>
                      <c:pt idx="2">
                        <c:v>0.99504108352724252</c:v>
                      </c:pt>
                      <c:pt idx="3">
                        <c:v>0.96016723535284088</c:v>
                      </c:pt>
                      <c:pt idx="4">
                        <c:v>0.99404615573411981</c:v>
                      </c:pt>
                      <c:pt idx="5">
                        <c:v>1.0364978619287759</c:v>
                      </c:pt>
                      <c:pt idx="6">
                        <c:v>0.92431962326275241</c:v>
                      </c:pt>
                      <c:pt idx="7">
                        <c:v>0.81505595206464754</c:v>
                      </c:pt>
                      <c:pt idx="8">
                        <c:v>0.98494458241982852</c:v>
                      </c:pt>
                      <c:pt idx="9">
                        <c:v>0.96400641245117979</c:v>
                      </c:pt>
                      <c:pt idx="10">
                        <c:v>0.96079755922308474</c:v>
                      </c:pt>
                      <c:pt idx="11">
                        <c:v>0.70746141612673208</c:v>
                      </c:pt>
                      <c:pt idx="12">
                        <c:v>0.86932143333747613</c:v>
                      </c:pt>
                      <c:pt idx="13">
                        <c:v>0</c:v>
                      </c:pt>
                    </c:numCache>
                  </c:numRef>
                </c:yVal>
                <c:smooth val="0"/>
                <c:extLst>
                  <c:ext xmlns:c16="http://schemas.microsoft.com/office/drawing/2014/chart" uri="{C3380CC4-5D6E-409C-BE32-E72D297353CC}">
                    <c16:uniqueId val="{00000002-CD0B-4513-92A6-D7E406C474A7}"/>
                  </c:ext>
                </c:extLst>
              </c15:ser>
            </c15:filteredScatterSeries>
            <c15:filteredScatterSeries>
              <c15:ser>
                <c:idx val="5"/>
                <c:order val="3"/>
                <c:tx>
                  <c:strRef>
                    <c:extLst xmlns:c15="http://schemas.microsoft.com/office/drawing/2012/chart">
                      <c:ext xmlns:c15="http://schemas.microsoft.com/office/drawing/2012/chart" uri="{02D57815-91ED-43cb-92C2-25804820EDAC}">
                        <c15:formulaRef>
                          <c15:sqref>DetailOfP50!$A$7</c15:sqref>
                        </c15:formulaRef>
                      </c:ext>
                    </c:extLst>
                    <c:strCache>
                      <c:ptCount val="1"/>
                      <c:pt idx="0">
                        <c:v>49</c:v>
                      </c:pt>
                    </c:strCache>
                  </c:strRef>
                </c:tx>
                <c:spPr>
                  <a:ln w="19050" cap="rnd">
                    <a:solidFill>
                      <a:srgbClr val="00B0F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2.8000000000000001E-2</c:v>
                        </c:pt>
                      </c:numCache>
                    </c:numRef>
                  </c:plus>
                  <c:min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2.8000000000000001E-2</c:v>
                        </c:pt>
                      </c:numCache>
                    </c:numRef>
                  </c:minus>
                  <c:spPr>
                    <a:noFill/>
                    <a:ln w="19050" cap="sq" cmpd="sng" algn="ctr">
                      <a:solidFill>
                        <a:srgbClr val="00B0F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DetailOfP50!$AO$7:$BB$7</c15:sqref>
                        </c15:formulaRef>
                      </c:ext>
                    </c:extLst>
                    <c:numCache>
                      <c:formatCode>0.00</c:formatCode>
                      <c:ptCount val="14"/>
                      <c:pt idx="0">
                        <c:v>0.96392423220717549</c:v>
                      </c:pt>
                      <c:pt idx="1">
                        <c:v>0.96773212598285074</c:v>
                      </c:pt>
                      <c:pt idx="2">
                        <c:v>0.971540019758526</c:v>
                      </c:pt>
                      <c:pt idx="3">
                        <c:v>0.97534791353420125</c:v>
                      </c:pt>
                      <c:pt idx="4">
                        <c:v>0.97915580730987639</c:v>
                      </c:pt>
                      <c:pt idx="5">
                        <c:v>0.98296370108555164</c:v>
                      </c:pt>
                      <c:pt idx="6">
                        <c:v>1.0290584900397719</c:v>
                      </c:pt>
                      <c:pt idx="7">
                        <c:v>0.98760052440185853</c:v>
                      </c:pt>
                      <c:pt idx="8">
                        <c:v>0.90385566358540015</c:v>
                      </c:pt>
                      <c:pt idx="9">
                        <c:v>0.82011080276894166</c:v>
                      </c:pt>
                      <c:pt idx="10">
                        <c:v>0.73636594195248328</c:v>
                      </c:pt>
                      <c:pt idx="11">
                        <c:v>0.65262108113602491</c:v>
                      </c:pt>
                      <c:pt idx="12">
                        <c:v>0.56887622031956653</c:v>
                      </c:pt>
                      <c:pt idx="13">
                        <c:v>0.48513135950310793</c:v>
                      </c:pt>
                    </c:numCache>
                  </c:numRef>
                </c:yVal>
                <c:smooth val="0"/>
                <c:extLst xmlns:c15="http://schemas.microsoft.com/office/drawing/2012/chart">
                  <c:ext xmlns:c16="http://schemas.microsoft.com/office/drawing/2014/chart" uri="{C3380CC4-5D6E-409C-BE32-E72D297353CC}">
                    <c16:uniqueId val="{00000003-CD0B-4513-92A6-D7E406C474A7}"/>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DetailOfP50!$B$8:$E$8</c15:sqref>
                        </c15:formulaRef>
                      </c:ext>
                    </c:extLst>
                    <c:strCache>
                      <c:ptCount val="4"/>
                      <c:pt idx="0">
                        <c:v>Westside Solar Station</c:v>
                      </c:pt>
                      <c:pt idx="1">
                        <c:v>5%</c:v>
                      </c:pt>
                      <c:pt idx="2">
                        <c:v>CA</c:v>
                      </c:pt>
                      <c:pt idx="3">
                        <c:v>18.5</c:v>
                      </c:pt>
                    </c:strCache>
                  </c:strRef>
                </c:tx>
                <c:spPr>
                  <a:ln w="19050" cap="rnd">
                    <a:solidFill>
                      <a:srgbClr val="00B05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DetailOfP50!$W$8:$AJ$8</c15:sqref>
                        </c15:formulaRef>
                      </c:ext>
                    </c:extLst>
                    <c:numCache>
                      <c:formatCode>0.00</c:formatCode>
                      <c:ptCount val="14"/>
                      <c:pt idx="0">
                        <c:v>1.0604998318300161</c:v>
                      </c:pt>
                      <c:pt idx="1">
                        <c:v>1.0770808785450856</c:v>
                      </c:pt>
                      <c:pt idx="2">
                        <c:v>1.0645855453067783</c:v>
                      </c:pt>
                      <c:pt idx="3">
                        <c:v>0.95698243138919081</c:v>
                      </c:pt>
                      <c:pt idx="4">
                        <c:v>1.0254016640401151</c:v>
                      </c:pt>
                      <c:pt idx="5">
                        <c:v>0.85451990247625953</c:v>
                      </c:pt>
                      <c:pt idx="6">
                        <c:v>0.97131274939439194</c:v>
                      </c:pt>
                      <c:pt idx="7">
                        <c:v>0.94065928732757642</c:v>
                      </c:pt>
                      <c:pt idx="8">
                        <c:v>0.83349689046876507</c:v>
                      </c:pt>
                      <c:pt idx="9">
                        <c:v>0.71578834750937292</c:v>
                      </c:pt>
                      <c:pt idx="10">
                        <c:v>0.61095969109310422</c:v>
                      </c:pt>
                      <c:pt idx="11">
                        <c:v>0.64282495682344876</c:v>
                      </c:pt>
                      <c:pt idx="12">
                        <c:v>0.4836087258648053</c:v>
                      </c:pt>
                    </c:numCache>
                  </c:numRef>
                </c:yVal>
                <c:smooth val="0"/>
                <c:extLst xmlns:c15="http://schemas.microsoft.com/office/drawing/2012/chart">
                  <c:ext xmlns:c16="http://schemas.microsoft.com/office/drawing/2014/chart" uri="{C3380CC4-5D6E-409C-BE32-E72D297353CC}">
                    <c16:uniqueId val="{00000004-CD0B-4513-92A6-D7E406C474A7}"/>
                  </c:ext>
                </c:extLst>
              </c15:ser>
            </c15:filteredScatterSeries>
            <c15:filteredScatterSeries>
              <c15:ser>
                <c:idx val="7"/>
                <c:order val="5"/>
                <c:tx>
                  <c:strRef>
                    <c:extLst xmlns:c15="http://schemas.microsoft.com/office/drawing/2012/chart">
                      <c:ext xmlns:c15="http://schemas.microsoft.com/office/drawing/2012/chart" uri="{02D57815-91ED-43cb-92C2-25804820EDAC}">
                        <c15:formulaRef>
                          <c15:sqref>DetailOfP50!$A$8</c15:sqref>
                        </c15:formulaRef>
                      </c:ext>
                    </c:extLst>
                    <c:strCache>
                      <c:ptCount val="1"/>
                      <c:pt idx="0">
                        <c:v>50</c:v>
                      </c:pt>
                    </c:strCache>
                  </c:strRef>
                </c:tx>
                <c:spPr>
                  <a:ln w="19050" cap="rnd">
                    <a:solidFill>
                      <a:srgbClr val="00B05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minus>
                  <c:spPr>
                    <a:noFill/>
                    <a:ln w="19050" cap="sq" cmpd="sng" algn="ctr">
                      <a:solidFill>
                        <a:srgbClr val="00B05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DetailOfP50!$AO$8:$BB$8</c15:sqref>
                        </c15:formulaRef>
                      </c:ext>
                    </c:extLst>
                    <c:numCache>
                      <c:formatCode>0.00</c:formatCode>
                      <c:ptCount val="14"/>
                      <c:pt idx="0">
                        <c:v>1.0820404733593183</c:v>
                      </c:pt>
                      <c:pt idx="1">
                        <c:v>1.0551880776196332</c:v>
                      </c:pt>
                      <c:pt idx="2">
                        <c:v>1.0283356818799478</c:v>
                      </c:pt>
                      <c:pt idx="3">
                        <c:v>1.0014832861402625</c:v>
                      </c:pt>
                      <c:pt idx="4">
                        <c:v>0.97463089040057727</c:v>
                      </c:pt>
                      <c:pt idx="5">
                        <c:v>0.94777849466089203</c:v>
                      </c:pt>
                      <c:pt idx="6">
                        <c:v>0.95400869922567266</c:v>
                      </c:pt>
                      <c:pt idx="7">
                        <c:v>0.90561565913825748</c:v>
                      </c:pt>
                      <c:pt idx="8">
                        <c:v>0.82414001874637621</c:v>
                      </c:pt>
                      <c:pt idx="9">
                        <c:v>0.74266437835449484</c:v>
                      </c:pt>
                      <c:pt idx="10">
                        <c:v>0.66118873796261357</c:v>
                      </c:pt>
                      <c:pt idx="11">
                        <c:v>0.57971309757073231</c:v>
                      </c:pt>
                      <c:pt idx="12">
                        <c:v>0.49823745717885104</c:v>
                      </c:pt>
                    </c:numCache>
                  </c:numRef>
                </c:yVal>
                <c:smooth val="0"/>
                <c:extLst xmlns:c15="http://schemas.microsoft.com/office/drawing/2012/chart">
                  <c:ext xmlns:c16="http://schemas.microsoft.com/office/drawing/2014/chart" uri="{C3380CC4-5D6E-409C-BE32-E72D297353CC}">
                    <c16:uniqueId val="{00000005-CD0B-4513-92A6-D7E406C474A7}"/>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DetailOfP50!$B$9:$E$9</c15:sqref>
                        </c15:formulaRef>
                      </c:ext>
                    </c:extLst>
                    <c:strCache>
                      <c:ptCount val="4"/>
                      <c:pt idx="0">
                        <c:v>Sacramento Soleil</c:v>
                      </c:pt>
                      <c:pt idx="1">
                        <c:v>2%</c:v>
                      </c:pt>
                      <c:pt idx="2">
                        <c:v>CA</c:v>
                      </c:pt>
                      <c:pt idx="3">
                        <c:v>1.2</c:v>
                      </c:pt>
                    </c:strCache>
                  </c:strRef>
                </c:tx>
                <c:spPr>
                  <a:ln w="19050" cap="rnd">
                    <a:solidFill>
                      <a:schemeClr val="accent2"/>
                    </a:solidFill>
                    <a:round/>
                  </a:ln>
                  <a:effectLst/>
                </c:spPr>
                <c:marker>
                  <c:symbol val="none"/>
                </c:marker>
                <c:xVal>
                  <c:numRef>
                    <c:extLst xmlns:c15="http://schemas.microsoft.com/office/drawing/2012/chart">
                      <c:ext xmlns:c15="http://schemas.microsoft.com/office/drawing/2012/chart" uri="{02D57815-91ED-43cb-92C2-25804820EDAC}">
                        <c15:formulaRef>
                          <c15:sqref>DetailOfP50!$W$5:$AM$5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DetailOfP50!$W$9:$AM$9</c15:sqref>
                        </c15:formulaRef>
                      </c:ext>
                    </c:extLst>
                    <c:numCache>
                      <c:formatCode>0.00</c:formatCode>
                      <c:ptCount val="17"/>
                      <c:pt idx="0">
                        <c:v>0.85876737435078587</c:v>
                      </c:pt>
                      <c:pt idx="1">
                        <c:v>0.89277365526789976</c:v>
                      </c:pt>
                      <c:pt idx="2">
                        <c:v>0.91578137613345478</c:v>
                      </c:pt>
                      <c:pt idx="3">
                        <c:v>0.88367137474568025</c:v>
                      </c:pt>
                      <c:pt idx="4">
                        <c:v>0.92396899906073349</c:v>
                      </c:pt>
                      <c:pt idx="5">
                        <c:v>0.88369606548533497</c:v>
                      </c:pt>
                      <c:pt idx="6">
                        <c:v>0.90808308284307437</c:v>
                      </c:pt>
                      <c:pt idx="7">
                        <c:v>0.88785187697150159</c:v>
                      </c:pt>
                      <c:pt idx="8">
                        <c:v>0.90662863313672803</c:v>
                      </c:pt>
                      <c:pt idx="9">
                        <c:v>0.81900038739378245</c:v>
                      </c:pt>
                      <c:pt idx="10">
                        <c:v>0.77438236084221312</c:v>
                      </c:pt>
                      <c:pt idx="11">
                        <c:v>0.73198635691973701</c:v>
                      </c:pt>
                    </c:numCache>
                  </c:numRef>
                </c:yVal>
                <c:smooth val="0"/>
                <c:extLst xmlns:c15="http://schemas.microsoft.com/office/drawing/2012/chart">
                  <c:ext xmlns:c16="http://schemas.microsoft.com/office/drawing/2014/chart" uri="{C3380CC4-5D6E-409C-BE32-E72D297353CC}">
                    <c16:uniqueId val="{00000006-CD0B-4513-92A6-D7E406C474A7}"/>
                  </c:ext>
                </c:extLst>
              </c15:ser>
            </c15:filteredScatterSeries>
            <c15:filteredScatterSeries>
              <c15:ser>
                <c:idx val="8"/>
                <c:order val="7"/>
                <c:tx>
                  <c:strRef>
                    <c:extLst xmlns:c15="http://schemas.microsoft.com/office/drawing/2012/chart">
                      <c:ext xmlns:c15="http://schemas.microsoft.com/office/drawing/2012/chart" uri="{02D57815-91ED-43cb-92C2-25804820EDAC}">
                        <c15:formulaRef>
                          <c15:sqref>DetailOfP50!$A$9</c15:sqref>
                        </c15:formulaRef>
                      </c:ext>
                    </c:extLst>
                    <c:strCache>
                      <c:ptCount val="1"/>
                      <c:pt idx="0">
                        <c:v>51</c:v>
                      </c:pt>
                    </c:strCache>
                  </c:strRef>
                </c:tx>
                <c:spPr>
                  <a:ln w="19050" cap="rnd">
                    <a:solidFill>
                      <a:schemeClr val="accent2"/>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3.4000000000000002E-2</c:v>
                        </c:pt>
                      </c:numCache>
                    </c:numRef>
                  </c:plus>
                  <c:min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3.4000000000000002E-2</c:v>
                        </c:pt>
                      </c:numCache>
                    </c:numRef>
                  </c:minus>
                  <c:spPr>
                    <a:noFill/>
                    <a:ln w="19050" cap="sq" cmpd="sng" algn="ctr">
                      <a:solidFill>
                        <a:schemeClr val="accent2"/>
                      </a:solidFill>
                      <a:round/>
                    </a:ln>
                    <a:effectLst/>
                  </c:spPr>
                </c:errBars>
                <c:xVal>
                  <c:numRef>
                    <c:extLst xmlns:c15="http://schemas.microsoft.com/office/drawing/2012/chart">
                      <c:ext xmlns:c15="http://schemas.microsoft.com/office/drawing/2012/chart" uri="{02D57815-91ED-43cb-92C2-25804820EDAC}">
                        <c15:formulaRef>
                          <c15:sqref>DetailOfP50!$AO$5:$BE$5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DetailOfP50!$AO$9:$BE$9</c15:sqref>
                        </c15:formulaRef>
                      </c:ext>
                    </c:extLst>
                    <c:numCache>
                      <c:formatCode>0.00</c:formatCode>
                      <c:ptCount val="17"/>
                      <c:pt idx="0">
                        <c:v>0.88046532160824331</c:v>
                      </c:pt>
                      <c:pt idx="1">
                        <c:v>0.88539316335249385</c:v>
                      </c:pt>
                      <c:pt idx="2">
                        <c:v>0.89032100509674439</c:v>
                      </c:pt>
                      <c:pt idx="3">
                        <c:v>0.89524884684099482</c:v>
                      </c:pt>
                      <c:pt idx="4">
                        <c:v>0.90017668858524535</c:v>
                      </c:pt>
                      <c:pt idx="5">
                        <c:v>0.90510453032949589</c:v>
                      </c:pt>
                      <c:pt idx="6">
                        <c:v>0.92074344982248935</c:v>
                      </c:pt>
                      <c:pt idx="7">
                        <c:v>0.89406822974987521</c:v>
                      </c:pt>
                      <c:pt idx="8">
                        <c:v>0.85668193192851805</c:v>
                      </c:pt>
                      <c:pt idx="9">
                        <c:v>0.819295634107161</c:v>
                      </c:pt>
                      <c:pt idx="10">
                        <c:v>0.78190933628580384</c:v>
                      </c:pt>
                      <c:pt idx="11">
                        <c:v>0.74452303846444678</c:v>
                      </c:pt>
                    </c:numCache>
                  </c:numRef>
                </c:yVal>
                <c:smooth val="0"/>
                <c:extLst xmlns:c15="http://schemas.microsoft.com/office/drawing/2012/chart">
                  <c:ext xmlns:c16="http://schemas.microsoft.com/office/drawing/2014/chart" uri="{C3380CC4-5D6E-409C-BE32-E72D297353CC}">
                    <c16:uniqueId val="{00000007-CD0B-4513-92A6-D7E406C474A7}"/>
                  </c:ext>
                </c:extLst>
              </c15:ser>
            </c15:filteredScatterSeries>
            <c15:filteredScatterSeries>
              <c15:ser>
                <c:idx val="1"/>
                <c:order val="8"/>
                <c:tx>
                  <c:strRef>
                    <c:extLst xmlns:c15="http://schemas.microsoft.com/office/drawing/2012/chart">
                      <c:ext xmlns:c15="http://schemas.microsoft.com/office/drawing/2012/chart" uri="{02D57815-91ED-43cb-92C2-25804820EDAC}">
                        <c15:formulaRef>
                          <c15:sqref>DetailOfP50!$B$10:$E$10</c15:sqref>
                        </c15:formulaRef>
                      </c:ext>
                    </c:extLst>
                    <c:strCache>
                      <c:ptCount val="4"/>
                      <c:pt idx="0">
                        <c:v>NEDC Solar Site</c:v>
                      </c:pt>
                      <c:pt idx="1">
                        <c:v>5%</c:v>
                      </c:pt>
                      <c:pt idx="2">
                        <c:v>MA</c:v>
                      </c:pt>
                      <c:pt idx="3">
                        <c:v>1.0</c:v>
                      </c:pt>
                    </c:strCache>
                  </c:strRef>
                </c:tx>
                <c:spPr>
                  <a:ln w="19050" cap="rnd">
                    <a:solidFill>
                      <a:srgbClr val="FF000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DetailOfP50!$W$5:$AI$5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DetailOfP50!$W$10:$AI$10</c15:sqref>
                        </c15:formulaRef>
                      </c:ext>
                    </c:extLst>
                    <c:numCache>
                      <c:formatCode>0.00</c:formatCode>
                      <c:ptCount val="13"/>
                      <c:pt idx="0">
                        <c:v>0.82752964866121748</c:v>
                      </c:pt>
                      <c:pt idx="1">
                        <c:v>0.86964210904614658</c:v>
                      </c:pt>
                      <c:pt idx="2">
                        <c:v>0.8209412221979776</c:v>
                      </c:pt>
                      <c:pt idx="3">
                        <c:v>0.86423638132003733</c:v>
                      </c:pt>
                      <c:pt idx="4">
                        <c:v>0.86355374669001572</c:v>
                      </c:pt>
                      <c:pt idx="5">
                        <c:v>0.92850263207315653</c:v>
                      </c:pt>
                      <c:pt idx="6">
                        <c:v>0.83164515900254943</c:v>
                      </c:pt>
                      <c:pt idx="7">
                        <c:v>0.84517734966647495</c:v>
                      </c:pt>
                      <c:pt idx="8">
                        <c:v>0.87420647372557336</c:v>
                      </c:pt>
                      <c:pt idx="9">
                        <c:v>0.9395775379888468</c:v>
                      </c:pt>
                      <c:pt idx="10">
                        <c:v>0.86229866007446543</c:v>
                      </c:pt>
                      <c:pt idx="11">
                        <c:v>0.95858674693013057</c:v>
                      </c:pt>
                      <c:pt idx="12">
                        <c:v>0.7654918609378607</c:v>
                      </c:pt>
                    </c:numCache>
                  </c:numRef>
                </c:yVal>
                <c:smooth val="0"/>
                <c:extLst xmlns:c15="http://schemas.microsoft.com/office/drawing/2012/chart">
                  <c:ext xmlns:c16="http://schemas.microsoft.com/office/drawing/2014/chart" uri="{C3380CC4-5D6E-409C-BE32-E72D297353CC}">
                    <c16:uniqueId val="{00000008-CD0B-4513-92A6-D7E406C474A7}"/>
                  </c:ext>
                </c:extLst>
              </c15:ser>
            </c15:filteredScatterSeries>
            <c15:filteredScatterSeries>
              <c15:ser>
                <c:idx val="9"/>
                <c:order val="9"/>
                <c:tx>
                  <c:strRef>
                    <c:extLst xmlns:c15="http://schemas.microsoft.com/office/drawing/2012/chart">
                      <c:ext xmlns:c15="http://schemas.microsoft.com/office/drawing/2012/chart" uri="{02D57815-91ED-43cb-92C2-25804820EDAC}">
                        <c15:formulaRef>
                          <c15:sqref>DetailOfP50!$A$10</c15:sqref>
                        </c15:formulaRef>
                      </c:ext>
                    </c:extLst>
                    <c:strCache>
                      <c:ptCount val="1"/>
                      <c:pt idx="0">
                        <c:v>52</c:v>
                      </c:pt>
                    </c:strCache>
                  </c:strRef>
                </c:tx>
                <c:spPr>
                  <a:ln w="19050" cap="rnd">
                    <a:solidFill>
                      <a:srgbClr val="FF000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2.8000000000000001E-2</c:v>
                        </c:pt>
                      </c:numCache>
                    </c:numRef>
                  </c:plus>
                  <c:min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2.8000000000000001E-2</c:v>
                        </c:pt>
                      </c:numCache>
                    </c:numRef>
                  </c:minus>
                  <c:spPr>
                    <a:noFill/>
                    <a:ln w="19050" cap="sq" cmpd="sng" algn="ctr">
                      <a:solidFill>
                        <a:srgbClr val="FF0000"/>
                      </a:solidFill>
                      <a:round/>
                    </a:ln>
                    <a:effectLst/>
                  </c:spPr>
                </c:errBars>
                <c:xVal>
                  <c:numRef>
                    <c:extLst xmlns:c15="http://schemas.microsoft.com/office/drawing/2012/chart">
                      <c:ext xmlns:c15="http://schemas.microsoft.com/office/drawing/2012/chart" uri="{02D57815-91ED-43cb-92C2-25804820EDAC}">
                        <c15:formulaRef>
                          <c15:sqref>DetailOfP50!$AO$5:$BA$5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DetailOfP50!$AO$10:$BA$10</c15:sqref>
                        </c15:formulaRef>
                      </c:ext>
                    </c:extLst>
                    <c:numCache>
                      <c:formatCode>0.00</c:formatCode>
                      <c:ptCount val="13"/>
                      <c:pt idx="0">
                        <c:v>0.83950583183050864</c:v>
                      </c:pt>
                      <c:pt idx="1">
                        <c:v>0.84567297831515342</c:v>
                      </c:pt>
                      <c:pt idx="2">
                        <c:v>0.8518401247997982</c:v>
                      </c:pt>
                      <c:pt idx="3">
                        <c:v>0.85800727128444298</c:v>
                      </c:pt>
                      <c:pt idx="4">
                        <c:v>0.86417441776908777</c:v>
                      </c:pt>
                      <c:pt idx="5">
                        <c:v>0.87034156425373255</c:v>
                      </c:pt>
                      <c:pt idx="6">
                        <c:v>0.87249764456984591</c:v>
                      </c:pt>
                      <c:pt idx="7">
                        <c:v>0.86801979039032628</c:v>
                      </c:pt>
                      <c:pt idx="8">
                        <c:v>0.86755300237933808</c:v>
                      </c:pt>
                      <c:pt idx="9">
                        <c:v>0.86708621436834998</c:v>
                      </c:pt>
                      <c:pt idx="10">
                        <c:v>0.86661942635736178</c:v>
                      </c:pt>
                      <c:pt idx="11">
                        <c:v>0.86615263834637368</c:v>
                      </c:pt>
                      <c:pt idx="12">
                        <c:v>0.86568585033538548</c:v>
                      </c:pt>
                    </c:numCache>
                  </c:numRef>
                </c:yVal>
                <c:smooth val="0"/>
                <c:extLst xmlns:c15="http://schemas.microsoft.com/office/drawing/2012/chart">
                  <c:ext xmlns:c16="http://schemas.microsoft.com/office/drawing/2014/chart" uri="{C3380CC4-5D6E-409C-BE32-E72D297353CC}">
                    <c16:uniqueId val="{00000009-CD0B-4513-92A6-D7E406C474A7}"/>
                  </c:ext>
                </c:extLst>
              </c15:ser>
            </c15:filteredScatterSeries>
          </c:ext>
        </c:extLst>
      </c:scatterChart>
      <c:valAx>
        <c:axId val="1109670256"/>
        <c:scaling>
          <c:orientation val="minMax"/>
          <c:max val="15"/>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Five Median-Ranked U.S. Systems </a:t>
            </a:r>
            <a:r>
              <a:rPr lang="en-US" sz="1600" b="1" i="0" u="none" strike="noStrike" kern="1200" spc="0" baseline="0">
                <a:solidFill>
                  <a:sysClr val="windowText" lastClr="000000">
                    <a:lumMod val="65000"/>
                    <a:lumOff val="35000"/>
                  </a:sysClr>
                </a:solidFill>
              </a:rPr>
              <a:t>(#48-#52 of 100)</a:t>
            </a:r>
            <a:r>
              <a:rPr lang="en-US"/>
              <a:t>: PI Histories w/normal weather range</a:t>
            </a:r>
            <a:endParaRPr lang="en-US" baseline="0"/>
          </a:p>
          <a:p>
            <a:pPr>
              <a:defRPr/>
            </a:pPr>
            <a:r>
              <a:rPr lang="en-US" baseline="0"/>
              <a:t>Two dashed best-fit lines are used to define the 1st-7 and post-7 periods for each system</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2"/>
          <c:tx>
            <c:strRef>
              <c:f>DetailOfP50!$B$7:$D$7</c:f>
              <c:strCache>
                <c:ptCount val="3"/>
                <c:pt idx="0">
                  <c:v>Dow Jones</c:v>
                </c:pt>
                <c:pt idx="1">
                  <c:v>20%</c:v>
                </c:pt>
                <c:pt idx="2">
                  <c:v>NJ</c:v>
                </c:pt>
              </c:strCache>
            </c:strRef>
          </c:tx>
          <c:spPr>
            <a:ln w="19050" cap="rnd">
              <a:solidFill>
                <a:srgbClr val="00B0F0"/>
              </a:solidFill>
              <a:round/>
            </a:ln>
            <a:effectLst/>
          </c:spPr>
          <c:marker>
            <c:symbol val="none"/>
          </c:marker>
          <c:xVal>
            <c:numRef>
              <c:f>DetailOfP50!$W$5:$AJ$5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DetailOfP50!$W$7:$AJ$7</c:f>
              <c:numCache>
                <c:formatCode>0.00</c:formatCode>
                <c:ptCount val="14"/>
                <c:pt idx="0">
                  <c:v>0.90361177026642492</c:v>
                </c:pt>
                <c:pt idx="1">
                  <c:v>1.0137516646672524</c:v>
                </c:pt>
                <c:pt idx="2">
                  <c:v>0.99504108352724252</c:v>
                </c:pt>
                <c:pt idx="3">
                  <c:v>0.96016723535284088</c:v>
                </c:pt>
                <c:pt idx="4">
                  <c:v>0.99404615573411981</c:v>
                </c:pt>
                <c:pt idx="5">
                  <c:v>1.0364978619287759</c:v>
                </c:pt>
                <c:pt idx="6">
                  <c:v>0.92431962326275241</c:v>
                </c:pt>
                <c:pt idx="7">
                  <c:v>0.81505595206464754</c:v>
                </c:pt>
                <c:pt idx="8">
                  <c:v>0.98494458241982852</c:v>
                </c:pt>
                <c:pt idx="9">
                  <c:v>0.96400641245117979</c:v>
                </c:pt>
                <c:pt idx="10">
                  <c:v>0.96079755922308474</c:v>
                </c:pt>
                <c:pt idx="11">
                  <c:v>0.70746141612673208</c:v>
                </c:pt>
                <c:pt idx="12">
                  <c:v>0.86932143333747613</c:v>
                </c:pt>
                <c:pt idx="13">
                  <c:v>0</c:v>
                </c:pt>
              </c:numCache>
            </c:numRef>
          </c:yVal>
          <c:smooth val="0"/>
          <c:extLst>
            <c:ext xmlns:c16="http://schemas.microsoft.com/office/drawing/2014/chart" uri="{C3380CC4-5D6E-409C-BE32-E72D297353CC}">
              <c16:uniqueId val="{00000002-2C7A-4A07-9945-7859F8945A6A}"/>
            </c:ext>
          </c:extLst>
        </c:ser>
        <c:ser>
          <c:idx val="5"/>
          <c:order val="3"/>
          <c:tx>
            <c:strRef>
              <c:f>DetailOfP50!$H$7</c:f>
              <c:strCache>
                <c:ptCount val="1"/>
                <c:pt idx="0">
                  <c:v>2.8%</c:v>
                </c:pt>
              </c:strCache>
            </c:strRef>
          </c:tx>
          <c:spPr>
            <a:ln w="19050" cap="rnd">
              <a:solidFill>
                <a:srgbClr val="00B0F0"/>
              </a:solidFill>
              <a:prstDash val="dash"/>
              <a:round/>
            </a:ln>
            <a:effectLst/>
          </c:spPr>
          <c:marker>
            <c:symbol val="none"/>
          </c:marker>
          <c:errBars>
            <c:errDir val="y"/>
            <c:errBarType val="both"/>
            <c:errValType val="cust"/>
            <c:noEndCap val="0"/>
            <c:plus>
              <c:numRef>
                <c:f>DetailOfP50!$H$7</c:f>
                <c:numCache>
                  <c:formatCode>General</c:formatCode>
                  <c:ptCount val="1"/>
                  <c:pt idx="0">
                    <c:v>2.8000000000000001E-2</c:v>
                  </c:pt>
                </c:numCache>
              </c:numRef>
            </c:plus>
            <c:minus>
              <c:numRef>
                <c:f>DetailOfP50!$H$7</c:f>
                <c:numCache>
                  <c:formatCode>General</c:formatCode>
                  <c:ptCount val="1"/>
                  <c:pt idx="0">
                    <c:v>2.8000000000000001E-2</c:v>
                  </c:pt>
                </c:numCache>
              </c:numRef>
            </c:minus>
            <c:spPr>
              <a:noFill/>
              <a:ln w="19050" cap="sq" cmpd="sng" algn="ctr">
                <a:solidFill>
                  <a:srgbClr val="00B0F0"/>
                </a:solidFill>
                <a:round/>
              </a:ln>
              <a:effectLst/>
            </c:spPr>
          </c:errBars>
          <c:xVal>
            <c:numRef>
              <c:f>DetailOfP50!$AO$5:$BB$5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DetailOfP50!$AO$7:$BB$7</c:f>
              <c:numCache>
                <c:formatCode>0.00</c:formatCode>
                <c:ptCount val="14"/>
                <c:pt idx="0">
                  <c:v>0.96392423220717549</c:v>
                </c:pt>
                <c:pt idx="1">
                  <c:v>0.96773212598285074</c:v>
                </c:pt>
                <c:pt idx="2">
                  <c:v>0.971540019758526</c:v>
                </c:pt>
                <c:pt idx="3">
                  <c:v>0.97534791353420125</c:v>
                </c:pt>
                <c:pt idx="4">
                  <c:v>0.97915580730987639</c:v>
                </c:pt>
                <c:pt idx="5">
                  <c:v>0.98296370108555164</c:v>
                </c:pt>
                <c:pt idx="6">
                  <c:v>1.0290584900397719</c:v>
                </c:pt>
                <c:pt idx="7">
                  <c:v>0.98760052440185853</c:v>
                </c:pt>
                <c:pt idx="8">
                  <c:v>0.90385566358540015</c:v>
                </c:pt>
                <c:pt idx="9">
                  <c:v>0.82011080276894166</c:v>
                </c:pt>
                <c:pt idx="10">
                  <c:v>0.73636594195248328</c:v>
                </c:pt>
                <c:pt idx="11">
                  <c:v>0.65262108113602491</c:v>
                </c:pt>
                <c:pt idx="12">
                  <c:v>0.56887622031956653</c:v>
                </c:pt>
                <c:pt idx="13">
                  <c:v>0.48513135950310793</c:v>
                </c:pt>
              </c:numCache>
            </c:numRef>
          </c:yVal>
          <c:smooth val="0"/>
          <c:extLst>
            <c:ext xmlns:c16="http://schemas.microsoft.com/office/drawing/2014/chart" uri="{C3380CC4-5D6E-409C-BE32-E72D297353CC}">
              <c16:uniqueId val="{00000003-2C7A-4A07-9945-7859F8945A6A}"/>
            </c:ext>
          </c:extLst>
        </c:ser>
        <c:dLbls>
          <c:showLegendKey val="0"/>
          <c:showVal val="0"/>
          <c:showCatName val="0"/>
          <c:showSerName val="0"/>
          <c:showPercent val="0"/>
          <c:showBubbleSize val="0"/>
        </c:dLbls>
        <c:axId val="1109670256"/>
        <c:axId val="1109674576"/>
        <c:extLst>
          <c:ext xmlns:c15="http://schemas.microsoft.com/office/drawing/2012/chart" uri="{02D57815-91ED-43cb-92C2-25804820EDAC}">
            <c15:filteredScatterSeries>
              <c15:ser>
                <c:idx val="0"/>
                <c:order val="0"/>
                <c:tx>
                  <c:strRef>
                    <c:extLst>
                      <c:ext uri="{02D57815-91ED-43cb-92C2-25804820EDAC}">
                        <c15:formulaRef>
                          <c15:sqref>DetailOfP50!$B$6:$E$6</c15:sqref>
                        </c15:formulaRef>
                      </c:ext>
                    </c:extLst>
                    <c:strCache>
                      <c:ptCount val="4"/>
                      <c:pt idx="0">
                        <c:v>Wild Horse</c:v>
                      </c:pt>
                      <c:pt idx="1">
                        <c:v>18%</c:v>
                      </c:pt>
                      <c:pt idx="2">
                        <c:v>WA</c:v>
                      </c:pt>
                      <c:pt idx="3">
                        <c:v>0.5</c:v>
                      </c:pt>
                    </c:strCache>
                  </c:strRef>
                </c:tx>
                <c:spPr>
                  <a:ln w="19050" cap="rnd">
                    <a:solidFill>
                      <a:srgbClr val="7030A0"/>
                    </a:solidFill>
                    <a:round/>
                  </a:ln>
                  <a:effectLst/>
                </c:spPr>
                <c:marker>
                  <c:symbol val="none"/>
                </c:marker>
                <c:xVal>
                  <c:numRef>
                    <c:extLst>
                      <c:ext uri="{02D57815-91ED-43cb-92C2-25804820EDAC}">
                        <c15:formulaRef>
                          <c15:sqref>DetailOfP50!$W$5:$AK$5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c:ext uri="{02D57815-91ED-43cb-92C2-25804820EDAC}">
                        <c15:formulaRef>
                          <c15:sqref>DetailOfP50!$W$6:$AK$6</c15:sqref>
                        </c15:formulaRef>
                      </c:ext>
                    </c:extLst>
                    <c:numCache>
                      <c:formatCode>0.00</c:formatCode>
                      <c:ptCount val="15"/>
                      <c:pt idx="0">
                        <c:v>1.1499999999999999</c:v>
                      </c:pt>
                      <c:pt idx="1">
                        <c:v>1.1066117886697027</c:v>
                      </c:pt>
                      <c:pt idx="2">
                        <c:v>1.067349572758393</c:v>
                      </c:pt>
                      <c:pt idx="3">
                        <c:v>1.0262570576516028</c:v>
                      </c:pt>
                      <c:pt idx="4">
                        <c:v>1.1177190141996209</c:v>
                      </c:pt>
                      <c:pt idx="5">
                        <c:v>1.0337532260328532</c:v>
                      </c:pt>
                      <c:pt idx="6">
                        <c:v>0.68739198291568215</c:v>
                      </c:pt>
                      <c:pt idx="7">
                        <c:v>0.7009001089916379</c:v>
                      </c:pt>
                      <c:pt idx="8">
                        <c:v>0.56151689265538174</c:v>
                      </c:pt>
                      <c:pt idx="9">
                        <c:v>0.13782047719900598</c:v>
                      </c:pt>
                      <c:pt idx="10">
                        <c:v>0.70568750028372274</c:v>
                      </c:pt>
                      <c:pt idx="11">
                        <c:v>0.81473950362919945</c:v>
                      </c:pt>
                      <c:pt idx="12">
                        <c:v>0.93812418895159255</c:v>
                      </c:pt>
                      <c:pt idx="13">
                        <c:v>0.98576194921508731</c:v>
                      </c:pt>
                      <c:pt idx="14">
                        <c:v>1.0055911353605851</c:v>
                      </c:pt>
                    </c:numCache>
                  </c:numRef>
                </c:yVal>
                <c:smooth val="0"/>
                <c:extLst>
                  <c:ext xmlns:c16="http://schemas.microsoft.com/office/drawing/2014/chart" uri="{C3380CC4-5D6E-409C-BE32-E72D297353CC}">
                    <c16:uniqueId val="{00000000-2C7A-4A07-9945-7859F8945A6A}"/>
                  </c:ext>
                </c:extLst>
              </c15:ser>
            </c15:filteredScatterSeries>
            <c15:filteredScatterSeries>
              <c15:ser>
                <c:idx val="3"/>
                <c:order val="1"/>
                <c:tx>
                  <c:strRef>
                    <c:extLst xmlns:c15="http://schemas.microsoft.com/office/drawing/2012/chart">
                      <c:ext xmlns:c15="http://schemas.microsoft.com/office/drawing/2012/chart" uri="{02D57815-91ED-43cb-92C2-25804820EDAC}">
                        <c15:formulaRef>
                          <c15:sqref>DetailOfP50!$A$6</c15:sqref>
                        </c15:formulaRef>
                      </c:ext>
                    </c:extLst>
                    <c:strCache>
                      <c:ptCount val="1"/>
                      <c:pt idx="0">
                        <c:v>48</c:v>
                      </c:pt>
                    </c:strCache>
                  </c:strRef>
                </c:tx>
                <c:spPr>
                  <a:ln w="19050" cap="rnd">
                    <a:solidFill>
                      <a:srgbClr val="7030A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2.3E-2</c:v>
                        </c:pt>
                      </c:numCache>
                    </c:numRef>
                  </c:plus>
                  <c:min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2.3E-2</c:v>
                        </c:pt>
                      </c:numCache>
                    </c:numRef>
                  </c:minus>
                  <c:spPr>
                    <a:noFill/>
                    <a:ln w="19050" cap="sq" cmpd="sng" algn="ctr">
                      <a:solidFill>
                        <a:srgbClr val="7030A0"/>
                      </a:solidFill>
                      <a:round/>
                    </a:ln>
                    <a:effectLst/>
                  </c:spPr>
                </c:errBars>
                <c:xVal>
                  <c:numRef>
                    <c:extLst xmlns:c15="http://schemas.microsoft.com/office/drawing/2012/chart">
                      <c:ext xmlns:c15="http://schemas.microsoft.com/office/drawing/2012/chart" uri="{02D57815-91ED-43cb-92C2-25804820EDAC}">
                        <c15:formulaRef>
                          <c15:sqref>DetailOfP50!$AO$5:$BC$5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xmlns:c15="http://schemas.microsoft.com/office/drawing/2012/chart">
                      <c:ext xmlns:c15="http://schemas.microsoft.com/office/drawing/2012/chart" uri="{02D57815-91ED-43cb-92C2-25804820EDAC}">
                        <c15:formulaRef>
                          <c15:sqref>DetailOfP50!$AO$6:$BC$6</c15:sqref>
                        </c15:formulaRef>
                      </c:ext>
                    </c:extLst>
                    <c:numCache>
                      <c:formatCode>0.00</c:formatCode>
                      <c:ptCount val="15"/>
                      <c:pt idx="0">
                        <c:v>1.1859230633631319</c:v>
                      </c:pt>
                      <c:pt idx="1">
                        <c:v>1.1329526442529381</c:v>
                      </c:pt>
                      <c:pt idx="2">
                        <c:v>1.0799822251427444</c:v>
                      </c:pt>
                      <c:pt idx="3">
                        <c:v>1.0270118060325506</c:v>
                      </c:pt>
                      <c:pt idx="4">
                        <c:v>0.97404138692235698</c:v>
                      </c:pt>
                      <c:pt idx="5">
                        <c:v>0.92107096781216313</c:v>
                      </c:pt>
                      <c:pt idx="6">
                        <c:v>0.67866273487978201</c:v>
                      </c:pt>
                      <c:pt idx="7">
                        <c:v>0.5485168502154707</c:v>
                      </c:pt>
                      <c:pt idx="8">
                        <c:v>0.60780877937334687</c:v>
                      </c:pt>
                      <c:pt idx="9">
                        <c:v>0.66710070853122316</c:v>
                      </c:pt>
                      <c:pt idx="10">
                        <c:v>0.72639263768909934</c:v>
                      </c:pt>
                      <c:pt idx="11">
                        <c:v>0.78568456684697563</c:v>
                      </c:pt>
                      <c:pt idx="12">
                        <c:v>0.84497649600485181</c:v>
                      </c:pt>
                      <c:pt idx="13">
                        <c:v>0.9042684251627281</c:v>
                      </c:pt>
                      <c:pt idx="14">
                        <c:v>0.96356035432060427</c:v>
                      </c:pt>
                    </c:numCache>
                  </c:numRef>
                </c:yVal>
                <c:smooth val="0"/>
                <c:extLst xmlns:c15="http://schemas.microsoft.com/office/drawing/2012/chart">
                  <c:ext xmlns:c16="http://schemas.microsoft.com/office/drawing/2014/chart" uri="{C3380CC4-5D6E-409C-BE32-E72D297353CC}">
                    <c16:uniqueId val="{00000001-2C7A-4A07-9945-7859F8945A6A}"/>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DetailOfP50!$B$8:$E$8</c15:sqref>
                        </c15:formulaRef>
                      </c:ext>
                    </c:extLst>
                    <c:strCache>
                      <c:ptCount val="4"/>
                      <c:pt idx="0">
                        <c:v>Westside Solar Station</c:v>
                      </c:pt>
                      <c:pt idx="1">
                        <c:v>5%</c:v>
                      </c:pt>
                      <c:pt idx="2">
                        <c:v>CA</c:v>
                      </c:pt>
                      <c:pt idx="3">
                        <c:v>18.5</c:v>
                      </c:pt>
                    </c:strCache>
                  </c:strRef>
                </c:tx>
                <c:spPr>
                  <a:ln w="19050" cap="rnd">
                    <a:solidFill>
                      <a:srgbClr val="00B05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DetailOfP50!$W$8:$AJ$8</c15:sqref>
                        </c15:formulaRef>
                      </c:ext>
                    </c:extLst>
                    <c:numCache>
                      <c:formatCode>0.00</c:formatCode>
                      <c:ptCount val="14"/>
                      <c:pt idx="0">
                        <c:v>1.0604998318300161</c:v>
                      </c:pt>
                      <c:pt idx="1">
                        <c:v>1.0770808785450856</c:v>
                      </c:pt>
                      <c:pt idx="2">
                        <c:v>1.0645855453067783</c:v>
                      </c:pt>
                      <c:pt idx="3">
                        <c:v>0.95698243138919081</c:v>
                      </c:pt>
                      <c:pt idx="4">
                        <c:v>1.0254016640401151</c:v>
                      </c:pt>
                      <c:pt idx="5">
                        <c:v>0.85451990247625953</c:v>
                      </c:pt>
                      <c:pt idx="6">
                        <c:v>0.97131274939439194</c:v>
                      </c:pt>
                      <c:pt idx="7">
                        <c:v>0.94065928732757642</c:v>
                      </c:pt>
                      <c:pt idx="8">
                        <c:v>0.83349689046876507</c:v>
                      </c:pt>
                      <c:pt idx="9">
                        <c:v>0.71578834750937292</c:v>
                      </c:pt>
                      <c:pt idx="10">
                        <c:v>0.61095969109310422</c:v>
                      </c:pt>
                      <c:pt idx="11">
                        <c:v>0.64282495682344876</c:v>
                      </c:pt>
                      <c:pt idx="12">
                        <c:v>0.4836087258648053</c:v>
                      </c:pt>
                    </c:numCache>
                  </c:numRef>
                </c:yVal>
                <c:smooth val="0"/>
                <c:extLst xmlns:c15="http://schemas.microsoft.com/office/drawing/2012/chart">
                  <c:ext xmlns:c16="http://schemas.microsoft.com/office/drawing/2014/chart" uri="{C3380CC4-5D6E-409C-BE32-E72D297353CC}">
                    <c16:uniqueId val="{00000004-2C7A-4A07-9945-7859F8945A6A}"/>
                  </c:ext>
                </c:extLst>
              </c15:ser>
            </c15:filteredScatterSeries>
            <c15:filteredScatterSeries>
              <c15:ser>
                <c:idx val="7"/>
                <c:order val="5"/>
                <c:tx>
                  <c:strRef>
                    <c:extLst xmlns:c15="http://schemas.microsoft.com/office/drawing/2012/chart">
                      <c:ext xmlns:c15="http://schemas.microsoft.com/office/drawing/2012/chart" uri="{02D57815-91ED-43cb-92C2-25804820EDAC}">
                        <c15:formulaRef>
                          <c15:sqref>DetailOfP50!$A$8</c15:sqref>
                        </c15:formulaRef>
                      </c:ext>
                    </c:extLst>
                    <c:strCache>
                      <c:ptCount val="1"/>
                      <c:pt idx="0">
                        <c:v>50</c:v>
                      </c:pt>
                    </c:strCache>
                  </c:strRef>
                </c:tx>
                <c:spPr>
                  <a:ln w="19050" cap="rnd">
                    <a:solidFill>
                      <a:srgbClr val="00B05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minus>
                  <c:spPr>
                    <a:noFill/>
                    <a:ln w="19050" cap="sq" cmpd="sng" algn="ctr">
                      <a:solidFill>
                        <a:srgbClr val="00B05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DetailOfP50!$AO$8:$BB$8</c15:sqref>
                        </c15:formulaRef>
                      </c:ext>
                    </c:extLst>
                    <c:numCache>
                      <c:formatCode>0.00</c:formatCode>
                      <c:ptCount val="14"/>
                      <c:pt idx="0">
                        <c:v>1.0820404733593183</c:v>
                      </c:pt>
                      <c:pt idx="1">
                        <c:v>1.0551880776196332</c:v>
                      </c:pt>
                      <c:pt idx="2">
                        <c:v>1.0283356818799478</c:v>
                      </c:pt>
                      <c:pt idx="3">
                        <c:v>1.0014832861402625</c:v>
                      </c:pt>
                      <c:pt idx="4">
                        <c:v>0.97463089040057727</c:v>
                      </c:pt>
                      <c:pt idx="5">
                        <c:v>0.94777849466089203</c:v>
                      </c:pt>
                      <c:pt idx="6">
                        <c:v>0.95400869922567266</c:v>
                      </c:pt>
                      <c:pt idx="7">
                        <c:v>0.90561565913825748</c:v>
                      </c:pt>
                      <c:pt idx="8">
                        <c:v>0.82414001874637621</c:v>
                      </c:pt>
                      <c:pt idx="9">
                        <c:v>0.74266437835449484</c:v>
                      </c:pt>
                      <c:pt idx="10">
                        <c:v>0.66118873796261357</c:v>
                      </c:pt>
                      <c:pt idx="11">
                        <c:v>0.57971309757073231</c:v>
                      </c:pt>
                      <c:pt idx="12">
                        <c:v>0.49823745717885104</c:v>
                      </c:pt>
                    </c:numCache>
                  </c:numRef>
                </c:yVal>
                <c:smooth val="0"/>
                <c:extLst xmlns:c15="http://schemas.microsoft.com/office/drawing/2012/chart">
                  <c:ext xmlns:c16="http://schemas.microsoft.com/office/drawing/2014/chart" uri="{C3380CC4-5D6E-409C-BE32-E72D297353CC}">
                    <c16:uniqueId val="{00000005-2C7A-4A07-9945-7859F8945A6A}"/>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DetailOfP50!$B$9:$E$9</c15:sqref>
                        </c15:formulaRef>
                      </c:ext>
                    </c:extLst>
                    <c:strCache>
                      <c:ptCount val="4"/>
                      <c:pt idx="0">
                        <c:v>Sacramento Soleil</c:v>
                      </c:pt>
                      <c:pt idx="1">
                        <c:v>2%</c:v>
                      </c:pt>
                      <c:pt idx="2">
                        <c:v>CA</c:v>
                      </c:pt>
                      <c:pt idx="3">
                        <c:v>1.2</c:v>
                      </c:pt>
                    </c:strCache>
                  </c:strRef>
                </c:tx>
                <c:spPr>
                  <a:ln w="19050" cap="rnd">
                    <a:solidFill>
                      <a:schemeClr val="accent2"/>
                    </a:solidFill>
                    <a:round/>
                  </a:ln>
                  <a:effectLst/>
                </c:spPr>
                <c:marker>
                  <c:symbol val="none"/>
                </c:marker>
                <c:xVal>
                  <c:numRef>
                    <c:extLst xmlns:c15="http://schemas.microsoft.com/office/drawing/2012/chart">
                      <c:ext xmlns:c15="http://schemas.microsoft.com/office/drawing/2012/chart" uri="{02D57815-91ED-43cb-92C2-25804820EDAC}">
                        <c15:formulaRef>
                          <c15:sqref>DetailOfP50!$W$5:$AM$5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DetailOfP50!$W$9:$AM$9</c15:sqref>
                        </c15:formulaRef>
                      </c:ext>
                    </c:extLst>
                    <c:numCache>
                      <c:formatCode>0.00</c:formatCode>
                      <c:ptCount val="17"/>
                      <c:pt idx="0">
                        <c:v>0.85876737435078587</c:v>
                      </c:pt>
                      <c:pt idx="1">
                        <c:v>0.89277365526789976</c:v>
                      </c:pt>
                      <c:pt idx="2">
                        <c:v>0.91578137613345478</c:v>
                      </c:pt>
                      <c:pt idx="3">
                        <c:v>0.88367137474568025</c:v>
                      </c:pt>
                      <c:pt idx="4">
                        <c:v>0.92396899906073349</c:v>
                      </c:pt>
                      <c:pt idx="5">
                        <c:v>0.88369606548533497</c:v>
                      </c:pt>
                      <c:pt idx="6">
                        <c:v>0.90808308284307437</c:v>
                      </c:pt>
                      <c:pt idx="7">
                        <c:v>0.88785187697150159</c:v>
                      </c:pt>
                      <c:pt idx="8">
                        <c:v>0.90662863313672803</c:v>
                      </c:pt>
                      <c:pt idx="9">
                        <c:v>0.81900038739378245</c:v>
                      </c:pt>
                      <c:pt idx="10">
                        <c:v>0.77438236084221312</c:v>
                      </c:pt>
                      <c:pt idx="11">
                        <c:v>0.73198635691973701</c:v>
                      </c:pt>
                    </c:numCache>
                  </c:numRef>
                </c:yVal>
                <c:smooth val="0"/>
                <c:extLst xmlns:c15="http://schemas.microsoft.com/office/drawing/2012/chart">
                  <c:ext xmlns:c16="http://schemas.microsoft.com/office/drawing/2014/chart" uri="{C3380CC4-5D6E-409C-BE32-E72D297353CC}">
                    <c16:uniqueId val="{00000006-2C7A-4A07-9945-7859F8945A6A}"/>
                  </c:ext>
                </c:extLst>
              </c15:ser>
            </c15:filteredScatterSeries>
            <c15:filteredScatterSeries>
              <c15:ser>
                <c:idx val="8"/>
                <c:order val="7"/>
                <c:tx>
                  <c:strRef>
                    <c:extLst xmlns:c15="http://schemas.microsoft.com/office/drawing/2012/chart">
                      <c:ext xmlns:c15="http://schemas.microsoft.com/office/drawing/2012/chart" uri="{02D57815-91ED-43cb-92C2-25804820EDAC}">
                        <c15:formulaRef>
                          <c15:sqref>DetailOfP50!$A$9</c15:sqref>
                        </c15:formulaRef>
                      </c:ext>
                    </c:extLst>
                    <c:strCache>
                      <c:ptCount val="1"/>
                      <c:pt idx="0">
                        <c:v>51</c:v>
                      </c:pt>
                    </c:strCache>
                  </c:strRef>
                </c:tx>
                <c:spPr>
                  <a:ln w="19050" cap="rnd">
                    <a:solidFill>
                      <a:schemeClr val="accent2"/>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3.4000000000000002E-2</c:v>
                        </c:pt>
                      </c:numCache>
                    </c:numRef>
                  </c:plus>
                  <c:min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3.4000000000000002E-2</c:v>
                        </c:pt>
                      </c:numCache>
                    </c:numRef>
                  </c:minus>
                  <c:spPr>
                    <a:noFill/>
                    <a:ln w="19050" cap="sq" cmpd="sng" algn="ctr">
                      <a:solidFill>
                        <a:schemeClr val="accent2"/>
                      </a:solidFill>
                      <a:round/>
                    </a:ln>
                    <a:effectLst/>
                  </c:spPr>
                </c:errBars>
                <c:xVal>
                  <c:numRef>
                    <c:extLst xmlns:c15="http://schemas.microsoft.com/office/drawing/2012/chart">
                      <c:ext xmlns:c15="http://schemas.microsoft.com/office/drawing/2012/chart" uri="{02D57815-91ED-43cb-92C2-25804820EDAC}">
                        <c15:formulaRef>
                          <c15:sqref>DetailOfP50!$AO$5:$BE$5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DetailOfP50!$AO$9:$BE$9</c15:sqref>
                        </c15:formulaRef>
                      </c:ext>
                    </c:extLst>
                    <c:numCache>
                      <c:formatCode>0.00</c:formatCode>
                      <c:ptCount val="17"/>
                      <c:pt idx="0">
                        <c:v>0.88046532160824331</c:v>
                      </c:pt>
                      <c:pt idx="1">
                        <c:v>0.88539316335249385</c:v>
                      </c:pt>
                      <c:pt idx="2">
                        <c:v>0.89032100509674439</c:v>
                      </c:pt>
                      <c:pt idx="3">
                        <c:v>0.89524884684099482</c:v>
                      </c:pt>
                      <c:pt idx="4">
                        <c:v>0.90017668858524535</c:v>
                      </c:pt>
                      <c:pt idx="5">
                        <c:v>0.90510453032949589</c:v>
                      </c:pt>
                      <c:pt idx="6">
                        <c:v>0.92074344982248935</c:v>
                      </c:pt>
                      <c:pt idx="7">
                        <c:v>0.89406822974987521</c:v>
                      </c:pt>
                      <c:pt idx="8">
                        <c:v>0.85668193192851805</c:v>
                      </c:pt>
                      <c:pt idx="9">
                        <c:v>0.819295634107161</c:v>
                      </c:pt>
                      <c:pt idx="10">
                        <c:v>0.78190933628580384</c:v>
                      </c:pt>
                      <c:pt idx="11">
                        <c:v>0.74452303846444678</c:v>
                      </c:pt>
                    </c:numCache>
                  </c:numRef>
                </c:yVal>
                <c:smooth val="0"/>
                <c:extLst xmlns:c15="http://schemas.microsoft.com/office/drawing/2012/chart">
                  <c:ext xmlns:c16="http://schemas.microsoft.com/office/drawing/2014/chart" uri="{C3380CC4-5D6E-409C-BE32-E72D297353CC}">
                    <c16:uniqueId val="{00000007-2C7A-4A07-9945-7859F8945A6A}"/>
                  </c:ext>
                </c:extLst>
              </c15:ser>
            </c15:filteredScatterSeries>
            <c15:filteredScatterSeries>
              <c15:ser>
                <c:idx val="1"/>
                <c:order val="8"/>
                <c:tx>
                  <c:strRef>
                    <c:extLst xmlns:c15="http://schemas.microsoft.com/office/drawing/2012/chart">
                      <c:ext xmlns:c15="http://schemas.microsoft.com/office/drawing/2012/chart" uri="{02D57815-91ED-43cb-92C2-25804820EDAC}">
                        <c15:formulaRef>
                          <c15:sqref>DetailOfP50!$B$10:$E$10</c15:sqref>
                        </c15:formulaRef>
                      </c:ext>
                    </c:extLst>
                    <c:strCache>
                      <c:ptCount val="4"/>
                      <c:pt idx="0">
                        <c:v>NEDC Solar Site</c:v>
                      </c:pt>
                      <c:pt idx="1">
                        <c:v>5%</c:v>
                      </c:pt>
                      <c:pt idx="2">
                        <c:v>MA</c:v>
                      </c:pt>
                      <c:pt idx="3">
                        <c:v>1.0</c:v>
                      </c:pt>
                    </c:strCache>
                  </c:strRef>
                </c:tx>
                <c:spPr>
                  <a:ln w="19050" cap="rnd">
                    <a:solidFill>
                      <a:srgbClr val="FF000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DetailOfP50!$W$5:$AI$5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DetailOfP50!$W$10:$AI$10</c15:sqref>
                        </c15:formulaRef>
                      </c:ext>
                    </c:extLst>
                    <c:numCache>
                      <c:formatCode>0.00</c:formatCode>
                      <c:ptCount val="13"/>
                      <c:pt idx="0">
                        <c:v>0.82752964866121748</c:v>
                      </c:pt>
                      <c:pt idx="1">
                        <c:v>0.86964210904614658</c:v>
                      </c:pt>
                      <c:pt idx="2">
                        <c:v>0.8209412221979776</c:v>
                      </c:pt>
                      <c:pt idx="3">
                        <c:v>0.86423638132003733</c:v>
                      </c:pt>
                      <c:pt idx="4">
                        <c:v>0.86355374669001572</c:v>
                      </c:pt>
                      <c:pt idx="5">
                        <c:v>0.92850263207315653</c:v>
                      </c:pt>
                      <c:pt idx="6">
                        <c:v>0.83164515900254943</c:v>
                      </c:pt>
                      <c:pt idx="7">
                        <c:v>0.84517734966647495</c:v>
                      </c:pt>
                      <c:pt idx="8">
                        <c:v>0.87420647372557336</c:v>
                      </c:pt>
                      <c:pt idx="9">
                        <c:v>0.9395775379888468</c:v>
                      </c:pt>
                      <c:pt idx="10">
                        <c:v>0.86229866007446543</c:v>
                      </c:pt>
                      <c:pt idx="11">
                        <c:v>0.95858674693013057</c:v>
                      </c:pt>
                      <c:pt idx="12">
                        <c:v>0.7654918609378607</c:v>
                      </c:pt>
                    </c:numCache>
                  </c:numRef>
                </c:yVal>
                <c:smooth val="0"/>
                <c:extLst xmlns:c15="http://schemas.microsoft.com/office/drawing/2012/chart">
                  <c:ext xmlns:c16="http://schemas.microsoft.com/office/drawing/2014/chart" uri="{C3380CC4-5D6E-409C-BE32-E72D297353CC}">
                    <c16:uniqueId val="{00000008-2C7A-4A07-9945-7859F8945A6A}"/>
                  </c:ext>
                </c:extLst>
              </c15:ser>
            </c15:filteredScatterSeries>
            <c15:filteredScatterSeries>
              <c15:ser>
                <c:idx val="9"/>
                <c:order val="9"/>
                <c:tx>
                  <c:strRef>
                    <c:extLst xmlns:c15="http://schemas.microsoft.com/office/drawing/2012/chart">
                      <c:ext xmlns:c15="http://schemas.microsoft.com/office/drawing/2012/chart" uri="{02D57815-91ED-43cb-92C2-25804820EDAC}">
                        <c15:formulaRef>
                          <c15:sqref>DetailOfP50!$A$10</c15:sqref>
                        </c15:formulaRef>
                      </c:ext>
                    </c:extLst>
                    <c:strCache>
                      <c:ptCount val="1"/>
                      <c:pt idx="0">
                        <c:v>52</c:v>
                      </c:pt>
                    </c:strCache>
                  </c:strRef>
                </c:tx>
                <c:spPr>
                  <a:ln w="19050" cap="rnd">
                    <a:solidFill>
                      <a:srgbClr val="FF000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2.8000000000000001E-2</c:v>
                        </c:pt>
                      </c:numCache>
                    </c:numRef>
                  </c:plus>
                  <c:min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2.8000000000000001E-2</c:v>
                        </c:pt>
                      </c:numCache>
                    </c:numRef>
                  </c:minus>
                  <c:spPr>
                    <a:noFill/>
                    <a:ln w="19050" cap="sq" cmpd="sng" algn="ctr">
                      <a:solidFill>
                        <a:srgbClr val="FF0000"/>
                      </a:solidFill>
                      <a:round/>
                    </a:ln>
                    <a:effectLst/>
                  </c:spPr>
                </c:errBars>
                <c:xVal>
                  <c:numRef>
                    <c:extLst xmlns:c15="http://schemas.microsoft.com/office/drawing/2012/chart">
                      <c:ext xmlns:c15="http://schemas.microsoft.com/office/drawing/2012/chart" uri="{02D57815-91ED-43cb-92C2-25804820EDAC}">
                        <c15:formulaRef>
                          <c15:sqref>DetailOfP50!$AO$5:$BA$5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DetailOfP50!$AO$10:$BA$10</c15:sqref>
                        </c15:formulaRef>
                      </c:ext>
                    </c:extLst>
                    <c:numCache>
                      <c:formatCode>0.00</c:formatCode>
                      <c:ptCount val="13"/>
                      <c:pt idx="0">
                        <c:v>0.83950583183050864</c:v>
                      </c:pt>
                      <c:pt idx="1">
                        <c:v>0.84567297831515342</c:v>
                      </c:pt>
                      <c:pt idx="2">
                        <c:v>0.8518401247997982</c:v>
                      </c:pt>
                      <c:pt idx="3">
                        <c:v>0.85800727128444298</c:v>
                      </c:pt>
                      <c:pt idx="4">
                        <c:v>0.86417441776908777</c:v>
                      </c:pt>
                      <c:pt idx="5">
                        <c:v>0.87034156425373255</c:v>
                      </c:pt>
                      <c:pt idx="6">
                        <c:v>0.87249764456984591</c:v>
                      </c:pt>
                      <c:pt idx="7">
                        <c:v>0.86801979039032628</c:v>
                      </c:pt>
                      <c:pt idx="8">
                        <c:v>0.86755300237933808</c:v>
                      </c:pt>
                      <c:pt idx="9">
                        <c:v>0.86708621436834998</c:v>
                      </c:pt>
                      <c:pt idx="10">
                        <c:v>0.86661942635736178</c:v>
                      </c:pt>
                      <c:pt idx="11">
                        <c:v>0.86615263834637368</c:v>
                      </c:pt>
                      <c:pt idx="12">
                        <c:v>0.86568585033538548</c:v>
                      </c:pt>
                    </c:numCache>
                  </c:numRef>
                </c:yVal>
                <c:smooth val="0"/>
                <c:extLst xmlns:c15="http://schemas.microsoft.com/office/drawing/2012/chart">
                  <c:ext xmlns:c16="http://schemas.microsoft.com/office/drawing/2014/chart" uri="{C3380CC4-5D6E-409C-BE32-E72D297353CC}">
                    <c16:uniqueId val="{00000009-2C7A-4A07-9945-7859F8945A6A}"/>
                  </c:ext>
                </c:extLst>
              </c15:ser>
            </c15:filteredScatterSeries>
          </c:ext>
        </c:extLst>
      </c:scatterChart>
      <c:valAx>
        <c:axId val="1109670256"/>
        <c:scaling>
          <c:orientation val="minMax"/>
          <c:max val="14"/>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Five Median-Ranked U.S. Systems </a:t>
            </a:r>
            <a:r>
              <a:rPr lang="en-US" sz="1600" b="1" i="0" u="none" strike="noStrike" kern="1200" spc="0" baseline="0">
                <a:solidFill>
                  <a:sysClr val="windowText" lastClr="000000">
                    <a:lumMod val="65000"/>
                    <a:lumOff val="35000"/>
                  </a:sysClr>
                </a:solidFill>
              </a:rPr>
              <a:t>(#48-#52 of 100)</a:t>
            </a:r>
            <a:r>
              <a:rPr lang="en-US"/>
              <a:t>: PI Histories w/normal weather range</a:t>
            </a:r>
            <a:endParaRPr lang="en-US" baseline="0"/>
          </a:p>
          <a:p>
            <a:pPr>
              <a:defRPr/>
            </a:pPr>
            <a:r>
              <a:rPr lang="en-US" baseline="0"/>
              <a:t>Two dashed best-fit lines are used to define the 1st-7 and post-7 periods for each system</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6"/>
          <c:order val="6"/>
          <c:tx>
            <c:strRef>
              <c:f>DetailOfP50!$B$9:$D$9</c:f>
              <c:strCache>
                <c:ptCount val="3"/>
                <c:pt idx="0">
                  <c:v>Sacramento Soleil</c:v>
                </c:pt>
                <c:pt idx="1">
                  <c:v>2%</c:v>
                </c:pt>
                <c:pt idx="2">
                  <c:v>CA</c:v>
                </c:pt>
              </c:strCache>
            </c:strRef>
          </c:tx>
          <c:spPr>
            <a:ln w="19050" cap="rnd">
              <a:solidFill>
                <a:schemeClr val="accent2"/>
              </a:solidFill>
              <a:round/>
            </a:ln>
            <a:effectLst/>
          </c:spPr>
          <c:marker>
            <c:symbol val="none"/>
          </c:marker>
          <c:xVal>
            <c:numRef>
              <c:f>DetailOfP50!$W$5:$AM$5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DetailOfP50!$W$9:$AM$9</c:f>
              <c:numCache>
                <c:formatCode>0.00</c:formatCode>
                <c:ptCount val="17"/>
                <c:pt idx="0">
                  <c:v>0.85876737435078587</c:v>
                </c:pt>
                <c:pt idx="1">
                  <c:v>0.89277365526789976</c:v>
                </c:pt>
                <c:pt idx="2">
                  <c:v>0.91578137613345478</c:v>
                </c:pt>
                <c:pt idx="3">
                  <c:v>0.88367137474568025</c:v>
                </c:pt>
                <c:pt idx="4">
                  <c:v>0.92396899906073349</c:v>
                </c:pt>
                <c:pt idx="5">
                  <c:v>0.88369606548533497</c:v>
                </c:pt>
                <c:pt idx="6">
                  <c:v>0.90808308284307437</c:v>
                </c:pt>
                <c:pt idx="7">
                  <c:v>0.88785187697150159</c:v>
                </c:pt>
                <c:pt idx="8">
                  <c:v>0.90662863313672803</c:v>
                </c:pt>
                <c:pt idx="9">
                  <c:v>0.81900038739378245</c:v>
                </c:pt>
                <c:pt idx="10">
                  <c:v>0.77438236084221312</c:v>
                </c:pt>
                <c:pt idx="11">
                  <c:v>0.73198635691973701</c:v>
                </c:pt>
              </c:numCache>
            </c:numRef>
          </c:yVal>
          <c:smooth val="0"/>
          <c:extLst>
            <c:ext xmlns:c16="http://schemas.microsoft.com/office/drawing/2014/chart" uri="{C3380CC4-5D6E-409C-BE32-E72D297353CC}">
              <c16:uniqueId val="{00000006-ED72-443B-AEDE-5240D42EF37D}"/>
            </c:ext>
          </c:extLst>
        </c:ser>
        <c:ser>
          <c:idx val="8"/>
          <c:order val="7"/>
          <c:tx>
            <c:strRef>
              <c:f>DetailOfP50!$H$9</c:f>
              <c:strCache>
                <c:ptCount val="1"/>
                <c:pt idx="0">
                  <c:v>3.4%</c:v>
                </c:pt>
              </c:strCache>
            </c:strRef>
          </c:tx>
          <c:spPr>
            <a:ln w="19050" cap="rnd">
              <a:solidFill>
                <a:schemeClr val="accent2"/>
              </a:solidFill>
              <a:prstDash val="dash"/>
              <a:round/>
            </a:ln>
            <a:effectLst/>
          </c:spPr>
          <c:marker>
            <c:symbol val="none"/>
          </c:marker>
          <c:errBars>
            <c:errDir val="y"/>
            <c:errBarType val="both"/>
            <c:errValType val="cust"/>
            <c:noEndCap val="0"/>
            <c:plus>
              <c:numRef>
                <c:f>DetailOfP50!$H$9</c:f>
                <c:numCache>
                  <c:formatCode>General</c:formatCode>
                  <c:ptCount val="1"/>
                  <c:pt idx="0">
                    <c:v>3.4000000000000002E-2</c:v>
                  </c:pt>
                </c:numCache>
              </c:numRef>
            </c:plus>
            <c:minus>
              <c:numRef>
                <c:f>DetailOfP50!$H$9</c:f>
                <c:numCache>
                  <c:formatCode>General</c:formatCode>
                  <c:ptCount val="1"/>
                  <c:pt idx="0">
                    <c:v>3.4000000000000002E-2</c:v>
                  </c:pt>
                </c:numCache>
              </c:numRef>
            </c:minus>
            <c:spPr>
              <a:noFill/>
              <a:ln w="19050" cap="sq" cmpd="sng" algn="ctr">
                <a:solidFill>
                  <a:schemeClr val="accent2"/>
                </a:solidFill>
                <a:round/>
              </a:ln>
              <a:effectLst/>
            </c:spPr>
          </c:errBars>
          <c:xVal>
            <c:numRef>
              <c:f>DetailOfP50!$AO$5:$BE$5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DetailOfP50!$AO$9:$BE$9</c:f>
              <c:numCache>
                <c:formatCode>0.00</c:formatCode>
                <c:ptCount val="17"/>
                <c:pt idx="0">
                  <c:v>0.88046532160824331</c:v>
                </c:pt>
                <c:pt idx="1">
                  <c:v>0.88539316335249385</c:v>
                </c:pt>
                <c:pt idx="2">
                  <c:v>0.89032100509674439</c:v>
                </c:pt>
                <c:pt idx="3">
                  <c:v>0.89524884684099482</c:v>
                </c:pt>
                <c:pt idx="4">
                  <c:v>0.90017668858524535</c:v>
                </c:pt>
                <c:pt idx="5">
                  <c:v>0.90510453032949589</c:v>
                </c:pt>
                <c:pt idx="6">
                  <c:v>0.92074344982248935</c:v>
                </c:pt>
                <c:pt idx="7">
                  <c:v>0.89406822974987521</c:v>
                </c:pt>
                <c:pt idx="8">
                  <c:v>0.85668193192851805</c:v>
                </c:pt>
                <c:pt idx="9">
                  <c:v>0.819295634107161</c:v>
                </c:pt>
                <c:pt idx="10">
                  <c:v>0.78190933628580384</c:v>
                </c:pt>
                <c:pt idx="11">
                  <c:v>0.74452303846444678</c:v>
                </c:pt>
              </c:numCache>
            </c:numRef>
          </c:yVal>
          <c:smooth val="0"/>
          <c:extLst>
            <c:ext xmlns:c16="http://schemas.microsoft.com/office/drawing/2014/chart" uri="{C3380CC4-5D6E-409C-BE32-E72D297353CC}">
              <c16:uniqueId val="{00000007-ED72-443B-AEDE-5240D42EF37D}"/>
            </c:ext>
          </c:extLst>
        </c:ser>
        <c:dLbls>
          <c:showLegendKey val="0"/>
          <c:showVal val="0"/>
          <c:showCatName val="0"/>
          <c:showSerName val="0"/>
          <c:showPercent val="0"/>
          <c:showBubbleSize val="0"/>
        </c:dLbls>
        <c:axId val="1109670256"/>
        <c:axId val="1109674576"/>
        <c:extLst>
          <c:ext xmlns:c15="http://schemas.microsoft.com/office/drawing/2012/chart" uri="{02D57815-91ED-43cb-92C2-25804820EDAC}">
            <c15:filteredScatterSeries>
              <c15:ser>
                <c:idx val="0"/>
                <c:order val="0"/>
                <c:tx>
                  <c:strRef>
                    <c:extLst>
                      <c:ext uri="{02D57815-91ED-43cb-92C2-25804820EDAC}">
                        <c15:formulaRef>
                          <c15:sqref>DetailOfP50!$B$6:$E$6</c15:sqref>
                        </c15:formulaRef>
                      </c:ext>
                    </c:extLst>
                    <c:strCache>
                      <c:ptCount val="4"/>
                      <c:pt idx="0">
                        <c:v>Wild Horse</c:v>
                      </c:pt>
                      <c:pt idx="1">
                        <c:v>18%</c:v>
                      </c:pt>
                      <c:pt idx="2">
                        <c:v>WA</c:v>
                      </c:pt>
                      <c:pt idx="3">
                        <c:v>0.5</c:v>
                      </c:pt>
                    </c:strCache>
                  </c:strRef>
                </c:tx>
                <c:spPr>
                  <a:ln w="19050" cap="rnd">
                    <a:solidFill>
                      <a:srgbClr val="7030A0"/>
                    </a:solidFill>
                    <a:round/>
                  </a:ln>
                  <a:effectLst/>
                </c:spPr>
                <c:marker>
                  <c:symbol val="none"/>
                </c:marker>
                <c:xVal>
                  <c:numRef>
                    <c:extLst>
                      <c:ext uri="{02D57815-91ED-43cb-92C2-25804820EDAC}">
                        <c15:formulaRef>
                          <c15:sqref>DetailOfP50!$W$5:$AK$5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c:ext uri="{02D57815-91ED-43cb-92C2-25804820EDAC}">
                        <c15:formulaRef>
                          <c15:sqref>DetailOfP50!$W$6:$AK$6</c15:sqref>
                        </c15:formulaRef>
                      </c:ext>
                    </c:extLst>
                    <c:numCache>
                      <c:formatCode>0.00</c:formatCode>
                      <c:ptCount val="15"/>
                      <c:pt idx="0">
                        <c:v>1.1499999999999999</c:v>
                      </c:pt>
                      <c:pt idx="1">
                        <c:v>1.1066117886697027</c:v>
                      </c:pt>
                      <c:pt idx="2">
                        <c:v>1.067349572758393</c:v>
                      </c:pt>
                      <c:pt idx="3">
                        <c:v>1.0262570576516028</c:v>
                      </c:pt>
                      <c:pt idx="4">
                        <c:v>1.1177190141996209</c:v>
                      </c:pt>
                      <c:pt idx="5">
                        <c:v>1.0337532260328532</c:v>
                      </c:pt>
                      <c:pt idx="6">
                        <c:v>0.68739198291568215</c:v>
                      </c:pt>
                      <c:pt idx="7">
                        <c:v>0.7009001089916379</c:v>
                      </c:pt>
                      <c:pt idx="8">
                        <c:v>0.56151689265538174</c:v>
                      </c:pt>
                      <c:pt idx="9">
                        <c:v>0.13782047719900598</c:v>
                      </c:pt>
                      <c:pt idx="10">
                        <c:v>0.70568750028372274</c:v>
                      </c:pt>
                      <c:pt idx="11">
                        <c:v>0.81473950362919945</c:v>
                      </c:pt>
                      <c:pt idx="12">
                        <c:v>0.93812418895159255</c:v>
                      </c:pt>
                      <c:pt idx="13">
                        <c:v>0.98576194921508731</c:v>
                      </c:pt>
                      <c:pt idx="14">
                        <c:v>1.0055911353605851</c:v>
                      </c:pt>
                    </c:numCache>
                  </c:numRef>
                </c:yVal>
                <c:smooth val="0"/>
                <c:extLst>
                  <c:ext xmlns:c16="http://schemas.microsoft.com/office/drawing/2014/chart" uri="{C3380CC4-5D6E-409C-BE32-E72D297353CC}">
                    <c16:uniqueId val="{00000000-ED72-443B-AEDE-5240D42EF37D}"/>
                  </c:ext>
                </c:extLst>
              </c15:ser>
            </c15:filteredScatterSeries>
            <c15:filteredScatterSeries>
              <c15:ser>
                <c:idx val="3"/>
                <c:order val="1"/>
                <c:tx>
                  <c:strRef>
                    <c:extLst xmlns:c15="http://schemas.microsoft.com/office/drawing/2012/chart">
                      <c:ext xmlns:c15="http://schemas.microsoft.com/office/drawing/2012/chart" uri="{02D57815-91ED-43cb-92C2-25804820EDAC}">
                        <c15:formulaRef>
                          <c15:sqref>DetailOfP50!$A$6</c15:sqref>
                        </c15:formulaRef>
                      </c:ext>
                    </c:extLst>
                    <c:strCache>
                      <c:ptCount val="1"/>
                      <c:pt idx="0">
                        <c:v>48</c:v>
                      </c:pt>
                    </c:strCache>
                  </c:strRef>
                </c:tx>
                <c:spPr>
                  <a:ln w="19050" cap="rnd">
                    <a:solidFill>
                      <a:srgbClr val="7030A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2.3E-2</c:v>
                        </c:pt>
                      </c:numCache>
                    </c:numRef>
                  </c:plus>
                  <c:min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2.3E-2</c:v>
                        </c:pt>
                      </c:numCache>
                    </c:numRef>
                  </c:minus>
                  <c:spPr>
                    <a:noFill/>
                    <a:ln w="19050" cap="sq" cmpd="sng" algn="ctr">
                      <a:solidFill>
                        <a:srgbClr val="7030A0"/>
                      </a:solidFill>
                      <a:round/>
                    </a:ln>
                    <a:effectLst/>
                  </c:spPr>
                </c:errBars>
                <c:xVal>
                  <c:numRef>
                    <c:extLst xmlns:c15="http://schemas.microsoft.com/office/drawing/2012/chart">
                      <c:ext xmlns:c15="http://schemas.microsoft.com/office/drawing/2012/chart" uri="{02D57815-91ED-43cb-92C2-25804820EDAC}">
                        <c15:formulaRef>
                          <c15:sqref>DetailOfP50!$AO$5:$BC$5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xmlns:c15="http://schemas.microsoft.com/office/drawing/2012/chart">
                      <c:ext xmlns:c15="http://schemas.microsoft.com/office/drawing/2012/chart" uri="{02D57815-91ED-43cb-92C2-25804820EDAC}">
                        <c15:formulaRef>
                          <c15:sqref>DetailOfP50!$AO$6:$BC$6</c15:sqref>
                        </c15:formulaRef>
                      </c:ext>
                    </c:extLst>
                    <c:numCache>
                      <c:formatCode>0.00</c:formatCode>
                      <c:ptCount val="15"/>
                      <c:pt idx="0">
                        <c:v>1.1859230633631319</c:v>
                      </c:pt>
                      <c:pt idx="1">
                        <c:v>1.1329526442529381</c:v>
                      </c:pt>
                      <c:pt idx="2">
                        <c:v>1.0799822251427444</c:v>
                      </c:pt>
                      <c:pt idx="3">
                        <c:v>1.0270118060325506</c:v>
                      </c:pt>
                      <c:pt idx="4">
                        <c:v>0.97404138692235698</c:v>
                      </c:pt>
                      <c:pt idx="5">
                        <c:v>0.92107096781216313</c:v>
                      </c:pt>
                      <c:pt idx="6">
                        <c:v>0.67866273487978201</c:v>
                      </c:pt>
                      <c:pt idx="7">
                        <c:v>0.5485168502154707</c:v>
                      </c:pt>
                      <c:pt idx="8">
                        <c:v>0.60780877937334687</c:v>
                      </c:pt>
                      <c:pt idx="9">
                        <c:v>0.66710070853122316</c:v>
                      </c:pt>
                      <c:pt idx="10">
                        <c:v>0.72639263768909934</c:v>
                      </c:pt>
                      <c:pt idx="11">
                        <c:v>0.78568456684697563</c:v>
                      </c:pt>
                      <c:pt idx="12">
                        <c:v>0.84497649600485181</c:v>
                      </c:pt>
                      <c:pt idx="13">
                        <c:v>0.9042684251627281</c:v>
                      </c:pt>
                      <c:pt idx="14">
                        <c:v>0.96356035432060427</c:v>
                      </c:pt>
                    </c:numCache>
                  </c:numRef>
                </c:yVal>
                <c:smooth val="0"/>
                <c:extLst xmlns:c15="http://schemas.microsoft.com/office/drawing/2012/chart">
                  <c:ext xmlns:c16="http://schemas.microsoft.com/office/drawing/2014/chart" uri="{C3380CC4-5D6E-409C-BE32-E72D297353CC}">
                    <c16:uniqueId val="{00000001-ED72-443B-AEDE-5240D42EF37D}"/>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DetailOfP50!$B$7:$E$7</c15:sqref>
                        </c15:formulaRef>
                      </c:ext>
                    </c:extLst>
                    <c:strCache>
                      <c:ptCount val="4"/>
                      <c:pt idx="0">
                        <c:v>Dow Jones</c:v>
                      </c:pt>
                      <c:pt idx="1">
                        <c:v>20%</c:v>
                      </c:pt>
                      <c:pt idx="2">
                        <c:v>NJ</c:v>
                      </c:pt>
                      <c:pt idx="3">
                        <c:v>4.1</c:v>
                      </c:pt>
                    </c:strCache>
                  </c:strRef>
                </c:tx>
                <c:spPr>
                  <a:ln w="19050" cap="rnd">
                    <a:solidFill>
                      <a:srgbClr val="00B0F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DetailOfP50!$W$7:$AJ$7</c15:sqref>
                        </c15:formulaRef>
                      </c:ext>
                    </c:extLst>
                    <c:numCache>
                      <c:formatCode>0.00</c:formatCode>
                      <c:ptCount val="14"/>
                      <c:pt idx="0">
                        <c:v>0.90361177026642492</c:v>
                      </c:pt>
                      <c:pt idx="1">
                        <c:v>1.0137516646672524</c:v>
                      </c:pt>
                      <c:pt idx="2">
                        <c:v>0.99504108352724252</c:v>
                      </c:pt>
                      <c:pt idx="3">
                        <c:v>0.96016723535284088</c:v>
                      </c:pt>
                      <c:pt idx="4">
                        <c:v>0.99404615573411981</c:v>
                      </c:pt>
                      <c:pt idx="5">
                        <c:v>1.0364978619287759</c:v>
                      </c:pt>
                      <c:pt idx="6">
                        <c:v>0.92431962326275241</c:v>
                      </c:pt>
                      <c:pt idx="7">
                        <c:v>0.81505595206464754</c:v>
                      </c:pt>
                      <c:pt idx="8">
                        <c:v>0.98494458241982852</c:v>
                      </c:pt>
                      <c:pt idx="9">
                        <c:v>0.96400641245117979</c:v>
                      </c:pt>
                      <c:pt idx="10">
                        <c:v>0.96079755922308474</c:v>
                      </c:pt>
                      <c:pt idx="11">
                        <c:v>0.70746141612673208</c:v>
                      </c:pt>
                      <c:pt idx="12">
                        <c:v>0.86932143333747613</c:v>
                      </c:pt>
                      <c:pt idx="13">
                        <c:v>0</c:v>
                      </c:pt>
                    </c:numCache>
                  </c:numRef>
                </c:yVal>
                <c:smooth val="0"/>
                <c:extLst xmlns:c15="http://schemas.microsoft.com/office/drawing/2012/chart">
                  <c:ext xmlns:c16="http://schemas.microsoft.com/office/drawing/2014/chart" uri="{C3380CC4-5D6E-409C-BE32-E72D297353CC}">
                    <c16:uniqueId val="{00000002-ED72-443B-AEDE-5240D42EF37D}"/>
                  </c:ext>
                </c:extLst>
              </c15:ser>
            </c15:filteredScatterSeries>
            <c15:filteredScatterSeries>
              <c15:ser>
                <c:idx val="5"/>
                <c:order val="3"/>
                <c:tx>
                  <c:strRef>
                    <c:extLst xmlns:c15="http://schemas.microsoft.com/office/drawing/2012/chart">
                      <c:ext xmlns:c15="http://schemas.microsoft.com/office/drawing/2012/chart" uri="{02D57815-91ED-43cb-92C2-25804820EDAC}">
                        <c15:formulaRef>
                          <c15:sqref>DetailOfP50!$A$7</c15:sqref>
                        </c15:formulaRef>
                      </c:ext>
                    </c:extLst>
                    <c:strCache>
                      <c:ptCount val="1"/>
                      <c:pt idx="0">
                        <c:v>49</c:v>
                      </c:pt>
                    </c:strCache>
                  </c:strRef>
                </c:tx>
                <c:spPr>
                  <a:ln w="19050" cap="rnd">
                    <a:solidFill>
                      <a:srgbClr val="00B0F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2.8000000000000001E-2</c:v>
                        </c:pt>
                      </c:numCache>
                    </c:numRef>
                  </c:plus>
                  <c:min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2.8000000000000001E-2</c:v>
                        </c:pt>
                      </c:numCache>
                    </c:numRef>
                  </c:minus>
                  <c:spPr>
                    <a:noFill/>
                    <a:ln w="19050" cap="sq" cmpd="sng" algn="ctr">
                      <a:solidFill>
                        <a:srgbClr val="00B0F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DetailOfP50!$AO$7:$BB$7</c15:sqref>
                        </c15:formulaRef>
                      </c:ext>
                    </c:extLst>
                    <c:numCache>
                      <c:formatCode>0.00</c:formatCode>
                      <c:ptCount val="14"/>
                      <c:pt idx="0">
                        <c:v>0.96392423220717549</c:v>
                      </c:pt>
                      <c:pt idx="1">
                        <c:v>0.96773212598285074</c:v>
                      </c:pt>
                      <c:pt idx="2">
                        <c:v>0.971540019758526</c:v>
                      </c:pt>
                      <c:pt idx="3">
                        <c:v>0.97534791353420125</c:v>
                      </c:pt>
                      <c:pt idx="4">
                        <c:v>0.97915580730987639</c:v>
                      </c:pt>
                      <c:pt idx="5">
                        <c:v>0.98296370108555164</c:v>
                      </c:pt>
                      <c:pt idx="6">
                        <c:v>1.0290584900397719</c:v>
                      </c:pt>
                      <c:pt idx="7">
                        <c:v>0.98760052440185853</c:v>
                      </c:pt>
                      <c:pt idx="8">
                        <c:v>0.90385566358540015</c:v>
                      </c:pt>
                      <c:pt idx="9">
                        <c:v>0.82011080276894166</c:v>
                      </c:pt>
                      <c:pt idx="10">
                        <c:v>0.73636594195248328</c:v>
                      </c:pt>
                      <c:pt idx="11">
                        <c:v>0.65262108113602491</c:v>
                      </c:pt>
                      <c:pt idx="12">
                        <c:v>0.56887622031956653</c:v>
                      </c:pt>
                      <c:pt idx="13">
                        <c:v>0.48513135950310793</c:v>
                      </c:pt>
                    </c:numCache>
                  </c:numRef>
                </c:yVal>
                <c:smooth val="0"/>
                <c:extLst xmlns:c15="http://schemas.microsoft.com/office/drawing/2012/chart">
                  <c:ext xmlns:c16="http://schemas.microsoft.com/office/drawing/2014/chart" uri="{C3380CC4-5D6E-409C-BE32-E72D297353CC}">
                    <c16:uniqueId val="{00000003-ED72-443B-AEDE-5240D42EF37D}"/>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DetailOfP50!$B$8:$E$8</c15:sqref>
                        </c15:formulaRef>
                      </c:ext>
                    </c:extLst>
                    <c:strCache>
                      <c:ptCount val="4"/>
                      <c:pt idx="0">
                        <c:v>Westside Solar Station</c:v>
                      </c:pt>
                      <c:pt idx="1">
                        <c:v>5%</c:v>
                      </c:pt>
                      <c:pt idx="2">
                        <c:v>CA</c:v>
                      </c:pt>
                      <c:pt idx="3">
                        <c:v>18.5</c:v>
                      </c:pt>
                    </c:strCache>
                  </c:strRef>
                </c:tx>
                <c:spPr>
                  <a:ln w="19050" cap="rnd">
                    <a:solidFill>
                      <a:srgbClr val="00B05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DetailOfP50!$W$8:$AJ$8</c15:sqref>
                        </c15:formulaRef>
                      </c:ext>
                    </c:extLst>
                    <c:numCache>
                      <c:formatCode>0.00</c:formatCode>
                      <c:ptCount val="14"/>
                      <c:pt idx="0">
                        <c:v>1.0604998318300161</c:v>
                      </c:pt>
                      <c:pt idx="1">
                        <c:v>1.0770808785450856</c:v>
                      </c:pt>
                      <c:pt idx="2">
                        <c:v>1.0645855453067783</c:v>
                      </c:pt>
                      <c:pt idx="3">
                        <c:v>0.95698243138919081</c:v>
                      </c:pt>
                      <c:pt idx="4">
                        <c:v>1.0254016640401151</c:v>
                      </c:pt>
                      <c:pt idx="5">
                        <c:v>0.85451990247625953</c:v>
                      </c:pt>
                      <c:pt idx="6">
                        <c:v>0.97131274939439194</c:v>
                      </c:pt>
                      <c:pt idx="7">
                        <c:v>0.94065928732757642</c:v>
                      </c:pt>
                      <c:pt idx="8">
                        <c:v>0.83349689046876507</c:v>
                      </c:pt>
                      <c:pt idx="9">
                        <c:v>0.71578834750937292</c:v>
                      </c:pt>
                      <c:pt idx="10">
                        <c:v>0.61095969109310422</c:v>
                      </c:pt>
                      <c:pt idx="11">
                        <c:v>0.64282495682344876</c:v>
                      </c:pt>
                      <c:pt idx="12">
                        <c:v>0.4836087258648053</c:v>
                      </c:pt>
                    </c:numCache>
                  </c:numRef>
                </c:yVal>
                <c:smooth val="0"/>
                <c:extLst xmlns:c15="http://schemas.microsoft.com/office/drawing/2012/chart">
                  <c:ext xmlns:c16="http://schemas.microsoft.com/office/drawing/2014/chart" uri="{C3380CC4-5D6E-409C-BE32-E72D297353CC}">
                    <c16:uniqueId val="{00000004-ED72-443B-AEDE-5240D42EF37D}"/>
                  </c:ext>
                </c:extLst>
              </c15:ser>
            </c15:filteredScatterSeries>
            <c15:filteredScatterSeries>
              <c15:ser>
                <c:idx val="7"/>
                <c:order val="5"/>
                <c:tx>
                  <c:strRef>
                    <c:extLst xmlns:c15="http://schemas.microsoft.com/office/drawing/2012/chart">
                      <c:ext xmlns:c15="http://schemas.microsoft.com/office/drawing/2012/chart" uri="{02D57815-91ED-43cb-92C2-25804820EDAC}">
                        <c15:formulaRef>
                          <c15:sqref>DetailOfP50!$A$8</c15:sqref>
                        </c15:formulaRef>
                      </c:ext>
                    </c:extLst>
                    <c:strCache>
                      <c:ptCount val="1"/>
                      <c:pt idx="0">
                        <c:v>50</c:v>
                      </c:pt>
                    </c:strCache>
                  </c:strRef>
                </c:tx>
                <c:spPr>
                  <a:ln w="19050" cap="rnd">
                    <a:solidFill>
                      <a:srgbClr val="00B05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minus>
                  <c:spPr>
                    <a:noFill/>
                    <a:ln w="19050" cap="sq" cmpd="sng" algn="ctr">
                      <a:solidFill>
                        <a:srgbClr val="00B05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DetailOfP50!$AO$8:$BB$8</c15:sqref>
                        </c15:formulaRef>
                      </c:ext>
                    </c:extLst>
                    <c:numCache>
                      <c:formatCode>0.00</c:formatCode>
                      <c:ptCount val="14"/>
                      <c:pt idx="0">
                        <c:v>1.0820404733593183</c:v>
                      </c:pt>
                      <c:pt idx="1">
                        <c:v>1.0551880776196332</c:v>
                      </c:pt>
                      <c:pt idx="2">
                        <c:v>1.0283356818799478</c:v>
                      </c:pt>
                      <c:pt idx="3">
                        <c:v>1.0014832861402625</c:v>
                      </c:pt>
                      <c:pt idx="4">
                        <c:v>0.97463089040057727</c:v>
                      </c:pt>
                      <c:pt idx="5">
                        <c:v>0.94777849466089203</c:v>
                      </c:pt>
                      <c:pt idx="6">
                        <c:v>0.95400869922567266</c:v>
                      </c:pt>
                      <c:pt idx="7">
                        <c:v>0.90561565913825748</c:v>
                      </c:pt>
                      <c:pt idx="8">
                        <c:v>0.82414001874637621</c:v>
                      </c:pt>
                      <c:pt idx="9">
                        <c:v>0.74266437835449484</c:v>
                      </c:pt>
                      <c:pt idx="10">
                        <c:v>0.66118873796261357</c:v>
                      </c:pt>
                      <c:pt idx="11">
                        <c:v>0.57971309757073231</c:v>
                      </c:pt>
                      <c:pt idx="12">
                        <c:v>0.49823745717885104</c:v>
                      </c:pt>
                    </c:numCache>
                  </c:numRef>
                </c:yVal>
                <c:smooth val="0"/>
                <c:extLst xmlns:c15="http://schemas.microsoft.com/office/drawing/2012/chart">
                  <c:ext xmlns:c16="http://schemas.microsoft.com/office/drawing/2014/chart" uri="{C3380CC4-5D6E-409C-BE32-E72D297353CC}">
                    <c16:uniqueId val="{00000005-ED72-443B-AEDE-5240D42EF37D}"/>
                  </c:ext>
                </c:extLst>
              </c15:ser>
            </c15:filteredScatterSeries>
            <c15:filteredScatterSeries>
              <c15:ser>
                <c:idx val="1"/>
                <c:order val="8"/>
                <c:tx>
                  <c:strRef>
                    <c:extLst xmlns:c15="http://schemas.microsoft.com/office/drawing/2012/chart">
                      <c:ext xmlns:c15="http://schemas.microsoft.com/office/drawing/2012/chart" uri="{02D57815-91ED-43cb-92C2-25804820EDAC}">
                        <c15:formulaRef>
                          <c15:sqref>DetailOfP50!$B$10:$E$10</c15:sqref>
                        </c15:formulaRef>
                      </c:ext>
                    </c:extLst>
                    <c:strCache>
                      <c:ptCount val="4"/>
                      <c:pt idx="0">
                        <c:v>NEDC Solar Site</c:v>
                      </c:pt>
                      <c:pt idx="1">
                        <c:v>5%</c:v>
                      </c:pt>
                      <c:pt idx="2">
                        <c:v>MA</c:v>
                      </c:pt>
                      <c:pt idx="3">
                        <c:v>1.0</c:v>
                      </c:pt>
                    </c:strCache>
                  </c:strRef>
                </c:tx>
                <c:spPr>
                  <a:ln w="19050" cap="rnd">
                    <a:solidFill>
                      <a:srgbClr val="FF000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DetailOfP50!$W$5:$AI$5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DetailOfP50!$W$10:$AI$10</c15:sqref>
                        </c15:formulaRef>
                      </c:ext>
                    </c:extLst>
                    <c:numCache>
                      <c:formatCode>0.00</c:formatCode>
                      <c:ptCount val="13"/>
                      <c:pt idx="0">
                        <c:v>0.82752964866121748</c:v>
                      </c:pt>
                      <c:pt idx="1">
                        <c:v>0.86964210904614658</c:v>
                      </c:pt>
                      <c:pt idx="2">
                        <c:v>0.8209412221979776</c:v>
                      </c:pt>
                      <c:pt idx="3">
                        <c:v>0.86423638132003733</c:v>
                      </c:pt>
                      <c:pt idx="4">
                        <c:v>0.86355374669001572</c:v>
                      </c:pt>
                      <c:pt idx="5">
                        <c:v>0.92850263207315653</c:v>
                      </c:pt>
                      <c:pt idx="6">
                        <c:v>0.83164515900254943</c:v>
                      </c:pt>
                      <c:pt idx="7">
                        <c:v>0.84517734966647495</c:v>
                      </c:pt>
                      <c:pt idx="8">
                        <c:v>0.87420647372557336</c:v>
                      </c:pt>
                      <c:pt idx="9">
                        <c:v>0.9395775379888468</c:v>
                      </c:pt>
                      <c:pt idx="10">
                        <c:v>0.86229866007446543</c:v>
                      </c:pt>
                      <c:pt idx="11">
                        <c:v>0.95858674693013057</c:v>
                      </c:pt>
                      <c:pt idx="12">
                        <c:v>0.7654918609378607</c:v>
                      </c:pt>
                    </c:numCache>
                  </c:numRef>
                </c:yVal>
                <c:smooth val="0"/>
                <c:extLst xmlns:c15="http://schemas.microsoft.com/office/drawing/2012/chart">
                  <c:ext xmlns:c16="http://schemas.microsoft.com/office/drawing/2014/chart" uri="{C3380CC4-5D6E-409C-BE32-E72D297353CC}">
                    <c16:uniqueId val="{00000008-ED72-443B-AEDE-5240D42EF37D}"/>
                  </c:ext>
                </c:extLst>
              </c15:ser>
            </c15:filteredScatterSeries>
            <c15:filteredScatterSeries>
              <c15:ser>
                <c:idx val="9"/>
                <c:order val="9"/>
                <c:tx>
                  <c:strRef>
                    <c:extLst xmlns:c15="http://schemas.microsoft.com/office/drawing/2012/chart">
                      <c:ext xmlns:c15="http://schemas.microsoft.com/office/drawing/2012/chart" uri="{02D57815-91ED-43cb-92C2-25804820EDAC}">
                        <c15:formulaRef>
                          <c15:sqref>DetailOfP50!$A$10</c15:sqref>
                        </c15:formulaRef>
                      </c:ext>
                    </c:extLst>
                    <c:strCache>
                      <c:ptCount val="1"/>
                      <c:pt idx="0">
                        <c:v>52</c:v>
                      </c:pt>
                    </c:strCache>
                  </c:strRef>
                </c:tx>
                <c:spPr>
                  <a:ln w="19050" cap="rnd">
                    <a:solidFill>
                      <a:srgbClr val="FF000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2.8000000000000001E-2</c:v>
                        </c:pt>
                      </c:numCache>
                    </c:numRef>
                  </c:plus>
                  <c:min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2.8000000000000001E-2</c:v>
                        </c:pt>
                      </c:numCache>
                    </c:numRef>
                  </c:minus>
                  <c:spPr>
                    <a:noFill/>
                    <a:ln w="19050" cap="sq" cmpd="sng" algn="ctr">
                      <a:solidFill>
                        <a:srgbClr val="FF0000"/>
                      </a:solidFill>
                      <a:round/>
                    </a:ln>
                    <a:effectLst/>
                  </c:spPr>
                </c:errBars>
                <c:xVal>
                  <c:numRef>
                    <c:extLst xmlns:c15="http://schemas.microsoft.com/office/drawing/2012/chart">
                      <c:ext xmlns:c15="http://schemas.microsoft.com/office/drawing/2012/chart" uri="{02D57815-91ED-43cb-92C2-25804820EDAC}">
                        <c15:formulaRef>
                          <c15:sqref>DetailOfP50!$AO$5:$BA$5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DetailOfP50!$AO$10:$BA$10</c15:sqref>
                        </c15:formulaRef>
                      </c:ext>
                    </c:extLst>
                    <c:numCache>
                      <c:formatCode>0.00</c:formatCode>
                      <c:ptCount val="13"/>
                      <c:pt idx="0">
                        <c:v>0.83950583183050864</c:v>
                      </c:pt>
                      <c:pt idx="1">
                        <c:v>0.84567297831515342</c:v>
                      </c:pt>
                      <c:pt idx="2">
                        <c:v>0.8518401247997982</c:v>
                      </c:pt>
                      <c:pt idx="3">
                        <c:v>0.85800727128444298</c:v>
                      </c:pt>
                      <c:pt idx="4">
                        <c:v>0.86417441776908777</c:v>
                      </c:pt>
                      <c:pt idx="5">
                        <c:v>0.87034156425373255</c:v>
                      </c:pt>
                      <c:pt idx="6">
                        <c:v>0.87249764456984591</c:v>
                      </c:pt>
                      <c:pt idx="7">
                        <c:v>0.86801979039032628</c:v>
                      </c:pt>
                      <c:pt idx="8">
                        <c:v>0.86755300237933808</c:v>
                      </c:pt>
                      <c:pt idx="9">
                        <c:v>0.86708621436834998</c:v>
                      </c:pt>
                      <c:pt idx="10">
                        <c:v>0.86661942635736178</c:v>
                      </c:pt>
                      <c:pt idx="11">
                        <c:v>0.86615263834637368</c:v>
                      </c:pt>
                      <c:pt idx="12">
                        <c:v>0.86568585033538548</c:v>
                      </c:pt>
                    </c:numCache>
                  </c:numRef>
                </c:yVal>
                <c:smooth val="0"/>
                <c:extLst xmlns:c15="http://schemas.microsoft.com/office/drawing/2012/chart">
                  <c:ext xmlns:c16="http://schemas.microsoft.com/office/drawing/2014/chart" uri="{C3380CC4-5D6E-409C-BE32-E72D297353CC}">
                    <c16:uniqueId val="{00000009-ED72-443B-AEDE-5240D42EF37D}"/>
                  </c:ext>
                </c:extLst>
              </c15:ser>
            </c15:filteredScatterSeries>
          </c:ext>
        </c:extLst>
      </c:scatterChart>
      <c:valAx>
        <c:axId val="1109670256"/>
        <c:scaling>
          <c:orientation val="minMax"/>
          <c:max val="17"/>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Five Median-Ranked U.S. Systems </a:t>
            </a:r>
            <a:r>
              <a:rPr lang="en-US" sz="1600" b="1" i="0" u="none" strike="noStrike" kern="1200" spc="0" baseline="0">
                <a:solidFill>
                  <a:sysClr val="windowText" lastClr="000000">
                    <a:lumMod val="65000"/>
                    <a:lumOff val="35000"/>
                  </a:sysClr>
                </a:solidFill>
              </a:rPr>
              <a:t>(#48-#52 of 100)</a:t>
            </a:r>
            <a:r>
              <a:rPr lang="en-US"/>
              <a:t>: PI Histories w/normal weather range</a:t>
            </a:r>
            <a:endParaRPr lang="en-US" baseline="0"/>
          </a:p>
          <a:p>
            <a:pPr>
              <a:defRPr/>
            </a:pPr>
            <a:r>
              <a:rPr lang="en-US" baseline="0"/>
              <a:t>Two dashed best-fit lines are used to define the 1st-7 and post-7 periods for each system</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8"/>
          <c:tx>
            <c:strRef>
              <c:f>DetailOfP50!$B$10:$D$10</c:f>
              <c:strCache>
                <c:ptCount val="3"/>
                <c:pt idx="0">
                  <c:v>NEDC Solar Site</c:v>
                </c:pt>
                <c:pt idx="1">
                  <c:v>5%</c:v>
                </c:pt>
                <c:pt idx="2">
                  <c:v>MA</c:v>
                </c:pt>
              </c:strCache>
            </c:strRef>
          </c:tx>
          <c:spPr>
            <a:ln w="19050" cap="rnd">
              <a:solidFill>
                <a:srgbClr val="FF0000"/>
              </a:solidFill>
              <a:round/>
            </a:ln>
            <a:effectLst/>
          </c:spPr>
          <c:marker>
            <c:symbol val="none"/>
          </c:marker>
          <c:xVal>
            <c:numRef>
              <c:f>DetailOfP50!$W$5:$AI$5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DetailOfP50!$W$10:$AI$10</c:f>
              <c:numCache>
                <c:formatCode>0.00</c:formatCode>
                <c:ptCount val="13"/>
                <c:pt idx="0">
                  <c:v>0.82752964866121748</c:v>
                </c:pt>
                <c:pt idx="1">
                  <c:v>0.86964210904614658</c:v>
                </c:pt>
                <c:pt idx="2">
                  <c:v>0.8209412221979776</c:v>
                </c:pt>
                <c:pt idx="3">
                  <c:v>0.86423638132003733</c:v>
                </c:pt>
                <c:pt idx="4">
                  <c:v>0.86355374669001572</c:v>
                </c:pt>
                <c:pt idx="5">
                  <c:v>0.92850263207315653</c:v>
                </c:pt>
                <c:pt idx="6">
                  <c:v>0.83164515900254943</c:v>
                </c:pt>
                <c:pt idx="7">
                  <c:v>0.84517734966647495</c:v>
                </c:pt>
                <c:pt idx="8">
                  <c:v>0.87420647372557336</c:v>
                </c:pt>
                <c:pt idx="9">
                  <c:v>0.9395775379888468</c:v>
                </c:pt>
                <c:pt idx="10">
                  <c:v>0.86229866007446543</c:v>
                </c:pt>
                <c:pt idx="11">
                  <c:v>0.95858674693013057</c:v>
                </c:pt>
                <c:pt idx="12">
                  <c:v>0.7654918609378607</c:v>
                </c:pt>
              </c:numCache>
            </c:numRef>
          </c:yVal>
          <c:smooth val="0"/>
          <c:extLst>
            <c:ext xmlns:c16="http://schemas.microsoft.com/office/drawing/2014/chart" uri="{C3380CC4-5D6E-409C-BE32-E72D297353CC}">
              <c16:uniqueId val="{00000008-A4B7-4F56-84C0-D49CA910AB1F}"/>
            </c:ext>
          </c:extLst>
        </c:ser>
        <c:ser>
          <c:idx val="9"/>
          <c:order val="9"/>
          <c:tx>
            <c:strRef>
              <c:f>DetailOfP50!$H$10</c:f>
              <c:strCache>
                <c:ptCount val="1"/>
                <c:pt idx="0">
                  <c:v>2.8%</c:v>
                </c:pt>
              </c:strCache>
            </c:strRef>
          </c:tx>
          <c:spPr>
            <a:ln w="19050" cap="rnd">
              <a:solidFill>
                <a:srgbClr val="FF0000"/>
              </a:solidFill>
              <a:prstDash val="dash"/>
              <a:round/>
            </a:ln>
            <a:effectLst/>
          </c:spPr>
          <c:marker>
            <c:symbol val="none"/>
          </c:marker>
          <c:errBars>
            <c:errDir val="y"/>
            <c:errBarType val="both"/>
            <c:errValType val="cust"/>
            <c:noEndCap val="0"/>
            <c:plus>
              <c:numRef>
                <c:f>DetailOfP50!$H$10</c:f>
                <c:numCache>
                  <c:formatCode>General</c:formatCode>
                  <c:ptCount val="1"/>
                  <c:pt idx="0">
                    <c:v>2.8000000000000001E-2</c:v>
                  </c:pt>
                </c:numCache>
              </c:numRef>
            </c:plus>
            <c:minus>
              <c:numRef>
                <c:f>DetailOfP50!$H$10</c:f>
                <c:numCache>
                  <c:formatCode>General</c:formatCode>
                  <c:ptCount val="1"/>
                  <c:pt idx="0">
                    <c:v>2.8000000000000001E-2</c:v>
                  </c:pt>
                </c:numCache>
              </c:numRef>
            </c:minus>
            <c:spPr>
              <a:noFill/>
              <a:ln w="19050" cap="sq" cmpd="sng" algn="ctr">
                <a:solidFill>
                  <a:srgbClr val="FF0000"/>
                </a:solidFill>
                <a:round/>
              </a:ln>
              <a:effectLst/>
            </c:spPr>
          </c:errBars>
          <c:xVal>
            <c:numRef>
              <c:f>DetailOfP50!$AO$5:$BA$5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DetailOfP50!$AO$10:$BA$10</c:f>
              <c:numCache>
                <c:formatCode>0.00</c:formatCode>
                <c:ptCount val="13"/>
                <c:pt idx="0">
                  <c:v>0.83950583183050864</c:v>
                </c:pt>
                <c:pt idx="1">
                  <c:v>0.84567297831515342</c:v>
                </c:pt>
                <c:pt idx="2">
                  <c:v>0.8518401247997982</c:v>
                </c:pt>
                <c:pt idx="3">
                  <c:v>0.85800727128444298</c:v>
                </c:pt>
                <c:pt idx="4">
                  <c:v>0.86417441776908777</c:v>
                </c:pt>
                <c:pt idx="5">
                  <c:v>0.87034156425373255</c:v>
                </c:pt>
                <c:pt idx="6">
                  <c:v>0.87249764456984591</c:v>
                </c:pt>
                <c:pt idx="7">
                  <c:v>0.86801979039032628</c:v>
                </c:pt>
                <c:pt idx="8">
                  <c:v>0.86755300237933808</c:v>
                </c:pt>
                <c:pt idx="9">
                  <c:v>0.86708621436834998</c:v>
                </c:pt>
                <c:pt idx="10">
                  <c:v>0.86661942635736178</c:v>
                </c:pt>
                <c:pt idx="11">
                  <c:v>0.86615263834637368</c:v>
                </c:pt>
                <c:pt idx="12">
                  <c:v>0.86568585033538548</c:v>
                </c:pt>
              </c:numCache>
            </c:numRef>
          </c:yVal>
          <c:smooth val="0"/>
          <c:extLst>
            <c:ext xmlns:c16="http://schemas.microsoft.com/office/drawing/2014/chart" uri="{C3380CC4-5D6E-409C-BE32-E72D297353CC}">
              <c16:uniqueId val="{00000009-A4B7-4F56-84C0-D49CA910AB1F}"/>
            </c:ext>
          </c:extLst>
        </c:ser>
        <c:dLbls>
          <c:showLegendKey val="0"/>
          <c:showVal val="0"/>
          <c:showCatName val="0"/>
          <c:showSerName val="0"/>
          <c:showPercent val="0"/>
          <c:showBubbleSize val="0"/>
        </c:dLbls>
        <c:axId val="1109670256"/>
        <c:axId val="1109674576"/>
        <c:extLst>
          <c:ext xmlns:c15="http://schemas.microsoft.com/office/drawing/2012/chart" uri="{02D57815-91ED-43cb-92C2-25804820EDAC}">
            <c15:filteredScatterSeries>
              <c15:ser>
                <c:idx val="0"/>
                <c:order val="0"/>
                <c:tx>
                  <c:strRef>
                    <c:extLst>
                      <c:ext uri="{02D57815-91ED-43cb-92C2-25804820EDAC}">
                        <c15:formulaRef>
                          <c15:sqref>DetailOfP50!$B$6:$E$6</c15:sqref>
                        </c15:formulaRef>
                      </c:ext>
                    </c:extLst>
                    <c:strCache>
                      <c:ptCount val="4"/>
                      <c:pt idx="0">
                        <c:v>Wild Horse</c:v>
                      </c:pt>
                      <c:pt idx="1">
                        <c:v>18%</c:v>
                      </c:pt>
                      <c:pt idx="2">
                        <c:v>WA</c:v>
                      </c:pt>
                      <c:pt idx="3">
                        <c:v>0.5</c:v>
                      </c:pt>
                    </c:strCache>
                  </c:strRef>
                </c:tx>
                <c:spPr>
                  <a:ln w="19050" cap="rnd">
                    <a:solidFill>
                      <a:srgbClr val="7030A0"/>
                    </a:solidFill>
                    <a:round/>
                  </a:ln>
                  <a:effectLst/>
                </c:spPr>
                <c:marker>
                  <c:symbol val="none"/>
                </c:marker>
                <c:xVal>
                  <c:numRef>
                    <c:extLst>
                      <c:ext uri="{02D57815-91ED-43cb-92C2-25804820EDAC}">
                        <c15:formulaRef>
                          <c15:sqref>DetailOfP50!$W$5:$AK$5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c:ext uri="{02D57815-91ED-43cb-92C2-25804820EDAC}">
                        <c15:formulaRef>
                          <c15:sqref>DetailOfP50!$W$6:$AK$6</c15:sqref>
                        </c15:formulaRef>
                      </c:ext>
                    </c:extLst>
                    <c:numCache>
                      <c:formatCode>0.00</c:formatCode>
                      <c:ptCount val="15"/>
                      <c:pt idx="0">
                        <c:v>1.1499999999999999</c:v>
                      </c:pt>
                      <c:pt idx="1">
                        <c:v>1.1066117886697027</c:v>
                      </c:pt>
                      <c:pt idx="2">
                        <c:v>1.067349572758393</c:v>
                      </c:pt>
                      <c:pt idx="3">
                        <c:v>1.0262570576516028</c:v>
                      </c:pt>
                      <c:pt idx="4">
                        <c:v>1.1177190141996209</c:v>
                      </c:pt>
                      <c:pt idx="5">
                        <c:v>1.0337532260328532</c:v>
                      </c:pt>
                      <c:pt idx="6">
                        <c:v>0.68739198291568215</c:v>
                      </c:pt>
                      <c:pt idx="7">
                        <c:v>0.7009001089916379</c:v>
                      </c:pt>
                      <c:pt idx="8">
                        <c:v>0.56151689265538174</c:v>
                      </c:pt>
                      <c:pt idx="9">
                        <c:v>0.13782047719900598</c:v>
                      </c:pt>
                      <c:pt idx="10">
                        <c:v>0.70568750028372274</c:v>
                      </c:pt>
                      <c:pt idx="11">
                        <c:v>0.81473950362919945</c:v>
                      </c:pt>
                      <c:pt idx="12">
                        <c:v>0.93812418895159255</c:v>
                      </c:pt>
                      <c:pt idx="13">
                        <c:v>0.98576194921508731</c:v>
                      </c:pt>
                      <c:pt idx="14">
                        <c:v>1.0055911353605851</c:v>
                      </c:pt>
                    </c:numCache>
                  </c:numRef>
                </c:yVal>
                <c:smooth val="0"/>
                <c:extLst>
                  <c:ext xmlns:c16="http://schemas.microsoft.com/office/drawing/2014/chart" uri="{C3380CC4-5D6E-409C-BE32-E72D297353CC}">
                    <c16:uniqueId val="{00000000-A4B7-4F56-84C0-D49CA910AB1F}"/>
                  </c:ext>
                </c:extLst>
              </c15:ser>
            </c15:filteredScatterSeries>
            <c15:filteredScatterSeries>
              <c15:ser>
                <c:idx val="3"/>
                <c:order val="1"/>
                <c:tx>
                  <c:strRef>
                    <c:extLst xmlns:c15="http://schemas.microsoft.com/office/drawing/2012/chart">
                      <c:ext xmlns:c15="http://schemas.microsoft.com/office/drawing/2012/chart" uri="{02D57815-91ED-43cb-92C2-25804820EDAC}">
                        <c15:formulaRef>
                          <c15:sqref>DetailOfP50!$A$6</c15:sqref>
                        </c15:formulaRef>
                      </c:ext>
                    </c:extLst>
                    <c:strCache>
                      <c:ptCount val="1"/>
                      <c:pt idx="0">
                        <c:v>48</c:v>
                      </c:pt>
                    </c:strCache>
                  </c:strRef>
                </c:tx>
                <c:spPr>
                  <a:ln w="19050" cap="rnd">
                    <a:solidFill>
                      <a:srgbClr val="7030A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2.3E-2</c:v>
                        </c:pt>
                      </c:numCache>
                    </c:numRef>
                  </c:plus>
                  <c:min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2.3E-2</c:v>
                        </c:pt>
                      </c:numCache>
                    </c:numRef>
                  </c:minus>
                  <c:spPr>
                    <a:noFill/>
                    <a:ln w="19050" cap="sq" cmpd="sng" algn="ctr">
                      <a:solidFill>
                        <a:srgbClr val="7030A0"/>
                      </a:solidFill>
                      <a:round/>
                    </a:ln>
                    <a:effectLst/>
                  </c:spPr>
                </c:errBars>
                <c:xVal>
                  <c:numRef>
                    <c:extLst xmlns:c15="http://schemas.microsoft.com/office/drawing/2012/chart">
                      <c:ext xmlns:c15="http://schemas.microsoft.com/office/drawing/2012/chart" uri="{02D57815-91ED-43cb-92C2-25804820EDAC}">
                        <c15:formulaRef>
                          <c15:sqref>DetailOfP50!$AO$5:$BC$5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xmlns:c15="http://schemas.microsoft.com/office/drawing/2012/chart">
                      <c:ext xmlns:c15="http://schemas.microsoft.com/office/drawing/2012/chart" uri="{02D57815-91ED-43cb-92C2-25804820EDAC}">
                        <c15:formulaRef>
                          <c15:sqref>DetailOfP50!$AO$6:$BC$6</c15:sqref>
                        </c15:formulaRef>
                      </c:ext>
                    </c:extLst>
                    <c:numCache>
                      <c:formatCode>0.00</c:formatCode>
                      <c:ptCount val="15"/>
                      <c:pt idx="0">
                        <c:v>1.1859230633631319</c:v>
                      </c:pt>
                      <c:pt idx="1">
                        <c:v>1.1329526442529381</c:v>
                      </c:pt>
                      <c:pt idx="2">
                        <c:v>1.0799822251427444</c:v>
                      </c:pt>
                      <c:pt idx="3">
                        <c:v>1.0270118060325506</c:v>
                      </c:pt>
                      <c:pt idx="4">
                        <c:v>0.97404138692235698</c:v>
                      </c:pt>
                      <c:pt idx="5">
                        <c:v>0.92107096781216313</c:v>
                      </c:pt>
                      <c:pt idx="6">
                        <c:v>0.67866273487978201</c:v>
                      </c:pt>
                      <c:pt idx="7">
                        <c:v>0.5485168502154707</c:v>
                      </c:pt>
                      <c:pt idx="8">
                        <c:v>0.60780877937334687</c:v>
                      </c:pt>
                      <c:pt idx="9">
                        <c:v>0.66710070853122316</c:v>
                      </c:pt>
                      <c:pt idx="10">
                        <c:v>0.72639263768909934</c:v>
                      </c:pt>
                      <c:pt idx="11">
                        <c:v>0.78568456684697563</c:v>
                      </c:pt>
                      <c:pt idx="12">
                        <c:v>0.84497649600485181</c:v>
                      </c:pt>
                      <c:pt idx="13">
                        <c:v>0.9042684251627281</c:v>
                      </c:pt>
                      <c:pt idx="14">
                        <c:v>0.96356035432060427</c:v>
                      </c:pt>
                    </c:numCache>
                  </c:numRef>
                </c:yVal>
                <c:smooth val="0"/>
                <c:extLst xmlns:c15="http://schemas.microsoft.com/office/drawing/2012/chart">
                  <c:ext xmlns:c16="http://schemas.microsoft.com/office/drawing/2014/chart" uri="{C3380CC4-5D6E-409C-BE32-E72D297353CC}">
                    <c16:uniqueId val="{00000001-A4B7-4F56-84C0-D49CA910AB1F}"/>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DetailOfP50!$B$7:$E$7</c15:sqref>
                        </c15:formulaRef>
                      </c:ext>
                    </c:extLst>
                    <c:strCache>
                      <c:ptCount val="4"/>
                      <c:pt idx="0">
                        <c:v>Dow Jones</c:v>
                      </c:pt>
                      <c:pt idx="1">
                        <c:v>20%</c:v>
                      </c:pt>
                      <c:pt idx="2">
                        <c:v>NJ</c:v>
                      </c:pt>
                      <c:pt idx="3">
                        <c:v>4.1</c:v>
                      </c:pt>
                    </c:strCache>
                  </c:strRef>
                </c:tx>
                <c:spPr>
                  <a:ln w="19050" cap="rnd">
                    <a:solidFill>
                      <a:srgbClr val="00B0F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DetailOfP50!$W$7:$AJ$7</c15:sqref>
                        </c15:formulaRef>
                      </c:ext>
                    </c:extLst>
                    <c:numCache>
                      <c:formatCode>0.00</c:formatCode>
                      <c:ptCount val="14"/>
                      <c:pt idx="0">
                        <c:v>0.90361177026642492</c:v>
                      </c:pt>
                      <c:pt idx="1">
                        <c:v>1.0137516646672524</c:v>
                      </c:pt>
                      <c:pt idx="2">
                        <c:v>0.99504108352724252</c:v>
                      </c:pt>
                      <c:pt idx="3">
                        <c:v>0.96016723535284088</c:v>
                      </c:pt>
                      <c:pt idx="4">
                        <c:v>0.99404615573411981</c:v>
                      </c:pt>
                      <c:pt idx="5">
                        <c:v>1.0364978619287759</c:v>
                      </c:pt>
                      <c:pt idx="6">
                        <c:v>0.92431962326275241</c:v>
                      </c:pt>
                      <c:pt idx="7">
                        <c:v>0.81505595206464754</c:v>
                      </c:pt>
                      <c:pt idx="8">
                        <c:v>0.98494458241982852</c:v>
                      </c:pt>
                      <c:pt idx="9">
                        <c:v>0.96400641245117979</c:v>
                      </c:pt>
                      <c:pt idx="10">
                        <c:v>0.96079755922308474</c:v>
                      </c:pt>
                      <c:pt idx="11">
                        <c:v>0.70746141612673208</c:v>
                      </c:pt>
                      <c:pt idx="12">
                        <c:v>0.86932143333747613</c:v>
                      </c:pt>
                      <c:pt idx="13">
                        <c:v>0</c:v>
                      </c:pt>
                    </c:numCache>
                  </c:numRef>
                </c:yVal>
                <c:smooth val="0"/>
                <c:extLst xmlns:c15="http://schemas.microsoft.com/office/drawing/2012/chart">
                  <c:ext xmlns:c16="http://schemas.microsoft.com/office/drawing/2014/chart" uri="{C3380CC4-5D6E-409C-BE32-E72D297353CC}">
                    <c16:uniqueId val="{00000002-A4B7-4F56-84C0-D49CA910AB1F}"/>
                  </c:ext>
                </c:extLst>
              </c15:ser>
            </c15:filteredScatterSeries>
            <c15:filteredScatterSeries>
              <c15:ser>
                <c:idx val="5"/>
                <c:order val="3"/>
                <c:tx>
                  <c:strRef>
                    <c:extLst xmlns:c15="http://schemas.microsoft.com/office/drawing/2012/chart">
                      <c:ext xmlns:c15="http://schemas.microsoft.com/office/drawing/2012/chart" uri="{02D57815-91ED-43cb-92C2-25804820EDAC}">
                        <c15:formulaRef>
                          <c15:sqref>DetailOfP50!$A$7</c15:sqref>
                        </c15:formulaRef>
                      </c:ext>
                    </c:extLst>
                    <c:strCache>
                      <c:ptCount val="1"/>
                      <c:pt idx="0">
                        <c:v>49</c:v>
                      </c:pt>
                    </c:strCache>
                  </c:strRef>
                </c:tx>
                <c:spPr>
                  <a:ln w="19050" cap="rnd">
                    <a:solidFill>
                      <a:srgbClr val="00B0F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2.8000000000000001E-2</c:v>
                        </c:pt>
                      </c:numCache>
                    </c:numRef>
                  </c:plus>
                  <c:min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2.8000000000000001E-2</c:v>
                        </c:pt>
                      </c:numCache>
                    </c:numRef>
                  </c:minus>
                  <c:spPr>
                    <a:noFill/>
                    <a:ln w="19050" cap="sq" cmpd="sng" algn="ctr">
                      <a:solidFill>
                        <a:srgbClr val="00B0F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DetailOfP50!$AO$7:$BB$7</c15:sqref>
                        </c15:formulaRef>
                      </c:ext>
                    </c:extLst>
                    <c:numCache>
                      <c:formatCode>0.00</c:formatCode>
                      <c:ptCount val="14"/>
                      <c:pt idx="0">
                        <c:v>0.96392423220717549</c:v>
                      </c:pt>
                      <c:pt idx="1">
                        <c:v>0.96773212598285074</c:v>
                      </c:pt>
                      <c:pt idx="2">
                        <c:v>0.971540019758526</c:v>
                      </c:pt>
                      <c:pt idx="3">
                        <c:v>0.97534791353420125</c:v>
                      </c:pt>
                      <c:pt idx="4">
                        <c:v>0.97915580730987639</c:v>
                      </c:pt>
                      <c:pt idx="5">
                        <c:v>0.98296370108555164</c:v>
                      </c:pt>
                      <c:pt idx="6">
                        <c:v>1.0290584900397719</c:v>
                      </c:pt>
                      <c:pt idx="7">
                        <c:v>0.98760052440185853</c:v>
                      </c:pt>
                      <c:pt idx="8">
                        <c:v>0.90385566358540015</c:v>
                      </c:pt>
                      <c:pt idx="9">
                        <c:v>0.82011080276894166</c:v>
                      </c:pt>
                      <c:pt idx="10">
                        <c:v>0.73636594195248328</c:v>
                      </c:pt>
                      <c:pt idx="11">
                        <c:v>0.65262108113602491</c:v>
                      </c:pt>
                      <c:pt idx="12">
                        <c:v>0.56887622031956653</c:v>
                      </c:pt>
                      <c:pt idx="13">
                        <c:v>0.48513135950310793</c:v>
                      </c:pt>
                    </c:numCache>
                  </c:numRef>
                </c:yVal>
                <c:smooth val="0"/>
                <c:extLst xmlns:c15="http://schemas.microsoft.com/office/drawing/2012/chart">
                  <c:ext xmlns:c16="http://schemas.microsoft.com/office/drawing/2014/chart" uri="{C3380CC4-5D6E-409C-BE32-E72D297353CC}">
                    <c16:uniqueId val="{00000003-A4B7-4F56-84C0-D49CA910AB1F}"/>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DetailOfP50!$B$8:$E$8</c15:sqref>
                        </c15:formulaRef>
                      </c:ext>
                    </c:extLst>
                    <c:strCache>
                      <c:ptCount val="4"/>
                      <c:pt idx="0">
                        <c:v>Westside Solar Station</c:v>
                      </c:pt>
                      <c:pt idx="1">
                        <c:v>5%</c:v>
                      </c:pt>
                      <c:pt idx="2">
                        <c:v>CA</c:v>
                      </c:pt>
                      <c:pt idx="3">
                        <c:v>18.5</c:v>
                      </c:pt>
                    </c:strCache>
                  </c:strRef>
                </c:tx>
                <c:spPr>
                  <a:ln w="19050" cap="rnd">
                    <a:solidFill>
                      <a:srgbClr val="00B05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DetailOfP50!$W$8:$AJ$8</c15:sqref>
                        </c15:formulaRef>
                      </c:ext>
                    </c:extLst>
                    <c:numCache>
                      <c:formatCode>0.00</c:formatCode>
                      <c:ptCount val="14"/>
                      <c:pt idx="0">
                        <c:v>1.0604998318300161</c:v>
                      </c:pt>
                      <c:pt idx="1">
                        <c:v>1.0770808785450856</c:v>
                      </c:pt>
                      <c:pt idx="2">
                        <c:v>1.0645855453067783</c:v>
                      </c:pt>
                      <c:pt idx="3">
                        <c:v>0.95698243138919081</c:v>
                      </c:pt>
                      <c:pt idx="4">
                        <c:v>1.0254016640401151</c:v>
                      </c:pt>
                      <c:pt idx="5">
                        <c:v>0.85451990247625953</c:v>
                      </c:pt>
                      <c:pt idx="6">
                        <c:v>0.97131274939439194</c:v>
                      </c:pt>
                      <c:pt idx="7">
                        <c:v>0.94065928732757642</c:v>
                      </c:pt>
                      <c:pt idx="8">
                        <c:v>0.83349689046876507</c:v>
                      </c:pt>
                      <c:pt idx="9">
                        <c:v>0.71578834750937292</c:v>
                      </c:pt>
                      <c:pt idx="10">
                        <c:v>0.61095969109310422</c:v>
                      </c:pt>
                      <c:pt idx="11">
                        <c:v>0.64282495682344876</c:v>
                      </c:pt>
                      <c:pt idx="12">
                        <c:v>0.4836087258648053</c:v>
                      </c:pt>
                    </c:numCache>
                  </c:numRef>
                </c:yVal>
                <c:smooth val="0"/>
                <c:extLst xmlns:c15="http://schemas.microsoft.com/office/drawing/2012/chart">
                  <c:ext xmlns:c16="http://schemas.microsoft.com/office/drawing/2014/chart" uri="{C3380CC4-5D6E-409C-BE32-E72D297353CC}">
                    <c16:uniqueId val="{00000004-A4B7-4F56-84C0-D49CA910AB1F}"/>
                  </c:ext>
                </c:extLst>
              </c15:ser>
            </c15:filteredScatterSeries>
            <c15:filteredScatterSeries>
              <c15:ser>
                <c:idx val="7"/>
                <c:order val="5"/>
                <c:tx>
                  <c:strRef>
                    <c:extLst xmlns:c15="http://schemas.microsoft.com/office/drawing/2012/chart">
                      <c:ext xmlns:c15="http://schemas.microsoft.com/office/drawing/2012/chart" uri="{02D57815-91ED-43cb-92C2-25804820EDAC}">
                        <c15:formulaRef>
                          <c15:sqref>DetailOfP50!$A$8</c15:sqref>
                        </c15:formulaRef>
                      </c:ext>
                    </c:extLst>
                    <c:strCache>
                      <c:ptCount val="1"/>
                      <c:pt idx="0">
                        <c:v>50</c:v>
                      </c:pt>
                    </c:strCache>
                  </c:strRef>
                </c:tx>
                <c:spPr>
                  <a:ln w="19050" cap="rnd">
                    <a:solidFill>
                      <a:srgbClr val="00B05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minus>
                  <c:spPr>
                    <a:noFill/>
                    <a:ln w="19050" cap="sq" cmpd="sng" algn="ctr">
                      <a:solidFill>
                        <a:srgbClr val="00B05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DetailOfP50!$AO$8:$BB$8</c15:sqref>
                        </c15:formulaRef>
                      </c:ext>
                    </c:extLst>
                    <c:numCache>
                      <c:formatCode>0.00</c:formatCode>
                      <c:ptCount val="14"/>
                      <c:pt idx="0">
                        <c:v>1.0820404733593183</c:v>
                      </c:pt>
                      <c:pt idx="1">
                        <c:v>1.0551880776196332</c:v>
                      </c:pt>
                      <c:pt idx="2">
                        <c:v>1.0283356818799478</c:v>
                      </c:pt>
                      <c:pt idx="3">
                        <c:v>1.0014832861402625</c:v>
                      </c:pt>
                      <c:pt idx="4">
                        <c:v>0.97463089040057727</c:v>
                      </c:pt>
                      <c:pt idx="5">
                        <c:v>0.94777849466089203</c:v>
                      </c:pt>
                      <c:pt idx="6">
                        <c:v>0.95400869922567266</c:v>
                      </c:pt>
                      <c:pt idx="7">
                        <c:v>0.90561565913825748</c:v>
                      </c:pt>
                      <c:pt idx="8">
                        <c:v>0.82414001874637621</c:v>
                      </c:pt>
                      <c:pt idx="9">
                        <c:v>0.74266437835449484</c:v>
                      </c:pt>
                      <c:pt idx="10">
                        <c:v>0.66118873796261357</c:v>
                      </c:pt>
                      <c:pt idx="11">
                        <c:v>0.57971309757073231</c:v>
                      </c:pt>
                      <c:pt idx="12">
                        <c:v>0.49823745717885104</c:v>
                      </c:pt>
                    </c:numCache>
                  </c:numRef>
                </c:yVal>
                <c:smooth val="0"/>
                <c:extLst xmlns:c15="http://schemas.microsoft.com/office/drawing/2012/chart">
                  <c:ext xmlns:c16="http://schemas.microsoft.com/office/drawing/2014/chart" uri="{C3380CC4-5D6E-409C-BE32-E72D297353CC}">
                    <c16:uniqueId val="{00000005-A4B7-4F56-84C0-D49CA910AB1F}"/>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DetailOfP50!$B$9:$E$9</c15:sqref>
                        </c15:formulaRef>
                      </c:ext>
                    </c:extLst>
                    <c:strCache>
                      <c:ptCount val="4"/>
                      <c:pt idx="0">
                        <c:v>Sacramento Soleil</c:v>
                      </c:pt>
                      <c:pt idx="1">
                        <c:v>2%</c:v>
                      </c:pt>
                      <c:pt idx="2">
                        <c:v>CA</c:v>
                      </c:pt>
                      <c:pt idx="3">
                        <c:v>1.2</c:v>
                      </c:pt>
                    </c:strCache>
                  </c:strRef>
                </c:tx>
                <c:spPr>
                  <a:ln w="19050" cap="rnd">
                    <a:solidFill>
                      <a:schemeClr val="accent2"/>
                    </a:solidFill>
                    <a:round/>
                  </a:ln>
                  <a:effectLst/>
                </c:spPr>
                <c:marker>
                  <c:symbol val="none"/>
                </c:marker>
                <c:xVal>
                  <c:numRef>
                    <c:extLst xmlns:c15="http://schemas.microsoft.com/office/drawing/2012/chart">
                      <c:ext xmlns:c15="http://schemas.microsoft.com/office/drawing/2012/chart" uri="{02D57815-91ED-43cb-92C2-25804820EDAC}">
                        <c15:formulaRef>
                          <c15:sqref>DetailOfP50!$W$5:$AM$5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DetailOfP50!$W$9:$AM$9</c15:sqref>
                        </c15:formulaRef>
                      </c:ext>
                    </c:extLst>
                    <c:numCache>
                      <c:formatCode>0.00</c:formatCode>
                      <c:ptCount val="17"/>
                      <c:pt idx="0">
                        <c:v>0.85876737435078587</c:v>
                      </c:pt>
                      <c:pt idx="1">
                        <c:v>0.89277365526789976</c:v>
                      </c:pt>
                      <c:pt idx="2">
                        <c:v>0.91578137613345478</c:v>
                      </c:pt>
                      <c:pt idx="3">
                        <c:v>0.88367137474568025</c:v>
                      </c:pt>
                      <c:pt idx="4">
                        <c:v>0.92396899906073349</c:v>
                      </c:pt>
                      <c:pt idx="5">
                        <c:v>0.88369606548533497</c:v>
                      </c:pt>
                      <c:pt idx="6">
                        <c:v>0.90808308284307437</c:v>
                      </c:pt>
                      <c:pt idx="7">
                        <c:v>0.88785187697150159</c:v>
                      </c:pt>
                      <c:pt idx="8">
                        <c:v>0.90662863313672803</c:v>
                      </c:pt>
                      <c:pt idx="9">
                        <c:v>0.81900038739378245</c:v>
                      </c:pt>
                      <c:pt idx="10">
                        <c:v>0.77438236084221312</c:v>
                      </c:pt>
                      <c:pt idx="11">
                        <c:v>0.73198635691973701</c:v>
                      </c:pt>
                    </c:numCache>
                  </c:numRef>
                </c:yVal>
                <c:smooth val="0"/>
                <c:extLst xmlns:c15="http://schemas.microsoft.com/office/drawing/2012/chart">
                  <c:ext xmlns:c16="http://schemas.microsoft.com/office/drawing/2014/chart" uri="{C3380CC4-5D6E-409C-BE32-E72D297353CC}">
                    <c16:uniqueId val="{00000006-A4B7-4F56-84C0-D49CA910AB1F}"/>
                  </c:ext>
                </c:extLst>
              </c15:ser>
            </c15:filteredScatterSeries>
            <c15:filteredScatterSeries>
              <c15:ser>
                <c:idx val="8"/>
                <c:order val="7"/>
                <c:tx>
                  <c:strRef>
                    <c:extLst xmlns:c15="http://schemas.microsoft.com/office/drawing/2012/chart">
                      <c:ext xmlns:c15="http://schemas.microsoft.com/office/drawing/2012/chart" uri="{02D57815-91ED-43cb-92C2-25804820EDAC}">
                        <c15:formulaRef>
                          <c15:sqref>DetailOfP50!$A$9</c15:sqref>
                        </c15:formulaRef>
                      </c:ext>
                    </c:extLst>
                    <c:strCache>
                      <c:ptCount val="1"/>
                      <c:pt idx="0">
                        <c:v>51</c:v>
                      </c:pt>
                    </c:strCache>
                  </c:strRef>
                </c:tx>
                <c:spPr>
                  <a:ln w="19050" cap="rnd">
                    <a:solidFill>
                      <a:schemeClr val="accent2"/>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3.4000000000000002E-2</c:v>
                        </c:pt>
                      </c:numCache>
                    </c:numRef>
                  </c:plus>
                  <c:min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3.4000000000000002E-2</c:v>
                        </c:pt>
                      </c:numCache>
                    </c:numRef>
                  </c:minus>
                  <c:spPr>
                    <a:noFill/>
                    <a:ln w="19050" cap="sq" cmpd="sng" algn="ctr">
                      <a:solidFill>
                        <a:schemeClr val="accent2"/>
                      </a:solidFill>
                      <a:round/>
                    </a:ln>
                    <a:effectLst/>
                  </c:spPr>
                </c:errBars>
                <c:xVal>
                  <c:numRef>
                    <c:extLst xmlns:c15="http://schemas.microsoft.com/office/drawing/2012/chart">
                      <c:ext xmlns:c15="http://schemas.microsoft.com/office/drawing/2012/chart" uri="{02D57815-91ED-43cb-92C2-25804820EDAC}">
                        <c15:formulaRef>
                          <c15:sqref>DetailOfP50!$AO$5:$BE$5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DetailOfP50!$AO$9:$BE$9</c15:sqref>
                        </c15:formulaRef>
                      </c:ext>
                    </c:extLst>
                    <c:numCache>
                      <c:formatCode>0.00</c:formatCode>
                      <c:ptCount val="17"/>
                      <c:pt idx="0">
                        <c:v>0.88046532160824331</c:v>
                      </c:pt>
                      <c:pt idx="1">
                        <c:v>0.88539316335249385</c:v>
                      </c:pt>
                      <c:pt idx="2">
                        <c:v>0.89032100509674439</c:v>
                      </c:pt>
                      <c:pt idx="3">
                        <c:v>0.89524884684099482</c:v>
                      </c:pt>
                      <c:pt idx="4">
                        <c:v>0.90017668858524535</c:v>
                      </c:pt>
                      <c:pt idx="5">
                        <c:v>0.90510453032949589</c:v>
                      </c:pt>
                      <c:pt idx="6">
                        <c:v>0.92074344982248935</c:v>
                      </c:pt>
                      <c:pt idx="7">
                        <c:v>0.89406822974987521</c:v>
                      </c:pt>
                      <c:pt idx="8">
                        <c:v>0.85668193192851805</c:v>
                      </c:pt>
                      <c:pt idx="9">
                        <c:v>0.819295634107161</c:v>
                      </c:pt>
                      <c:pt idx="10">
                        <c:v>0.78190933628580384</c:v>
                      </c:pt>
                      <c:pt idx="11">
                        <c:v>0.74452303846444678</c:v>
                      </c:pt>
                    </c:numCache>
                  </c:numRef>
                </c:yVal>
                <c:smooth val="0"/>
                <c:extLst xmlns:c15="http://schemas.microsoft.com/office/drawing/2012/chart">
                  <c:ext xmlns:c16="http://schemas.microsoft.com/office/drawing/2014/chart" uri="{C3380CC4-5D6E-409C-BE32-E72D297353CC}">
                    <c16:uniqueId val="{00000007-A4B7-4F56-84C0-D49CA910AB1F}"/>
                  </c:ext>
                </c:extLst>
              </c15:ser>
            </c15:filteredScatterSeries>
          </c:ext>
        </c:extLst>
      </c:scatterChart>
      <c:valAx>
        <c:axId val="1109670256"/>
        <c:scaling>
          <c:orientation val="minMax"/>
          <c:max val="13"/>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UASTP 1 </a:t>
            </a:r>
            <a:r>
              <a:rPr lang="en-US" sz="1600" b="1" i="0" u="none" strike="noStrike" kern="1200" spc="0" baseline="0">
                <a:solidFill>
                  <a:sysClr val="windowText" lastClr="000000">
                    <a:lumMod val="65000"/>
                    <a:lumOff val="35000"/>
                  </a:sysClr>
                </a:solidFill>
              </a:rPr>
              <a:t>(#94 of 100)</a:t>
            </a:r>
            <a:r>
              <a:rPr lang="en-US"/>
              <a:t>: PI History. Started late 2010; first full data year below corresponds</a:t>
            </a:r>
            <a:r>
              <a:rPr lang="en-US" baseline="0"/>
              <a:t> to </a:t>
            </a:r>
            <a:r>
              <a:rPr lang="en-US"/>
              <a:t>2012. Overall l</a:t>
            </a:r>
            <a:r>
              <a:rPr lang="en-US" baseline="0"/>
              <a:t>ifetime PI = 60%.</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DetailOfUASTP94thRank!$A$6:$B$6</c:f>
              <c:strCache>
                <c:ptCount val="2"/>
                <c:pt idx="0">
                  <c:v>94</c:v>
                </c:pt>
                <c:pt idx="1">
                  <c:v>PPL Merck</c:v>
                </c:pt>
              </c:strCache>
            </c:strRef>
          </c:tx>
          <c:spPr>
            <a:ln w="19050" cap="rnd">
              <a:solidFill>
                <a:srgbClr val="7030A0"/>
              </a:solidFill>
              <a:round/>
            </a:ln>
            <a:effectLst/>
          </c:spPr>
          <c:marker>
            <c:symbol val="none"/>
          </c:marker>
          <c:xVal>
            <c:numRef>
              <c:f>DetailOfUASTP94thRank!$W$5:$AI$5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DetailOfUASTP94thRank!$W$6:$AI$6</c:f>
              <c:numCache>
                <c:formatCode>0.00</c:formatCode>
                <c:ptCount val="13"/>
                <c:pt idx="0">
                  <c:v>0.77247008622990099</c:v>
                </c:pt>
                <c:pt idx="1">
                  <c:v>0.71294846804138268</c:v>
                </c:pt>
                <c:pt idx="2">
                  <c:v>0.79054250979642693</c:v>
                </c:pt>
                <c:pt idx="3">
                  <c:v>0.76662617646144082</c:v>
                </c:pt>
                <c:pt idx="4">
                  <c:v>0.33243062401299844</c:v>
                </c:pt>
                <c:pt idx="5">
                  <c:v>0.79616397530294725</c:v>
                </c:pt>
                <c:pt idx="6">
                  <c:v>0.83855695955438936</c:v>
                </c:pt>
                <c:pt idx="7">
                  <c:v>0.74438488176967277</c:v>
                </c:pt>
                <c:pt idx="8">
                  <c:v>0.70598797985396933</c:v>
                </c:pt>
                <c:pt idx="9">
                  <c:v>0.78133801749216447</c:v>
                </c:pt>
                <c:pt idx="10">
                  <c:v>0.76763864045255958</c:v>
                </c:pt>
                <c:pt idx="11">
                  <c:v>0.669084708264993</c:v>
                </c:pt>
                <c:pt idx="12">
                  <c:v>0.60550580677918475</c:v>
                </c:pt>
              </c:numCache>
            </c:numRef>
          </c:yVal>
          <c:smooth val="0"/>
          <c:extLst>
            <c:ext xmlns:c16="http://schemas.microsoft.com/office/drawing/2014/chart" uri="{C3380CC4-5D6E-409C-BE32-E72D297353CC}">
              <c16:uniqueId val="{00000000-87EF-4491-82EB-8957E567E413}"/>
            </c:ext>
          </c:extLst>
        </c:ser>
        <c:dLbls>
          <c:showLegendKey val="0"/>
          <c:showVal val="0"/>
          <c:showCatName val="0"/>
          <c:showSerName val="0"/>
          <c:showPercent val="0"/>
          <c:showBubbleSize val="0"/>
        </c:dLbls>
        <c:axId val="1109670256"/>
        <c:axId val="1109674576"/>
      </c:scatterChart>
      <c:valAx>
        <c:axId val="1109670256"/>
        <c:scaling>
          <c:orientation val="minMax"/>
          <c:max val="13"/>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80" b="1" i="0" u="none" strike="noStrike" kern="1200" spc="0" baseline="0">
                <a:solidFill>
                  <a:sysClr val="windowText" lastClr="000000">
                    <a:lumMod val="65000"/>
                    <a:lumOff val="35000"/>
                  </a:sysClr>
                </a:solidFill>
                <a:latin typeface="+mn-lt"/>
                <a:ea typeface="+mn-ea"/>
                <a:cs typeface="+mn-cs"/>
              </a:defRPr>
            </a:pPr>
            <a:r>
              <a:rPr lang="en-US" sz="1680" b="1" i="0" u="none" strike="noStrike" kern="1200" spc="0" baseline="0">
                <a:solidFill>
                  <a:sysClr val="windowText" lastClr="000000">
                    <a:lumMod val="65000"/>
                    <a:lumOff val="35000"/>
                  </a:sysClr>
                </a:solidFill>
              </a:rPr>
              <a:t>UASTP 1 </a:t>
            </a:r>
            <a:r>
              <a:rPr lang="en-US" sz="1600" b="1" i="0" u="none" strike="noStrike" kern="1200" spc="0" baseline="0">
                <a:solidFill>
                  <a:sysClr val="windowText" lastClr="000000">
                    <a:lumMod val="65000"/>
                    <a:lumOff val="35000"/>
                  </a:sysClr>
                </a:solidFill>
              </a:rPr>
              <a:t>(#94 of 100)</a:t>
            </a:r>
            <a:r>
              <a:rPr lang="en-US" sz="1680" b="1" i="0" u="none" strike="noStrike" kern="1200" spc="0" baseline="0">
                <a:solidFill>
                  <a:sysClr val="windowText" lastClr="000000">
                    <a:lumMod val="65000"/>
                    <a:lumOff val="35000"/>
                  </a:sysClr>
                </a:solidFill>
              </a:rPr>
              <a:t>: PI History w/±3% normal weather range error bars overlaid atop its very large ±28% annual output variability. This 1.6 MWp Solon tracker started in late 2010 with its 1st full data year in 2012. Overall lifetime PI = 60%. Degr 2.2% o</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8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strRef>
              <c:f>DetailOfUASTP94thRank!$B$6:$E$6</c:f>
              <c:strCache>
                <c:ptCount val="4"/>
                <c:pt idx="0">
                  <c:v>PPL Merck</c:v>
                </c:pt>
                <c:pt idx="1">
                  <c:v>23%</c:v>
                </c:pt>
                <c:pt idx="2">
                  <c:v>NJ</c:v>
                </c:pt>
                <c:pt idx="3">
                  <c:v>1.8</c:v>
                </c:pt>
              </c:strCache>
            </c:strRef>
          </c:tx>
          <c:spPr>
            <a:ln w="19050" cap="rnd">
              <a:solidFill>
                <a:srgbClr val="7030A0"/>
              </a:solidFill>
              <a:round/>
            </a:ln>
            <a:effectLst/>
          </c:spPr>
          <c:marker>
            <c:symbol val="none"/>
          </c:marker>
          <c:xVal>
            <c:numRef>
              <c:f>DetailOfUASTP94thRank!$W$5:$AI$5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DetailOfUASTP94thRank!$W$6:$AI$6</c:f>
              <c:numCache>
                <c:formatCode>0.00</c:formatCode>
                <c:ptCount val="13"/>
                <c:pt idx="0">
                  <c:v>0.77247008622990099</c:v>
                </c:pt>
                <c:pt idx="1">
                  <c:v>0.71294846804138268</c:v>
                </c:pt>
                <c:pt idx="2">
                  <c:v>0.79054250979642693</c:v>
                </c:pt>
                <c:pt idx="3">
                  <c:v>0.76662617646144082</c:v>
                </c:pt>
                <c:pt idx="4">
                  <c:v>0.33243062401299844</c:v>
                </c:pt>
                <c:pt idx="5">
                  <c:v>0.79616397530294725</c:v>
                </c:pt>
                <c:pt idx="6">
                  <c:v>0.83855695955438936</c:v>
                </c:pt>
                <c:pt idx="7">
                  <c:v>0.74438488176967277</c:v>
                </c:pt>
                <c:pt idx="8">
                  <c:v>0.70598797985396933</c:v>
                </c:pt>
                <c:pt idx="9">
                  <c:v>0.78133801749216447</c:v>
                </c:pt>
                <c:pt idx="10">
                  <c:v>0.76763864045255958</c:v>
                </c:pt>
                <c:pt idx="11">
                  <c:v>0.669084708264993</c:v>
                </c:pt>
                <c:pt idx="12">
                  <c:v>0.60550580677918475</c:v>
                </c:pt>
              </c:numCache>
            </c:numRef>
          </c:yVal>
          <c:smooth val="0"/>
          <c:extLst>
            <c:ext xmlns:c16="http://schemas.microsoft.com/office/drawing/2014/chart" uri="{C3380CC4-5D6E-409C-BE32-E72D297353CC}">
              <c16:uniqueId val="{00000000-67CC-4561-9524-699BE4231476}"/>
            </c:ext>
          </c:extLst>
        </c:ser>
        <c:ser>
          <c:idx val="3"/>
          <c:order val="1"/>
          <c:tx>
            <c:strRef>
              <c:f>DetailOfUASTP94thRank!$A$6</c:f>
              <c:strCache>
                <c:ptCount val="1"/>
                <c:pt idx="0">
                  <c:v>94</c:v>
                </c:pt>
              </c:strCache>
            </c:strRef>
          </c:tx>
          <c:spPr>
            <a:ln w="19050" cap="rnd">
              <a:solidFill>
                <a:srgbClr val="7030A0"/>
              </a:solidFill>
              <a:prstDash val="dash"/>
              <a:round/>
            </a:ln>
            <a:effectLst/>
          </c:spPr>
          <c:marker>
            <c:symbol val="none"/>
          </c:marker>
          <c:errBars>
            <c:errDir val="y"/>
            <c:errBarType val="both"/>
            <c:errValType val="cust"/>
            <c:noEndCap val="0"/>
            <c:plus>
              <c:numRef>
                <c:f>DetailOfUASTP94thRank!$H$6</c:f>
                <c:numCache>
                  <c:formatCode>General</c:formatCode>
                  <c:ptCount val="1"/>
                  <c:pt idx="0">
                    <c:v>2.5000000000000001E-2</c:v>
                  </c:pt>
                </c:numCache>
              </c:numRef>
            </c:plus>
            <c:minus>
              <c:numRef>
                <c:f>DetailOfUASTP94thRank!$H$6</c:f>
                <c:numCache>
                  <c:formatCode>General</c:formatCode>
                  <c:ptCount val="1"/>
                  <c:pt idx="0">
                    <c:v>2.5000000000000001E-2</c:v>
                  </c:pt>
                </c:numCache>
              </c:numRef>
            </c:minus>
            <c:spPr>
              <a:noFill/>
              <a:ln w="19050" cap="sq" cmpd="sng" algn="ctr">
                <a:solidFill>
                  <a:srgbClr val="7030A0"/>
                </a:solidFill>
                <a:round/>
              </a:ln>
              <a:effectLst/>
            </c:spPr>
          </c:errBars>
          <c:xVal>
            <c:numRef>
              <c:f>DetailOfUASTP94thRank!$AO$5:$BA$5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DetailOfUASTP94thRank!$AO$6:$BA$6</c:f>
              <c:numCache>
                <c:formatCode>0.00</c:formatCode>
                <c:ptCount val="13"/>
                <c:pt idx="0">
                  <c:v>0.72568628398065893</c:v>
                </c:pt>
                <c:pt idx="1">
                  <c:v>0.72234984643470057</c:v>
                </c:pt>
                <c:pt idx="2">
                  <c:v>0.71901340888874221</c:v>
                </c:pt>
                <c:pt idx="3">
                  <c:v>0.71567697134278385</c:v>
                </c:pt>
                <c:pt idx="4">
                  <c:v>0.71234053379682549</c:v>
                </c:pt>
                <c:pt idx="5">
                  <c:v>0.70900409625086713</c:v>
                </c:pt>
                <c:pt idx="6">
                  <c:v>0.81689641133914548</c:v>
                </c:pt>
                <c:pt idx="7">
                  <c:v>0.84851499093427374</c:v>
                </c:pt>
                <c:pt idx="8">
                  <c:v>0.76890481789516518</c:v>
                </c:pt>
                <c:pt idx="9">
                  <c:v>0.68929464485605674</c:v>
                </c:pt>
                <c:pt idx="10">
                  <c:v>0.60968447181694829</c:v>
                </c:pt>
                <c:pt idx="11">
                  <c:v>0.53007429877783974</c:v>
                </c:pt>
                <c:pt idx="12">
                  <c:v>0.45046412573873118</c:v>
                </c:pt>
              </c:numCache>
            </c:numRef>
          </c:yVal>
          <c:smooth val="0"/>
          <c:extLst>
            <c:ext xmlns:c16="http://schemas.microsoft.com/office/drawing/2014/chart" uri="{C3380CC4-5D6E-409C-BE32-E72D297353CC}">
              <c16:uniqueId val="{00000001-67CC-4561-9524-699BE4231476}"/>
            </c:ext>
          </c:extLst>
        </c:ser>
        <c:dLbls>
          <c:showLegendKey val="0"/>
          <c:showVal val="0"/>
          <c:showCatName val="0"/>
          <c:showSerName val="0"/>
          <c:showPercent val="0"/>
          <c:showBubbleSize val="0"/>
        </c:dLbls>
        <c:axId val="1109670256"/>
        <c:axId val="1109674576"/>
      </c:scatterChart>
      <c:valAx>
        <c:axId val="1109670256"/>
        <c:scaling>
          <c:orientation val="minMax"/>
          <c:max val="13"/>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100 oldest U.S.</a:t>
            </a:r>
            <a:r>
              <a:rPr lang="en-US" sz="1800" b="1" baseline="0"/>
              <a:t> PV systems: p10, median, &amp; p90 Perf. Index by yr</a:t>
            </a:r>
          </a:p>
          <a:p>
            <a:pPr>
              <a:defRPr sz="1800" b="1"/>
            </a:pPr>
            <a:r>
              <a:rPr lang="en-US" sz="1800" b="1" baseline="0"/>
              <a:t>Fleet range 0.3 - 60 MW</a:t>
            </a:r>
            <a:r>
              <a:rPr lang="en-US" sz="1800" b="1" baseline="-25000"/>
              <a:t>P</a:t>
            </a:r>
            <a:r>
              <a:rPr lang="en-US" sz="1800" b="1" baseline="0"/>
              <a:t>, avg 6.4 MW</a:t>
            </a:r>
            <a:r>
              <a:rPr lang="en-US" sz="1800" b="1" baseline="-25000"/>
              <a:t>P</a:t>
            </a:r>
            <a:r>
              <a:rPr lang="en-US" sz="1800" b="1" baseline="0"/>
              <a:t> (34% tracking/66% fixed)</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PlantData!$BA$218</c:f>
              <c:strCache>
                <c:ptCount val="1"/>
                <c:pt idx="0">
                  <c:v>p10 (obs.rank)</c:v>
                </c:pt>
              </c:strCache>
            </c:strRef>
          </c:tx>
          <c:spPr>
            <a:ln w="19050" cap="rnd">
              <a:solidFill>
                <a:srgbClr val="00B050"/>
              </a:solidFill>
              <a:prstDash val="sysDot"/>
              <a:round/>
            </a:ln>
            <a:effectLst/>
          </c:spPr>
          <c:marker>
            <c:symbol val="none"/>
          </c:marker>
          <c:trendline>
            <c:spPr>
              <a:ln w="38100" cap="rnd">
                <a:solidFill>
                  <a:srgbClr val="00B050"/>
                </a:solidFill>
                <a:prstDash val="sysDot"/>
              </a:ln>
              <a:effectLst/>
            </c:spPr>
            <c:trendlineType val="linear"/>
            <c:dispRSqr val="0"/>
            <c:dispEq val="1"/>
            <c:trendlineLbl>
              <c:layout>
                <c:manualLayout>
                  <c:x val="-0.11343113486960919"/>
                  <c:y val="1.1846819089017663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PlantData!$BB$215:$BQ$215</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PlantData!$BB$218:$BQ$218</c:f>
              <c:numCache>
                <c:formatCode>0.00</c:formatCode>
                <c:ptCount val="16"/>
                <c:pt idx="0">
                  <c:v>1.0857106194491977</c:v>
                </c:pt>
                <c:pt idx="1">
                  <c:v>1.0799300291524883</c:v>
                </c:pt>
                <c:pt idx="2">
                  <c:v>1.067349572758393</c:v>
                </c:pt>
                <c:pt idx="3">
                  <c:v>1.047964451262418</c:v>
                </c:pt>
                <c:pt idx="4">
                  <c:v>1.0490296572444573</c:v>
                </c:pt>
                <c:pt idx="5">
                  <c:v>1.0337532260328532</c:v>
                </c:pt>
                <c:pt idx="6">
                  <c:v>1.0119079402728264</c:v>
                </c:pt>
                <c:pt idx="7">
                  <c:v>1.0401012893123309</c:v>
                </c:pt>
                <c:pt idx="8">
                  <c:v>1.0079746825300995</c:v>
                </c:pt>
                <c:pt idx="9">
                  <c:v>1.0399042786278361</c:v>
                </c:pt>
                <c:pt idx="10">
                  <c:v>1.0344376242508286</c:v>
                </c:pt>
                <c:pt idx="11">
                  <c:v>1.023699297942676</c:v>
                </c:pt>
                <c:pt idx="12">
                  <c:v>1.0197403666554168</c:v>
                </c:pt>
                <c:pt idx="13">
                  <c:v>1.0178661451052344</c:v>
                </c:pt>
                <c:pt idx="14">
                  <c:v>0.97310165517117186</c:v>
                </c:pt>
                <c:pt idx="15">
                  <c:v>0.88080520018748498</c:v>
                </c:pt>
              </c:numCache>
            </c:numRef>
          </c:yVal>
          <c:smooth val="0"/>
          <c:extLst>
            <c:ext xmlns:c16="http://schemas.microsoft.com/office/drawing/2014/chart" uri="{C3380CC4-5D6E-409C-BE32-E72D297353CC}">
              <c16:uniqueId val="{00000001-DF06-420A-9222-877CAAD68F8F}"/>
            </c:ext>
          </c:extLst>
        </c:ser>
        <c:ser>
          <c:idx val="0"/>
          <c:order val="1"/>
          <c:tx>
            <c:strRef>
              <c:f>PlantData!$BA$109</c:f>
              <c:strCache>
                <c:ptCount val="1"/>
                <c:pt idx="0">
                  <c:v>Median</c:v>
                </c:pt>
              </c:strCache>
            </c:strRef>
          </c:tx>
          <c:spPr>
            <a:ln w="19050" cap="rnd">
              <a:solidFill>
                <a:schemeClr val="accent1"/>
              </a:solidFill>
              <a:prstDash val="sysDot"/>
              <a:round/>
            </a:ln>
            <a:effectLst/>
          </c:spPr>
          <c:marker>
            <c:symbol val="none"/>
          </c:marker>
          <c:trendline>
            <c:spPr>
              <a:ln w="38100" cap="rnd">
                <a:solidFill>
                  <a:schemeClr val="accent1"/>
                </a:solidFill>
                <a:prstDash val="sysDot"/>
              </a:ln>
              <a:effectLst/>
            </c:spPr>
            <c:trendlineType val="linear"/>
            <c:dispRSqr val="0"/>
            <c:dispEq val="1"/>
            <c:trendlineLbl>
              <c:layout>
                <c:manualLayout>
                  <c:x val="-0.12223847431915047"/>
                  <c:y val="-1.0367340424871105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PlantData!$BB$215:$BQ$215</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PlantData!$BB$109:$BQ$109</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0"/>
          <c:extLst>
            <c:ext xmlns:c16="http://schemas.microsoft.com/office/drawing/2014/chart" uri="{C3380CC4-5D6E-409C-BE32-E72D297353CC}">
              <c16:uniqueId val="{00000002-DF06-420A-9222-877CAAD68F8F}"/>
            </c:ext>
          </c:extLst>
        </c:ser>
        <c:ser>
          <c:idx val="1"/>
          <c:order val="2"/>
          <c:tx>
            <c:strRef>
              <c:f>PlantData!$BA$113</c:f>
              <c:strCache>
                <c:ptCount val="1"/>
                <c:pt idx="0">
                  <c:v>p90 (obs.rank)</c:v>
                </c:pt>
              </c:strCache>
            </c:strRef>
          </c:tx>
          <c:spPr>
            <a:ln w="19050" cap="rnd">
              <a:solidFill>
                <a:srgbClr val="C00000"/>
              </a:solidFill>
              <a:prstDash val="sysDot"/>
              <a:round/>
            </a:ln>
            <a:effectLst/>
          </c:spPr>
          <c:marker>
            <c:symbol val="none"/>
          </c:marker>
          <c:trendline>
            <c:spPr>
              <a:ln w="38100" cap="rnd">
                <a:solidFill>
                  <a:srgbClr val="C00000"/>
                </a:solidFill>
                <a:prstDash val="sysDot"/>
              </a:ln>
              <a:effectLst/>
            </c:spPr>
            <c:trendlineType val="linear"/>
            <c:dispRSqr val="0"/>
            <c:dispEq val="1"/>
            <c:trendlineLbl>
              <c:layout>
                <c:manualLayout>
                  <c:x val="-0.15758526330997616"/>
                  <c:y val="-2.2291247216918976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PlantData!$BB$215:$BQ$215</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0.73858934353616212</c:v>
                </c:pt>
                <c:pt idx="1">
                  <c:v>0.70760804400333988</c:v>
                </c:pt>
                <c:pt idx="2">
                  <c:v>0.7492170473836266</c:v>
                </c:pt>
                <c:pt idx="3">
                  <c:v>0.77178042150548021</c:v>
                </c:pt>
                <c:pt idx="4">
                  <c:v>0.70461202905769504</c:v>
                </c:pt>
                <c:pt idx="5">
                  <c:v>0.76136818881943491</c:v>
                </c:pt>
                <c:pt idx="6">
                  <c:v>0.71399938901986071</c:v>
                </c:pt>
                <c:pt idx="7">
                  <c:v>0.63156024539441125</c:v>
                </c:pt>
                <c:pt idx="8">
                  <c:v>0.56151689265538174</c:v>
                </c:pt>
                <c:pt idx="9">
                  <c:v>0.48225330819182721</c:v>
                </c:pt>
                <c:pt idx="10">
                  <c:v>0.53513038371745969</c:v>
                </c:pt>
                <c:pt idx="11">
                  <c:v>0.52123361702307602</c:v>
                </c:pt>
                <c:pt idx="12">
                  <c:v>0.48074780230929676</c:v>
                </c:pt>
                <c:pt idx="13">
                  <c:v>0.13727188425640097</c:v>
                </c:pt>
                <c:pt idx="14">
                  <c:v>0.28768143828453463</c:v>
                </c:pt>
                <c:pt idx="15">
                  <c:v>0.40219352703657463</c:v>
                </c:pt>
              </c:numCache>
            </c:numRef>
          </c:yVal>
          <c:smooth val="0"/>
          <c:extLst>
            <c:ext xmlns:c16="http://schemas.microsoft.com/office/drawing/2014/chart" uri="{C3380CC4-5D6E-409C-BE32-E72D297353CC}">
              <c16:uniqueId val="{00000000-DF06-420A-9222-877CAAD68F8F}"/>
            </c:ext>
          </c:extLst>
        </c:ser>
        <c:dLbls>
          <c:showLegendKey val="0"/>
          <c:showVal val="0"/>
          <c:showCatName val="0"/>
          <c:showSerName val="0"/>
          <c:showPercent val="0"/>
          <c:showBubbleSize val="0"/>
        </c:dLbls>
        <c:axId val="352695040"/>
        <c:axId val="352699360"/>
      </c:scatterChart>
      <c:valAx>
        <c:axId val="352695040"/>
        <c:scaling>
          <c:orientation val="minMax"/>
          <c:max val="30"/>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Year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52699360"/>
        <c:crosses val="autoZero"/>
        <c:crossBetween val="midCat"/>
        <c:majorUnit val="1"/>
      </c:valAx>
      <c:valAx>
        <c:axId val="352699360"/>
        <c:scaling>
          <c:orientation val="minMax"/>
          <c:max val="1.100000000000000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52695040"/>
        <c:crosses val="autoZero"/>
        <c:crossBetween val="midCat"/>
        <c:majorUnit val="0.1"/>
        <c:minorUnit val="5.000000000000001E-2"/>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100 oldest U.S.</a:t>
            </a:r>
            <a:r>
              <a:rPr lang="en-US" sz="1800" b="1" baseline="0"/>
              <a:t> PV systems: p10, median, &amp; p90 Perf. Index by yr</a:t>
            </a:r>
          </a:p>
          <a:p>
            <a:pPr>
              <a:defRPr sz="1800" b="1"/>
            </a:pPr>
            <a:r>
              <a:rPr lang="en-US" sz="1800" b="1" baseline="0"/>
              <a:t>Fleet range 0.3 - 60 MW</a:t>
            </a:r>
            <a:r>
              <a:rPr lang="en-US" sz="1800" b="1" baseline="-25000"/>
              <a:t>P</a:t>
            </a:r>
            <a:r>
              <a:rPr lang="en-US" sz="1800" b="1" baseline="0"/>
              <a:t>, avg 6.4 MW</a:t>
            </a:r>
            <a:r>
              <a:rPr lang="en-US" sz="1800" b="1" baseline="-25000"/>
              <a:t>P</a:t>
            </a:r>
            <a:r>
              <a:rPr lang="en-US" sz="1800" b="1" baseline="0"/>
              <a:t> (34% tracking/66% fixed)</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PlantData!$BA$218</c:f>
              <c:strCache>
                <c:ptCount val="1"/>
                <c:pt idx="0">
                  <c:v>p10 (obs.rank)</c:v>
                </c:pt>
              </c:strCache>
            </c:strRef>
          </c:tx>
          <c:spPr>
            <a:ln w="19050" cap="rnd">
              <a:solidFill>
                <a:srgbClr val="00B050"/>
              </a:solidFill>
              <a:prstDash val="sysDot"/>
              <a:round/>
            </a:ln>
            <a:effectLst/>
          </c:spPr>
          <c:marker>
            <c:symbol val="none"/>
          </c:marker>
          <c:trendline>
            <c:spPr>
              <a:ln w="38100" cap="rnd">
                <a:solidFill>
                  <a:srgbClr val="00B050"/>
                </a:solidFill>
                <a:prstDash val="sysDot"/>
              </a:ln>
              <a:effectLst/>
            </c:spPr>
            <c:trendlineType val="linear"/>
            <c:dispRSqr val="0"/>
            <c:dispEq val="1"/>
            <c:trendlineLbl>
              <c:layout>
                <c:manualLayout>
                  <c:x val="-0.24978990103301307"/>
                  <c:y val="-8.7268217265638645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PlantData!$BB$215:$BQ$215</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PlantData!$BB$218:$BQ$218</c:f>
              <c:numCache>
                <c:formatCode>0.00</c:formatCode>
                <c:ptCount val="16"/>
                <c:pt idx="0">
                  <c:v>1.0857106194491977</c:v>
                </c:pt>
                <c:pt idx="1">
                  <c:v>1.0799300291524883</c:v>
                </c:pt>
                <c:pt idx="2">
                  <c:v>1.067349572758393</c:v>
                </c:pt>
                <c:pt idx="3">
                  <c:v>1.047964451262418</c:v>
                </c:pt>
                <c:pt idx="4">
                  <c:v>1.0490296572444573</c:v>
                </c:pt>
                <c:pt idx="5">
                  <c:v>1.0337532260328532</c:v>
                </c:pt>
                <c:pt idx="6">
                  <c:v>1.0119079402728264</c:v>
                </c:pt>
                <c:pt idx="7">
                  <c:v>1.0401012893123309</c:v>
                </c:pt>
                <c:pt idx="8">
                  <c:v>1.0079746825300995</c:v>
                </c:pt>
                <c:pt idx="9">
                  <c:v>1.0399042786278361</c:v>
                </c:pt>
                <c:pt idx="10">
                  <c:v>1.0344376242508286</c:v>
                </c:pt>
                <c:pt idx="11">
                  <c:v>1.023699297942676</c:v>
                </c:pt>
                <c:pt idx="12">
                  <c:v>1.0197403666554168</c:v>
                </c:pt>
                <c:pt idx="13">
                  <c:v>1.0178661451052344</c:v>
                </c:pt>
                <c:pt idx="14">
                  <c:v>0.97310165517117186</c:v>
                </c:pt>
                <c:pt idx="15">
                  <c:v>0.88080520018748498</c:v>
                </c:pt>
              </c:numCache>
            </c:numRef>
          </c:yVal>
          <c:smooth val="0"/>
          <c:extLst>
            <c:ext xmlns:c16="http://schemas.microsoft.com/office/drawing/2014/chart" uri="{C3380CC4-5D6E-409C-BE32-E72D297353CC}">
              <c16:uniqueId val="{00000001-55A0-4554-8E49-F48A23085F48}"/>
            </c:ext>
          </c:extLst>
        </c:ser>
        <c:ser>
          <c:idx val="0"/>
          <c:order val="1"/>
          <c:tx>
            <c:strRef>
              <c:f>PlantData!$BA$109</c:f>
              <c:strCache>
                <c:ptCount val="1"/>
                <c:pt idx="0">
                  <c:v>Median</c:v>
                </c:pt>
              </c:strCache>
            </c:strRef>
          </c:tx>
          <c:spPr>
            <a:ln w="19050" cap="rnd">
              <a:solidFill>
                <a:schemeClr val="accent1"/>
              </a:solidFill>
              <a:prstDash val="sysDot"/>
              <a:round/>
            </a:ln>
            <a:effectLst/>
          </c:spPr>
          <c:marker>
            <c:symbol val="none"/>
          </c:marker>
          <c:trendline>
            <c:spPr>
              <a:ln w="38100" cap="rnd">
                <a:solidFill>
                  <a:schemeClr val="accent1"/>
                </a:solidFill>
                <a:prstDash val="sysDot"/>
              </a:ln>
              <a:effectLst/>
            </c:spPr>
            <c:trendlineType val="linear"/>
            <c:dispRSqr val="0"/>
            <c:dispEq val="1"/>
            <c:trendlineLbl>
              <c:layout>
                <c:manualLayout>
                  <c:x val="-0.17933118543668281"/>
                  <c:y val="-0.14791473781500639"/>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PlantData!$BB$215:$BQ$215</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PlantData!$BB$109:$BQ$109</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0"/>
          <c:extLst>
            <c:ext xmlns:c16="http://schemas.microsoft.com/office/drawing/2014/chart" uri="{C3380CC4-5D6E-409C-BE32-E72D297353CC}">
              <c16:uniqueId val="{00000003-55A0-4554-8E49-F48A23085F48}"/>
            </c:ext>
          </c:extLst>
        </c:ser>
        <c:ser>
          <c:idx val="1"/>
          <c:order val="2"/>
          <c:tx>
            <c:strRef>
              <c:f>PlantData!$BA$113</c:f>
              <c:strCache>
                <c:ptCount val="1"/>
                <c:pt idx="0">
                  <c:v>p90 (obs.rank)</c:v>
                </c:pt>
              </c:strCache>
            </c:strRef>
          </c:tx>
          <c:spPr>
            <a:ln w="19050" cap="rnd">
              <a:solidFill>
                <a:srgbClr val="C00000"/>
              </a:solidFill>
              <a:prstDash val="sysDot"/>
              <a:round/>
            </a:ln>
            <a:effectLst/>
          </c:spPr>
          <c:marker>
            <c:symbol val="none"/>
          </c:marker>
          <c:trendline>
            <c:spPr>
              <a:ln w="38100" cap="rnd">
                <a:solidFill>
                  <a:srgbClr val="C00000"/>
                </a:solidFill>
                <a:prstDash val="sysDot"/>
              </a:ln>
              <a:effectLst/>
            </c:spPr>
            <c:trendlineType val="linear"/>
            <c:dispRSqr val="0"/>
            <c:dispEq val="1"/>
            <c:trendlineLbl>
              <c:layout>
                <c:manualLayout>
                  <c:x val="-0.38348531387704976"/>
                  <c:y val="-0.16995242382691708"/>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PlantData!$BB$215:$BQ$215</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0.73858934353616212</c:v>
                </c:pt>
                <c:pt idx="1">
                  <c:v>0.70760804400333988</c:v>
                </c:pt>
                <c:pt idx="2">
                  <c:v>0.7492170473836266</c:v>
                </c:pt>
                <c:pt idx="3">
                  <c:v>0.77178042150548021</c:v>
                </c:pt>
                <c:pt idx="4">
                  <c:v>0.70461202905769504</c:v>
                </c:pt>
                <c:pt idx="5">
                  <c:v>0.76136818881943491</c:v>
                </c:pt>
                <c:pt idx="6">
                  <c:v>0.71399938901986071</c:v>
                </c:pt>
                <c:pt idx="7">
                  <c:v>0.63156024539441125</c:v>
                </c:pt>
                <c:pt idx="8">
                  <c:v>0.56151689265538174</c:v>
                </c:pt>
                <c:pt idx="9">
                  <c:v>0.48225330819182721</c:v>
                </c:pt>
                <c:pt idx="10">
                  <c:v>0.53513038371745969</c:v>
                </c:pt>
                <c:pt idx="11">
                  <c:v>0.52123361702307602</c:v>
                </c:pt>
                <c:pt idx="12">
                  <c:v>0.48074780230929676</c:v>
                </c:pt>
                <c:pt idx="13">
                  <c:v>0.13727188425640097</c:v>
                </c:pt>
                <c:pt idx="14">
                  <c:v>0.28768143828453463</c:v>
                </c:pt>
                <c:pt idx="15">
                  <c:v>0.40219352703657463</c:v>
                </c:pt>
              </c:numCache>
            </c:numRef>
          </c:yVal>
          <c:smooth val="0"/>
          <c:extLst>
            <c:ext xmlns:c16="http://schemas.microsoft.com/office/drawing/2014/chart" uri="{C3380CC4-5D6E-409C-BE32-E72D297353CC}">
              <c16:uniqueId val="{00000005-55A0-4554-8E49-F48A23085F48}"/>
            </c:ext>
          </c:extLst>
        </c:ser>
        <c:dLbls>
          <c:showLegendKey val="0"/>
          <c:showVal val="0"/>
          <c:showCatName val="0"/>
          <c:showSerName val="0"/>
          <c:showPercent val="0"/>
          <c:showBubbleSize val="0"/>
        </c:dLbls>
        <c:axId val="352695040"/>
        <c:axId val="352699360"/>
      </c:scatterChart>
      <c:valAx>
        <c:axId val="352695040"/>
        <c:scaling>
          <c:orientation val="minMax"/>
          <c:max val="20"/>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Year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52699360"/>
        <c:crosses val="autoZero"/>
        <c:crossBetween val="midCat"/>
        <c:majorUnit val="1"/>
      </c:valAx>
      <c:valAx>
        <c:axId val="352699360"/>
        <c:scaling>
          <c:orientation val="minMax"/>
          <c:max val="1.100000000000000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52695040"/>
        <c:crosses val="autoZero"/>
        <c:crossBetween val="midCat"/>
        <c:majorUnit val="0.1"/>
        <c:minorUnit val="5.000000000000001E-2"/>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U.S.'s </a:t>
            </a:r>
            <a:r>
              <a:rPr lang="en-US" sz="2000" b="1" baseline="0"/>
              <a:t>100 oldest PV systems: 2-period p90/p50 downside ratio.</a:t>
            </a:r>
          </a:p>
          <a:p>
            <a:pPr>
              <a:defRPr sz="2000" b="1"/>
            </a:pPr>
            <a:r>
              <a:rPr lang="en-US" sz="2000" b="1" baseline="0"/>
              <a:t>The ratio is initially </a:t>
            </a:r>
            <a:r>
              <a:rPr lang="en-US" sz="2000" b="1" baseline="0">
                <a:latin typeface="Times New Roman" panose="02020603050405020304" pitchFamily="18" charset="0"/>
                <a:cs typeface="Times New Roman" panose="02020603050405020304" pitchFamily="18" charset="0"/>
              </a:rPr>
              <a:t>≈</a:t>
            </a:r>
            <a:r>
              <a:rPr lang="en-US" sz="2000" b="1" baseline="0"/>
              <a:t>0.73, dropping </a:t>
            </a:r>
            <a:r>
              <a:rPr lang="en-US" sz="2000" b="1" baseline="0">
                <a:latin typeface="Times New Roman" panose="02020603050405020304" pitchFamily="18" charset="0"/>
                <a:cs typeface="Times New Roman" panose="02020603050405020304" pitchFamily="18" charset="0"/>
              </a:rPr>
              <a:t>≈</a:t>
            </a:r>
            <a:r>
              <a:rPr lang="en-US" sz="2000" b="1" baseline="0"/>
              <a:t>6%/year after Year 7.</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7"/>
          <c:order val="1"/>
          <c:tx>
            <c:v>ratio1_7</c:v>
          </c:tx>
          <c:spPr>
            <a:ln w="19050" cap="rnd">
              <a:solidFill>
                <a:schemeClr val="accent2">
                  <a:lumMod val="60000"/>
                </a:schemeClr>
              </a:solidFill>
              <a:round/>
            </a:ln>
            <a:effectLst/>
          </c:spPr>
          <c:marker>
            <c:symbol val="none"/>
          </c:marker>
          <c:trendline>
            <c:spPr>
              <a:ln w="19050" cap="rnd">
                <a:solidFill>
                  <a:schemeClr val="accent2">
                    <a:lumMod val="60000"/>
                  </a:schemeClr>
                </a:solidFill>
                <a:prstDash val="solid"/>
              </a:ln>
              <a:effectLst/>
            </c:spPr>
            <c:trendlineType val="linear"/>
            <c:dispRSqr val="0"/>
            <c:dispEq val="1"/>
            <c:trendlineLbl>
              <c:layout>
                <c:manualLayout>
                  <c:x val="-1.8826402198258943E-2"/>
                  <c:y val="-6.4333838361920623E-2"/>
                </c:manualLayout>
              </c:layout>
              <c:numFmt formatCode="General" sourceLinked="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PlantData!$BB$6:$BH$6</c:f>
              <c:numCache>
                <c:formatCode>General</c:formatCode>
                <c:ptCount val="7"/>
                <c:pt idx="0">
                  <c:v>1</c:v>
                </c:pt>
                <c:pt idx="1">
                  <c:v>2</c:v>
                </c:pt>
                <c:pt idx="2">
                  <c:v>3</c:v>
                </c:pt>
                <c:pt idx="3">
                  <c:v>4</c:v>
                </c:pt>
                <c:pt idx="4">
                  <c:v>5</c:v>
                </c:pt>
                <c:pt idx="5">
                  <c:v>6</c:v>
                </c:pt>
                <c:pt idx="6">
                  <c:v>7</c:v>
                </c:pt>
              </c:numCache>
            </c:numRef>
          </c:xVal>
          <c:yVal>
            <c:numRef>
              <c:f>PlantData!$BB$107:$BH$107</c:f>
              <c:numCache>
                <c:formatCode>0.00</c:formatCode>
                <c:ptCount val="7"/>
                <c:pt idx="0">
                  <c:v>0.7858323390892693</c:v>
                </c:pt>
                <c:pt idx="1">
                  <c:v>0.71522245836197529</c:v>
                </c:pt>
                <c:pt idx="2">
                  <c:v>0.70060100207429521</c:v>
                </c:pt>
                <c:pt idx="3">
                  <c:v>0.7296483919911847</c:v>
                </c:pt>
                <c:pt idx="4">
                  <c:v>0.71191527792413223</c:v>
                </c:pt>
                <c:pt idx="5">
                  <c:v>0.72339700778988514</c:v>
                </c:pt>
                <c:pt idx="6">
                  <c:v>0.76297572369277966</c:v>
                </c:pt>
              </c:numCache>
            </c:numRef>
          </c:yVal>
          <c:smooth val="1"/>
          <c:extLst>
            <c:ext xmlns:c16="http://schemas.microsoft.com/office/drawing/2014/chart" uri="{C3380CC4-5D6E-409C-BE32-E72D297353CC}">
              <c16:uniqueId val="{0000000C-A80D-4666-A7EE-CA479B8216BA}"/>
            </c:ext>
          </c:extLst>
        </c:ser>
        <c:ser>
          <c:idx val="8"/>
          <c:order val="2"/>
          <c:tx>
            <c:v>ratio7_16</c:v>
          </c:tx>
          <c:spPr>
            <a:ln w="19050" cap="rnd">
              <a:solidFill>
                <a:schemeClr val="accent2">
                  <a:lumMod val="50000"/>
                </a:schemeClr>
              </a:solidFill>
              <a:round/>
            </a:ln>
            <a:effectLst/>
          </c:spPr>
          <c:marker>
            <c:symbol val="none"/>
          </c:marker>
          <c:trendline>
            <c:spPr>
              <a:ln w="19050" cap="rnd">
                <a:solidFill>
                  <a:srgbClr val="C00000"/>
                </a:solidFill>
                <a:prstDash val="solid"/>
              </a:ln>
              <a:effectLst/>
            </c:spPr>
            <c:trendlineType val="linear"/>
            <c:dispRSqr val="0"/>
            <c:dispEq val="1"/>
            <c:trendlineLbl>
              <c:layout>
                <c:manualLayout>
                  <c:x val="-0.20535190615835777"/>
                  <c:y val="-4.5770500830348462E-2"/>
                </c:manualLayout>
              </c:layout>
              <c:numFmt formatCode="General" sourceLinked="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PlantData!$BH$6:$BQ$6</c:f>
              <c:numCache>
                <c:formatCode>General</c:formatCode>
                <c:ptCount val="10"/>
                <c:pt idx="0">
                  <c:v>7</c:v>
                </c:pt>
                <c:pt idx="1">
                  <c:v>8</c:v>
                </c:pt>
                <c:pt idx="2">
                  <c:v>9</c:v>
                </c:pt>
                <c:pt idx="3">
                  <c:v>10</c:v>
                </c:pt>
                <c:pt idx="4">
                  <c:v>11</c:v>
                </c:pt>
                <c:pt idx="5">
                  <c:v>12</c:v>
                </c:pt>
                <c:pt idx="6">
                  <c:v>13</c:v>
                </c:pt>
                <c:pt idx="7">
                  <c:v>14</c:v>
                </c:pt>
                <c:pt idx="8">
                  <c:v>15</c:v>
                </c:pt>
                <c:pt idx="9">
                  <c:v>16</c:v>
                </c:pt>
              </c:numCache>
            </c:numRef>
          </c:xVal>
          <c:yVal>
            <c:numRef>
              <c:f>PlantData!$BH$107:$BQ$107</c:f>
              <c:numCache>
                <c:formatCode>0.00</c:formatCode>
                <c:ptCount val="10"/>
                <c:pt idx="0">
                  <c:v>0.76297572369277966</c:v>
                </c:pt>
                <c:pt idx="1">
                  <c:v>0.63375544972798969</c:v>
                </c:pt>
                <c:pt idx="2">
                  <c:v>0.56442086747925069</c:v>
                </c:pt>
                <c:pt idx="3">
                  <c:v>0.58641202879506416</c:v>
                </c:pt>
                <c:pt idx="4">
                  <c:v>0.6328812359340128</c:v>
                </c:pt>
                <c:pt idx="5">
                  <c:v>0.59315627663282389</c:v>
                </c:pt>
                <c:pt idx="6">
                  <c:v>0.56069869452200105</c:v>
                </c:pt>
                <c:pt idx="7">
                  <c:v>0.31418555036687712</c:v>
                </c:pt>
                <c:pt idx="8">
                  <c:v>0.39907638797045358</c:v>
                </c:pt>
                <c:pt idx="9">
                  <c:v>0.4915993644546347</c:v>
                </c:pt>
              </c:numCache>
            </c:numRef>
          </c:yVal>
          <c:smooth val="1"/>
          <c:extLst>
            <c:ext xmlns:c16="http://schemas.microsoft.com/office/drawing/2014/chart" uri="{C3380CC4-5D6E-409C-BE32-E72D297353CC}">
              <c16:uniqueId val="{0000000E-A80D-4666-A7EE-CA479B8216BA}"/>
            </c:ext>
          </c:extLst>
        </c:ser>
        <c:dLbls>
          <c:showLegendKey val="0"/>
          <c:showVal val="0"/>
          <c:showCatName val="0"/>
          <c:showSerName val="0"/>
          <c:showPercent val="0"/>
          <c:showBubbleSize val="0"/>
        </c:dLbls>
        <c:axId val="883362447"/>
        <c:axId val="883348527"/>
        <c:extLst>
          <c:ext xmlns:c15="http://schemas.microsoft.com/office/drawing/2012/chart" uri="{02D57815-91ED-43cb-92C2-25804820EDAC}">
            <c15:filteredScatterSeries>
              <c15:ser>
                <c:idx val="6"/>
                <c:order val="0"/>
                <c:tx>
                  <c:v>p90/p50 ratio</c:v>
                </c:tx>
                <c:spPr>
                  <a:ln w="6350" cap="rnd">
                    <a:solidFill>
                      <a:srgbClr val="C00000"/>
                    </a:solidFill>
                    <a:round/>
                  </a:ln>
                  <a:effectLst/>
                </c:spPr>
                <c:marker>
                  <c:symbol val="none"/>
                </c:marker>
                <c:xVal>
                  <c:numRef>
                    <c:extLst>
                      <c:ext uri="{02D57815-91ED-43cb-92C2-25804820EDAC}">
                        <c15:formulaRef>
                          <c15:sqref>PlantData!$BB$6:$BQ$6</c15:sqref>
                        </c15:formulaRef>
                      </c:ext>
                    </c:extLst>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extLst>
                      <c:ext uri="{02D57815-91ED-43cb-92C2-25804820EDAC}">
                        <c15:formulaRef>
                          <c15:sqref>PlantData!$BB$107:$BQ$107</c15:sqref>
                        </c15:formulaRef>
                      </c:ext>
                    </c:extLst>
                    <c:numCache>
                      <c:formatCode>0.00</c:formatCode>
                      <c:ptCount val="16"/>
                      <c:pt idx="0">
                        <c:v>0.7858323390892693</c:v>
                      </c:pt>
                      <c:pt idx="1">
                        <c:v>0.71522245836197529</c:v>
                      </c:pt>
                      <c:pt idx="2">
                        <c:v>0.70060100207429521</c:v>
                      </c:pt>
                      <c:pt idx="3">
                        <c:v>0.7296483919911847</c:v>
                      </c:pt>
                      <c:pt idx="4">
                        <c:v>0.71191527792413223</c:v>
                      </c:pt>
                      <c:pt idx="5">
                        <c:v>0.72339700778988514</c:v>
                      </c:pt>
                      <c:pt idx="6">
                        <c:v>0.76297572369277966</c:v>
                      </c:pt>
                      <c:pt idx="7">
                        <c:v>0.63375544972798969</c:v>
                      </c:pt>
                      <c:pt idx="8">
                        <c:v>0.56442086747925069</c:v>
                      </c:pt>
                      <c:pt idx="9">
                        <c:v>0.58641202879506416</c:v>
                      </c:pt>
                      <c:pt idx="10">
                        <c:v>0.6328812359340128</c:v>
                      </c:pt>
                      <c:pt idx="11">
                        <c:v>0.59315627663282389</c:v>
                      </c:pt>
                      <c:pt idx="12">
                        <c:v>0.56069869452200105</c:v>
                      </c:pt>
                      <c:pt idx="13">
                        <c:v>0.31418555036687712</c:v>
                      </c:pt>
                      <c:pt idx="14">
                        <c:v>0.39907638797045358</c:v>
                      </c:pt>
                      <c:pt idx="15">
                        <c:v>0.4915993644546347</c:v>
                      </c:pt>
                    </c:numCache>
                  </c:numRef>
                </c:yVal>
                <c:smooth val="1"/>
                <c:extLst>
                  <c:ext xmlns:c16="http://schemas.microsoft.com/office/drawing/2014/chart" uri="{C3380CC4-5D6E-409C-BE32-E72D297353CC}">
                    <c16:uniqueId val="{0000000A-A80D-4666-A7EE-CA479B8216BA}"/>
                  </c:ext>
                </c:extLst>
              </c15:ser>
            </c15:filteredScatterSeries>
          </c:ext>
        </c:extLst>
      </c:scatterChart>
      <c:valAx>
        <c:axId val="883362447"/>
        <c:scaling>
          <c:orientation val="minMax"/>
          <c:max val="16"/>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Year of operation</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83348527"/>
        <c:crosses val="autoZero"/>
        <c:crossBetween val="midCat"/>
        <c:majorUnit val="1"/>
      </c:valAx>
      <c:valAx>
        <c:axId val="883348527"/>
        <c:scaling>
          <c:orientation val="minMax"/>
          <c:max val="1"/>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p90/p50 ratio</a:t>
                </a:r>
              </a:p>
              <a:p>
                <a:pPr>
                  <a:defRPr sz="2000" b="1"/>
                </a:pPr>
                <a:endParaRPr lang="en-US" sz="2000" b="1"/>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83362447"/>
        <c:crosses val="autoZero"/>
        <c:crossBetween val="midCat"/>
      </c:valAx>
      <c:spPr>
        <a:noFill/>
        <a:ln>
          <a:noFill/>
        </a:ln>
        <a:effectLst/>
      </c:spPr>
    </c:plotArea>
    <c:legend>
      <c:legendPos val="b"/>
      <c:legendEntry>
        <c:idx val="0"/>
        <c:delete val="1"/>
      </c:legendEntry>
      <c:legendEntry>
        <c:idx val="1"/>
        <c:delete val="1"/>
      </c:legendEntry>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U.S.'s oldest</a:t>
            </a:r>
            <a:r>
              <a:rPr lang="en-US" sz="1800" b="1" baseline="0"/>
              <a:t> 100 PV systems: median (p50) and p90 ann. PI trends</a:t>
            </a:r>
          </a:p>
          <a:p>
            <a:pPr>
              <a:defRPr sz="1800" b="1"/>
            </a:pPr>
            <a:r>
              <a:rPr lang="en-US" sz="1800" b="1" baseline="0"/>
              <a:t>p50 degr. = 0.7% 1st 7 yrs, then 4.4%</a:t>
            </a:r>
          </a:p>
          <a:p>
            <a:pPr>
              <a:defRPr sz="1800" b="1"/>
            </a:pPr>
            <a:r>
              <a:rPr lang="en-US" sz="1800" b="1" baseline="0"/>
              <a:t>p90 degr. = 1.1% 1st 7 yrs, then 10.2%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PlantData!$BA$4</c:f>
              <c:strCache>
                <c:ptCount val="1"/>
                <c:pt idx="0">
                  <c:v>p50</c:v>
                </c:pt>
              </c:strCache>
            </c:strRef>
          </c:tx>
          <c:spPr>
            <a:ln w="19050" cap="rnd">
              <a:noFill/>
              <a:round/>
            </a:ln>
            <a:effectLst/>
          </c:spPr>
          <c:marker>
            <c:symbol val="circle"/>
            <c:size val="5"/>
            <c:spPr>
              <a:solidFill>
                <a:schemeClr val="accent1"/>
              </a:solidFill>
              <a:ln w="9525">
                <a:solidFill>
                  <a:schemeClr val="accent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0"/>
          <c:extLst>
            <c:ext xmlns:c16="http://schemas.microsoft.com/office/drawing/2014/chart" uri="{C3380CC4-5D6E-409C-BE32-E72D297353CC}">
              <c16:uniqueId val="{00000000-3FCF-46D2-92B2-C2EC96BB27F5}"/>
            </c:ext>
          </c:extLst>
        </c:ser>
        <c:ser>
          <c:idx val="1"/>
          <c:order val="1"/>
          <c:tx>
            <c:strRef>
              <c:f>PlantData!$BA$2</c:f>
              <c:strCache>
                <c:ptCount val="1"/>
                <c:pt idx="0">
                  <c:v>p90</c:v>
                </c:pt>
              </c:strCache>
            </c:strRef>
          </c:tx>
          <c:spPr>
            <a:ln w="25400" cap="rnd">
              <a:noFill/>
              <a:round/>
            </a:ln>
            <a:effectLst/>
          </c:spPr>
          <c:marker>
            <c:symbol val="circle"/>
            <c:size val="5"/>
            <c:spPr>
              <a:solidFill>
                <a:schemeClr val="accent2"/>
              </a:solidFill>
              <a:ln w="9525">
                <a:solidFill>
                  <a:schemeClr val="accent2"/>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0.75089982994610061</c:v>
                </c:pt>
                <c:pt idx="1">
                  <c:v>0.69731657041896011</c:v>
                </c:pt>
                <c:pt idx="2">
                  <c:v>0.67702937701064758</c:v>
                </c:pt>
                <c:pt idx="3">
                  <c:v>0.69665630738710349</c:v>
                </c:pt>
                <c:pt idx="4">
                  <c:v>0.6757682994044617</c:v>
                </c:pt>
                <c:pt idx="5">
                  <c:v>0.67349319544597153</c:v>
                </c:pt>
                <c:pt idx="6">
                  <c:v>0.6987243105368437</c:v>
                </c:pt>
                <c:pt idx="7">
                  <c:v>0.57219693528298488</c:v>
                </c:pt>
                <c:pt idx="8">
                  <c:v>0.49377774688560766</c:v>
                </c:pt>
                <c:pt idx="9">
                  <c:v>0.50667682262689961</c:v>
                </c:pt>
                <c:pt idx="10">
                  <c:v>0.54405795730211437</c:v>
                </c:pt>
                <c:pt idx="11">
                  <c:v>0.48452895719234063</c:v>
                </c:pt>
                <c:pt idx="12">
                  <c:v>0.43411526807861434</c:v>
                </c:pt>
                <c:pt idx="13">
                  <c:v>0.22955766805195427</c:v>
                </c:pt>
                <c:pt idx="14">
                  <c:v>0.24583535712504645</c:v>
                </c:pt>
                <c:pt idx="15">
                  <c:v>0.29769870360831013</c:v>
                </c:pt>
              </c:numCache>
            </c:numRef>
          </c:yVal>
          <c:smooth val="0"/>
          <c:extLst>
            <c:ext xmlns:c16="http://schemas.microsoft.com/office/drawing/2014/chart" uri="{C3380CC4-5D6E-409C-BE32-E72D297353CC}">
              <c16:uniqueId val="{00000001-3FCF-46D2-92B2-C2EC96BB27F5}"/>
            </c:ext>
          </c:extLst>
        </c:ser>
        <c:ser>
          <c:idx val="2"/>
          <c:order val="2"/>
          <c:tx>
            <c:v>1st 7 yrs</c:v>
          </c:tx>
          <c:spPr>
            <a:ln w="25400" cap="rnd">
              <a:noFill/>
              <a:round/>
            </a:ln>
            <a:effectLst/>
          </c:spPr>
          <c:marker>
            <c:symbol val="circle"/>
            <c:size val="5"/>
            <c:spPr>
              <a:noFill/>
              <a:ln w="9525">
                <a:solidFill>
                  <a:schemeClr val="tx1"/>
                </a:solidFill>
              </a:ln>
              <a:effectLst/>
            </c:spPr>
          </c:marker>
          <c:trendline>
            <c:spPr>
              <a:ln w="38100" cap="rnd">
                <a:solidFill>
                  <a:schemeClr val="tx1"/>
                </a:solidFill>
                <a:prstDash val="sysDot"/>
              </a:ln>
              <a:effectLst/>
            </c:spPr>
            <c:trendlineType val="linear"/>
            <c:dispRSqr val="1"/>
            <c:dispEq val="1"/>
            <c:trendlineLbl>
              <c:layout>
                <c:manualLayout>
                  <c:x val="-0.13228334898504659"/>
                  <c:y val="3.7203417406180363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PlantData!$BB$6:$BH$6</c:f>
              <c:numCache>
                <c:formatCode>General</c:formatCode>
                <c:ptCount val="7"/>
                <c:pt idx="0">
                  <c:v>1</c:v>
                </c:pt>
                <c:pt idx="1">
                  <c:v>2</c:v>
                </c:pt>
                <c:pt idx="2">
                  <c:v>3</c:v>
                </c:pt>
                <c:pt idx="3">
                  <c:v>4</c:v>
                </c:pt>
                <c:pt idx="4">
                  <c:v>5</c:v>
                </c:pt>
                <c:pt idx="5">
                  <c:v>6</c:v>
                </c:pt>
                <c:pt idx="6">
                  <c:v>7</c:v>
                </c:pt>
              </c:numCache>
            </c:numRef>
          </c:xVal>
          <c:yVal>
            <c:numRef>
              <c:f>PlantData!$BB$4:$BH$4</c:f>
              <c:numCache>
                <c:formatCode>0.00</c:formatCode>
                <c:ptCount val="7"/>
                <c:pt idx="0">
                  <c:v>0.95554712194250835</c:v>
                </c:pt>
                <c:pt idx="1">
                  <c:v>0.97496458936143615</c:v>
                </c:pt>
                <c:pt idx="2">
                  <c:v>0.96635513652726979</c:v>
                </c:pt>
                <c:pt idx="3">
                  <c:v>0.95478358485236026</c:v>
                </c:pt>
                <c:pt idx="4">
                  <c:v>0.94922573002637167</c:v>
                </c:pt>
                <c:pt idx="5">
                  <c:v>0.93101462709062177</c:v>
                </c:pt>
                <c:pt idx="6">
                  <c:v>0.91578839121517386</c:v>
                </c:pt>
              </c:numCache>
            </c:numRef>
          </c:yVal>
          <c:smooth val="0"/>
          <c:extLst>
            <c:ext xmlns:c16="http://schemas.microsoft.com/office/drawing/2014/chart" uri="{C3380CC4-5D6E-409C-BE32-E72D297353CC}">
              <c16:uniqueId val="{00000003-3FCF-46D2-92B2-C2EC96BB27F5}"/>
            </c:ext>
          </c:extLst>
        </c:ser>
        <c:ser>
          <c:idx val="3"/>
          <c:order val="3"/>
          <c:tx>
            <c:v>2nd 9 yrs</c:v>
          </c:tx>
          <c:spPr>
            <a:ln w="25400" cap="rnd">
              <a:noFill/>
              <a:round/>
            </a:ln>
            <a:effectLst/>
          </c:spPr>
          <c:marker>
            <c:symbol val="none"/>
          </c:marker>
          <c:trendline>
            <c:spPr>
              <a:ln w="38100" cap="rnd">
                <a:solidFill>
                  <a:schemeClr val="tx1"/>
                </a:solidFill>
                <a:prstDash val="sysDot"/>
              </a:ln>
              <a:effectLst/>
            </c:spPr>
            <c:trendlineType val="linear"/>
            <c:dispRSqr val="1"/>
            <c:dispEq val="1"/>
            <c:trendlineLbl>
              <c:layout>
                <c:manualLayout>
                  <c:x val="-9.12807917358954E-2"/>
                  <c:y val="-0.2442061981380134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PlantData!$BH$6:$BQ$6</c:f>
              <c:numCache>
                <c:formatCode>General</c:formatCode>
                <c:ptCount val="10"/>
                <c:pt idx="0">
                  <c:v>7</c:v>
                </c:pt>
                <c:pt idx="1">
                  <c:v>8</c:v>
                </c:pt>
                <c:pt idx="2">
                  <c:v>9</c:v>
                </c:pt>
                <c:pt idx="3">
                  <c:v>10</c:v>
                </c:pt>
                <c:pt idx="4">
                  <c:v>11</c:v>
                </c:pt>
                <c:pt idx="5">
                  <c:v>12</c:v>
                </c:pt>
                <c:pt idx="6">
                  <c:v>13</c:v>
                </c:pt>
                <c:pt idx="7">
                  <c:v>14</c:v>
                </c:pt>
                <c:pt idx="8">
                  <c:v>15</c:v>
                </c:pt>
                <c:pt idx="9">
                  <c:v>16</c:v>
                </c:pt>
              </c:numCache>
            </c:numRef>
          </c:xVal>
          <c:yVal>
            <c:numRef>
              <c:f>PlantData!$BH$4:$BQ$4</c:f>
              <c:numCache>
                <c:formatCode>0.00</c:formatCode>
                <c:ptCount val="10"/>
                <c:pt idx="0">
                  <c:v>0.91578839121517386</c:v>
                </c:pt>
                <c:pt idx="1">
                  <c:v>0.90286708465950716</c:v>
                </c:pt>
                <c:pt idx="2">
                  <c:v>0.87483963711486967</c:v>
                </c:pt>
                <c:pt idx="3">
                  <c:v>0.86402869952718864</c:v>
                </c:pt>
                <c:pt idx="4">
                  <c:v>0.85965253259434671</c:v>
                </c:pt>
                <c:pt idx="5">
                  <c:v>0.816865598966382</c:v>
                </c:pt>
                <c:pt idx="6">
                  <c:v>0.77423984096966758</c:v>
                </c:pt>
                <c:pt idx="7">
                  <c:v>0.73064362057356824</c:v>
                </c:pt>
                <c:pt idx="8">
                  <c:v>0.61601078022999289</c:v>
                </c:pt>
                <c:pt idx="9">
                  <c:v>0.60557178290612312</c:v>
                </c:pt>
              </c:numCache>
            </c:numRef>
          </c:yVal>
          <c:smooth val="0"/>
          <c:extLst>
            <c:ext xmlns:c16="http://schemas.microsoft.com/office/drawing/2014/chart" uri="{C3380CC4-5D6E-409C-BE32-E72D297353CC}">
              <c16:uniqueId val="{00000005-3FCF-46D2-92B2-C2EC96BB27F5}"/>
            </c:ext>
          </c:extLst>
        </c:ser>
        <c:ser>
          <c:idx val="4"/>
          <c:order val="4"/>
          <c:tx>
            <c:v>1st 7 yrs p90</c:v>
          </c:tx>
          <c:spPr>
            <a:ln w="25400" cap="rnd">
              <a:noFill/>
              <a:round/>
            </a:ln>
            <a:effectLst/>
          </c:spPr>
          <c:marker>
            <c:symbol val="circle"/>
            <c:size val="5"/>
            <c:spPr>
              <a:noFill/>
              <a:ln w="9525">
                <a:solidFill>
                  <a:schemeClr val="tx1"/>
                </a:solidFill>
              </a:ln>
              <a:effectLst/>
            </c:spPr>
          </c:marker>
          <c:trendline>
            <c:spPr>
              <a:ln w="38100" cap="rnd">
                <a:solidFill>
                  <a:srgbClr val="C00000"/>
                </a:solidFill>
                <a:prstDash val="sysDot"/>
              </a:ln>
              <a:effectLst/>
            </c:spPr>
            <c:trendlineType val="linear"/>
            <c:dispRSqr val="1"/>
            <c:dispEq val="1"/>
            <c:trendlineLbl>
              <c:layout>
                <c:manualLayout>
                  <c:x val="-7.7971422379542007E-2"/>
                  <c:y val="4.5768912408778888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PlantData!$BB$6:$BH$6</c:f>
              <c:numCache>
                <c:formatCode>General</c:formatCode>
                <c:ptCount val="7"/>
                <c:pt idx="0">
                  <c:v>1</c:v>
                </c:pt>
                <c:pt idx="1">
                  <c:v>2</c:v>
                </c:pt>
                <c:pt idx="2">
                  <c:v>3</c:v>
                </c:pt>
                <c:pt idx="3">
                  <c:v>4</c:v>
                </c:pt>
                <c:pt idx="4">
                  <c:v>5</c:v>
                </c:pt>
                <c:pt idx="5">
                  <c:v>6</c:v>
                </c:pt>
                <c:pt idx="6">
                  <c:v>7</c:v>
                </c:pt>
              </c:numCache>
            </c:numRef>
          </c:xVal>
          <c:yVal>
            <c:numRef>
              <c:f>PlantData!$BB$2:$BH$2</c:f>
              <c:numCache>
                <c:formatCode>0.00</c:formatCode>
                <c:ptCount val="7"/>
                <c:pt idx="0">
                  <c:v>0.75089982994610061</c:v>
                </c:pt>
                <c:pt idx="1">
                  <c:v>0.69731657041896011</c:v>
                </c:pt>
                <c:pt idx="2">
                  <c:v>0.67702937701064758</c:v>
                </c:pt>
                <c:pt idx="3">
                  <c:v>0.69665630738710349</c:v>
                </c:pt>
                <c:pt idx="4">
                  <c:v>0.6757682994044617</c:v>
                </c:pt>
                <c:pt idx="5">
                  <c:v>0.67349319544597153</c:v>
                </c:pt>
                <c:pt idx="6">
                  <c:v>0.6987243105368437</c:v>
                </c:pt>
              </c:numCache>
            </c:numRef>
          </c:yVal>
          <c:smooth val="0"/>
          <c:extLst>
            <c:ext xmlns:c16="http://schemas.microsoft.com/office/drawing/2014/chart" uri="{C3380CC4-5D6E-409C-BE32-E72D297353CC}">
              <c16:uniqueId val="{00000007-3FCF-46D2-92B2-C2EC96BB27F5}"/>
            </c:ext>
          </c:extLst>
        </c:ser>
        <c:ser>
          <c:idx val="5"/>
          <c:order val="5"/>
          <c:tx>
            <c:v>2nd 9 yrs p90</c:v>
          </c:tx>
          <c:spPr>
            <a:ln w="25400" cap="rnd">
              <a:noFill/>
              <a:round/>
            </a:ln>
            <a:effectLst/>
          </c:spPr>
          <c:marker>
            <c:symbol val="circle"/>
            <c:size val="5"/>
            <c:spPr>
              <a:noFill/>
              <a:ln w="9525">
                <a:solidFill>
                  <a:srgbClr val="FF0000"/>
                </a:solidFill>
              </a:ln>
              <a:effectLst/>
            </c:spPr>
          </c:marker>
          <c:trendline>
            <c:spPr>
              <a:ln w="38100" cap="rnd">
                <a:solidFill>
                  <a:srgbClr val="C00000"/>
                </a:solidFill>
                <a:prstDash val="sysDot"/>
              </a:ln>
              <a:effectLst/>
            </c:spPr>
            <c:trendlineType val="linear"/>
            <c:dispRSqr val="1"/>
            <c:dispEq val="1"/>
            <c:trendlineLbl>
              <c:layout>
                <c:manualLayout>
                  <c:x val="-0.24247345228635411"/>
                  <c:y val="-0.12862162886635048"/>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PlantData!$BH$6:$BQ$6</c:f>
              <c:numCache>
                <c:formatCode>General</c:formatCode>
                <c:ptCount val="10"/>
                <c:pt idx="0">
                  <c:v>7</c:v>
                </c:pt>
                <c:pt idx="1">
                  <c:v>8</c:v>
                </c:pt>
                <c:pt idx="2">
                  <c:v>9</c:v>
                </c:pt>
                <c:pt idx="3">
                  <c:v>10</c:v>
                </c:pt>
                <c:pt idx="4">
                  <c:v>11</c:v>
                </c:pt>
                <c:pt idx="5">
                  <c:v>12</c:v>
                </c:pt>
                <c:pt idx="6">
                  <c:v>13</c:v>
                </c:pt>
                <c:pt idx="7">
                  <c:v>14</c:v>
                </c:pt>
                <c:pt idx="8">
                  <c:v>15</c:v>
                </c:pt>
                <c:pt idx="9">
                  <c:v>16</c:v>
                </c:pt>
              </c:numCache>
            </c:numRef>
          </c:xVal>
          <c:yVal>
            <c:numRef>
              <c:f>PlantData!$BH$2:$BQ$2</c:f>
              <c:numCache>
                <c:formatCode>0.00</c:formatCode>
                <c:ptCount val="10"/>
                <c:pt idx="0">
                  <c:v>0.6987243105368437</c:v>
                </c:pt>
                <c:pt idx="1">
                  <c:v>0.57219693528298488</c:v>
                </c:pt>
                <c:pt idx="2">
                  <c:v>0.49377774688560766</c:v>
                </c:pt>
                <c:pt idx="3">
                  <c:v>0.50667682262689961</c:v>
                </c:pt>
                <c:pt idx="4">
                  <c:v>0.54405795730211437</c:v>
                </c:pt>
                <c:pt idx="5">
                  <c:v>0.48452895719234063</c:v>
                </c:pt>
                <c:pt idx="6">
                  <c:v>0.43411526807861434</c:v>
                </c:pt>
                <c:pt idx="7">
                  <c:v>0.22955766805195427</c:v>
                </c:pt>
                <c:pt idx="8">
                  <c:v>0.24583535712504645</c:v>
                </c:pt>
                <c:pt idx="9">
                  <c:v>0.29769870360831013</c:v>
                </c:pt>
              </c:numCache>
            </c:numRef>
          </c:yVal>
          <c:smooth val="0"/>
          <c:extLst>
            <c:ext xmlns:c16="http://schemas.microsoft.com/office/drawing/2014/chart" uri="{C3380CC4-5D6E-409C-BE32-E72D297353CC}">
              <c16:uniqueId val="{00000009-3FCF-46D2-92B2-C2EC96BB27F5}"/>
            </c:ext>
          </c:extLst>
        </c:ser>
        <c:ser>
          <c:idx val="6"/>
          <c:order val="6"/>
          <c:tx>
            <c:v>p90/p50 ratio</c:v>
          </c:tx>
          <c:spPr>
            <a:ln w="6350" cap="rnd">
              <a:solidFill>
                <a:srgbClr val="C00000"/>
              </a:solidFill>
              <a:round/>
            </a:ln>
            <a:effectLst/>
          </c:spPr>
          <c:marker>
            <c:symbol val="none"/>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PlantData!$BB$107:$BQ$107</c:f>
              <c:numCache>
                <c:formatCode>0.00</c:formatCode>
                <c:ptCount val="16"/>
                <c:pt idx="0">
                  <c:v>0.7858323390892693</c:v>
                </c:pt>
                <c:pt idx="1">
                  <c:v>0.71522245836197529</c:v>
                </c:pt>
                <c:pt idx="2">
                  <c:v>0.70060100207429521</c:v>
                </c:pt>
                <c:pt idx="3">
                  <c:v>0.7296483919911847</c:v>
                </c:pt>
                <c:pt idx="4">
                  <c:v>0.71191527792413223</c:v>
                </c:pt>
                <c:pt idx="5">
                  <c:v>0.72339700778988514</c:v>
                </c:pt>
                <c:pt idx="6">
                  <c:v>0.76297572369277966</c:v>
                </c:pt>
                <c:pt idx="7">
                  <c:v>0.63375544972798969</c:v>
                </c:pt>
                <c:pt idx="8">
                  <c:v>0.56442086747925069</c:v>
                </c:pt>
                <c:pt idx="9">
                  <c:v>0.58641202879506416</c:v>
                </c:pt>
                <c:pt idx="10">
                  <c:v>0.6328812359340128</c:v>
                </c:pt>
                <c:pt idx="11">
                  <c:v>0.59315627663282389</c:v>
                </c:pt>
                <c:pt idx="12">
                  <c:v>0.56069869452200105</c:v>
                </c:pt>
                <c:pt idx="13">
                  <c:v>0.31418555036687712</c:v>
                </c:pt>
                <c:pt idx="14">
                  <c:v>0.39907638797045358</c:v>
                </c:pt>
                <c:pt idx="15">
                  <c:v>0.4915993644546347</c:v>
                </c:pt>
              </c:numCache>
            </c:numRef>
          </c:yVal>
          <c:smooth val="1"/>
          <c:extLst>
            <c:ext xmlns:c16="http://schemas.microsoft.com/office/drawing/2014/chart" uri="{C3380CC4-5D6E-409C-BE32-E72D297353CC}">
              <c16:uniqueId val="{0000000A-3FCF-46D2-92B2-C2EC96BB27F5}"/>
            </c:ext>
          </c:extLst>
        </c:ser>
        <c:ser>
          <c:idx val="7"/>
          <c:order val="7"/>
          <c:tx>
            <c:v>ratio1_7</c:v>
          </c:tx>
          <c:spPr>
            <a:ln w="25400" cap="rnd">
              <a:noFill/>
              <a:round/>
            </a:ln>
            <a:effectLst/>
          </c:spPr>
          <c:marker>
            <c:symbol val="none"/>
          </c:marker>
          <c:trendline>
            <c:spPr>
              <a:ln w="19050" cap="rnd">
                <a:solidFill>
                  <a:schemeClr val="accent2">
                    <a:lumMod val="60000"/>
                  </a:schemeClr>
                </a:solidFill>
                <a:prstDash val="solid"/>
              </a:ln>
              <a:effectLst/>
            </c:spPr>
            <c:trendlineType val="linear"/>
            <c:dispRSqr val="0"/>
            <c:dispEq val="1"/>
            <c:trendlineLbl>
              <c:layout>
                <c:manualLayout>
                  <c:x val="-3.0690688434587877E-2"/>
                  <c:y val="-3.0395012361905106E-2"/>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PlantData!$BB$6:$BH$6</c:f>
              <c:numCache>
                <c:formatCode>General</c:formatCode>
                <c:ptCount val="7"/>
                <c:pt idx="0">
                  <c:v>1</c:v>
                </c:pt>
                <c:pt idx="1">
                  <c:v>2</c:v>
                </c:pt>
                <c:pt idx="2">
                  <c:v>3</c:v>
                </c:pt>
                <c:pt idx="3">
                  <c:v>4</c:v>
                </c:pt>
                <c:pt idx="4">
                  <c:v>5</c:v>
                </c:pt>
                <c:pt idx="5">
                  <c:v>6</c:v>
                </c:pt>
                <c:pt idx="6">
                  <c:v>7</c:v>
                </c:pt>
              </c:numCache>
            </c:numRef>
          </c:xVal>
          <c:yVal>
            <c:numRef>
              <c:f>PlantData!$BB$107:$BH$107</c:f>
              <c:numCache>
                <c:formatCode>0.00</c:formatCode>
                <c:ptCount val="7"/>
                <c:pt idx="0">
                  <c:v>0.7858323390892693</c:v>
                </c:pt>
                <c:pt idx="1">
                  <c:v>0.71522245836197529</c:v>
                </c:pt>
                <c:pt idx="2">
                  <c:v>0.70060100207429521</c:v>
                </c:pt>
                <c:pt idx="3">
                  <c:v>0.7296483919911847</c:v>
                </c:pt>
                <c:pt idx="4">
                  <c:v>0.71191527792413223</c:v>
                </c:pt>
                <c:pt idx="5">
                  <c:v>0.72339700778988514</c:v>
                </c:pt>
                <c:pt idx="6">
                  <c:v>0.76297572369277966</c:v>
                </c:pt>
              </c:numCache>
            </c:numRef>
          </c:yVal>
          <c:smooth val="0"/>
          <c:extLst>
            <c:ext xmlns:c16="http://schemas.microsoft.com/office/drawing/2014/chart" uri="{C3380CC4-5D6E-409C-BE32-E72D297353CC}">
              <c16:uniqueId val="{0000000B-3FCF-46D2-92B2-C2EC96BB27F5}"/>
            </c:ext>
          </c:extLst>
        </c:ser>
        <c:ser>
          <c:idx val="8"/>
          <c:order val="8"/>
          <c:tx>
            <c:v>ratio7_16</c:v>
          </c:tx>
          <c:spPr>
            <a:ln w="25400" cap="rnd">
              <a:noFill/>
              <a:round/>
            </a:ln>
            <a:effectLst/>
          </c:spPr>
          <c:marker>
            <c:symbol val="none"/>
          </c:marker>
          <c:trendline>
            <c:spPr>
              <a:ln w="19050" cap="rnd">
                <a:solidFill>
                  <a:srgbClr val="C00000"/>
                </a:solidFill>
                <a:prstDash val="solid"/>
              </a:ln>
              <a:effectLst/>
            </c:spPr>
            <c:trendlineType val="linear"/>
            <c:dispRSqr val="0"/>
            <c:dispEq val="1"/>
            <c:trendlineLbl>
              <c:layout>
                <c:manualLayout>
                  <c:x val="-0.30852849815791372"/>
                  <c:y val="-0.19543898818885785"/>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PlantData!$BH$6:$BQ$6</c:f>
              <c:numCache>
                <c:formatCode>General</c:formatCode>
                <c:ptCount val="10"/>
                <c:pt idx="0">
                  <c:v>7</c:v>
                </c:pt>
                <c:pt idx="1">
                  <c:v>8</c:v>
                </c:pt>
                <c:pt idx="2">
                  <c:v>9</c:v>
                </c:pt>
                <c:pt idx="3">
                  <c:v>10</c:v>
                </c:pt>
                <c:pt idx="4">
                  <c:v>11</c:v>
                </c:pt>
                <c:pt idx="5">
                  <c:v>12</c:v>
                </c:pt>
                <c:pt idx="6">
                  <c:v>13</c:v>
                </c:pt>
                <c:pt idx="7">
                  <c:v>14</c:v>
                </c:pt>
                <c:pt idx="8">
                  <c:v>15</c:v>
                </c:pt>
                <c:pt idx="9">
                  <c:v>16</c:v>
                </c:pt>
              </c:numCache>
            </c:numRef>
          </c:xVal>
          <c:yVal>
            <c:numRef>
              <c:f>PlantData!$BH$107:$BQ$107</c:f>
              <c:numCache>
                <c:formatCode>0.00</c:formatCode>
                <c:ptCount val="10"/>
                <c:pt idx="0">
                  <c:v>0.76297572369277966</c:v>
                </c:pt>
                <c:pt idx="1">
                  <c:v>0.63375544972798969</c:v>
                </c:pt>
                <c:pt idx="2">
                  <c:v>0.56442086747925069</c:v>
                </c:pt>
                <c:pt idx="3">
                  <c:v>0.58641202879506416</c:v>
                </c:pt>
                <c:pt idx="4">
                  <c:v>0.6328812359340128</c:v>
                </c:pt>
                <c:pt idx="5">
                  <c:v>0.59315627663282389</c:v>
                </c:pt>
                <c:pt idx="6">
                  <c:v>0.56069869452200105</c:v>
                </c:pt>
                <c:pt idx="7">
                  <c:v>0.31418555036687712</c:v>
                </c:pt>
                <c:pt idx="8">
                  <c:v>0.39907638797045358</c:v>
                </c:pt>
                <c:pt idx="9">
                  <c:v>0.4915993644546347</c:v>
                </c:pt>
              </c:numCache>
            </c:numRef>
          </c:yVal>
          <c:smooth val="0"/>
          <c:extLst>
            <c:ext xmlns:c16="http://schemas.microsoft.com/office/drawing/2014/chart" uri="{C3380CC4-5D6E-409C-BE32-E72D297353CC}">
              <c16:uniqueId val="{0000000D-3FCF-46D2-92B2-C2EC96BB27F5}"/>
            </c:ext>
          </c:extLst>
        </c:ser>
        <c:dLbls>
          <c:showLegendKey val="0"/>
          <c:showVal val="0"/>
          <c:showCatName val="0"/>
          <c:showSerName val="0"/>
          <c:showPercent val="0"/>
          <c:showBubbleSize val="0"/>
        </c:dLbls>
        <c:axId val="883362447"/>
        <c:axId val="883348527"/>
      </c:scatterChart>
      <c:valAx>
        <c:axId val="883362447"/>
        <c:scaling>
          <c:orientation val="minMax"/>
          <c:max val="16"/>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83348527"/>
        <c:crosses val="autoZero"/>
        <c:crossBetween val="midCat"/>
        <c:majorUnit val="1"/>
      </c:valAx>
      <c:valAx>
        <c:axId val="883348527"/>
        <c:scaling>
          <c:orientation val="minMax"/>
          <c:max val="1"/>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 or p90/p50 ratio</a:t>
                </a:r>
              </a:p>
              <a:p>
                <a:pPr>
                  <a:defRPr sz="1400" b="1"/>
                </a:pP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83362447"/>
        <c:crosses val="autoZero"/>
        <c:crossBetween val="midCat"/>
      </c:valAx>
      <c:spPr>
        <a:noFill/>
        <a:ln>
          <a:noFill/>
        </a:ln>
        <a:effectLst/>
      </c:spPr>
    </c:plotArea>
    <c:legend>
      <c:legendPos val="b"/>
      <c:legendEntry>
        <c:idx val="2"/>
        <c:delete val="1"/>
      </c:legendEntry>
      <c:legendEntry>
        <c:idx val="3"/>
        <c:delete val="1"/>
      </c:legendEntry>
      <c:legendEntry>
        <c:idx val="4"/>
        <c:delete val="1"/>
      </c:legendEntry>
      <c:legendEntry>
        <c:idx val="5"/>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Set</a:t>
            </a:r>
            <a:r>
              <a:rPr lang="en-US" sz="2000" b="1" baseline="0"/>
              <a:t> A, 100 older PV Systems: p50 &amp; p90 Degradation</a:t>
            </a:r>
          </a:p>
          <a:p>
            <a:pPr>
              <a:defRPr sz="2000" b="1"/>
            </a:pPr>
            <a:r>
              <a:rPr lang="en-US" sz="2000" b="1" baseline="0"/>
              <a:t>p50 degr. = 1.3% 1st 7 yrs, then 4.9%</a:t>
            </a:r>
          </a:p>
          <a:p>
            <a:pPr>
              <a:defRPr sz="2000" b="1"/>
            </a:pPr>
            <a:r>
              <a:rPr lang="en-US" sz="2000" b="1" baseline="0"/>
              <a:t>p90 degr. = 1.6% 1st 7 yrs, then 10.5%</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PlantData!$BA$4</c:f>
              <c:strCache>
                <c:ptCount val="1"/>
                <c:pt idx="0">
                  <c:v>p50</c:v>
                </c:pt>
              </c:strCache>
            </c:strRef>
          </c:tx>
          <c:spPr>
            <a:ln w="19050" cap="rnd">
              <a:noFill/>
              <a:round/>
            </a:ln>
            <a:effectLst/>
          </c:spPr>
          <c:marker>
            <c:symbol val="circle"/>
            <c:size val="5"/>
            <c:spPr>
              <a:solidFill>
                <a:schemeClr val="accent1"/>
              </a:solidFill>
              <a:ln w="9525">
                <a:solidFill>
                  <a:schemeClr val="accent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0"/>
          <c:extLst>
            <c:ext xmlns:c16="http://schemas.microsoft.com/office/drawing/2014/chart" uri="{C3380CC4-5D6E-409C-BE32-E72D297353CC}">
              <c16:uniqueId val="{00000000-A461-4938-9926-5D2B60D322B0}"/>
            </c:ext>
          </c:extLst>
        </c:ser>
        <c:ser>
          <c:idx val="1"/>
          <c:order val="1"/>
          <c:tx>
            <c:strRef>
              <c:f>PlantData!$BA$2</c:f>
              <c:strCache>
                <c:ptCount val="1"/>
                <c:pt idx="0">
                  <c:v>p90</c:v>
                </c:pt>
              </c:strCache>
            </c:strRef>
          </c:tx>
          <c:spPr>
            <a:ln w="25400" cap="rnd">
              <a:noFill/>
              <a:round/>
            </a:ln>
            <a:effectLst/>
          </c:spPr>
          <c:marker>
            <c:symbol val="circle"/>
            <c:size val="5"/>
            <c:spPr>
              <a:solidFill>
                <a:schemeClr val="accent2"/>
              </a:solidFill>
              <a:ln w="9525">
                <a:solidFill>
                  <a:schemeClr val="accent2"/>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0.75089982994610061</c:v>
                </c:pt>
                <c:pt idx="1">
                  <c:v>0.69731657041896011</c:v>
                </c:pt>
                <c:pt idx="2">
                  <c:v>0.67702937701064758</c:v>
                </c:pt>
                <c:pt idx="3">
                  <c:v>0.69665630738710349</c:v>
                </c:pt>
                <c:pt idx="4">
                  <c:v>0.6757682994044617</c:v>
                </c:pt>
                <c:pt idx="5">
                  <c:v>0.67349319544597153</c:v>
                </c:pt>
                <c:pt idx="6">
                  <c:v>0.6987243105368437</c:v>
                </c:pt>
                <c:pt idx="7">
                  <c:v>0.57219693528298488</c:v>
                </c:pt>
                <c:pt idx="8">
                  <c:v>0.49377774688560766</c:v>
                </c:pt>
                <c:pt idx="9">
                  <c:v>0.50667682262689961</c:v>
                </c:pt>
                <c:pt idx="10">
                  <c:v>0.54405795730211437</c:v>
                </c:pt>
                <c:pt idx="11">
                  <c:v>0.48452895719234063</c:v>
                </c:pt>
                <c:pt idx="12">
                  <c:v>0.43411526807861434</c:v>
                </c:pt>
                <c:pt idx="13">
                  <c:v>0.22955766805195427</c:v>
                </c:pt>
                <c:pt idx="14">
                  <c:v>0.24583535712504645</c:v>
                </c:pt>
                <c:pt idx="15">
                  <c:v>0.29769870360831013</c:v>
                </c:pt>
              </c:numCache>
            </c:numRef>
          </c:yVal>
          <c:smooth val="0"/>
          <c:extLst>
            <c:ext xmlns:c16="http://schemas.microsoft.com/office/drawing/2014/chart" uri="{C3380CC4-5D6E-409C-BE32-E72D297353CC}">
              <c16:uniqueId val="{00000001-A461-4938-9926-5D2B60D322B0}"/>
            </c:ext>
          </c:extLst>
        </c:ser>
        <c:ser>
          <c:idx val="2"/>
          <c:order val="2"/>
          <c:tx>
            <c:v>1st 7 yrs</c:v>
          </c:tx>
          <c:spPr>
            <a:ln w="25400" cap="rnd">
              <a:noFill/>
              <a:round/>
            </a:ln>
            <a:effectLst/>
          </c:spPr>
          <c:marker>
            <c:symbol val="circle"/>
            <c:size val="5"/>
            <c:spPr>
              <a:noFill/>
              <a:ln w="9525">
                <a:solidFill>
                  <a:schemeClr val="tx1"/>
                </a:solidFill>
              </a:ln>
              <a:effectLst/>
            </c:spPr>
          </c:marker>
          <c:trendline>
            <c:spPr>
              <a:ln w="38100" cap="rnd">
                <a:solidFill>
                  <a:schemeClr val="tx1"/>
                </a:solidFill>
                <a:prstDash val="sysDot"/>
              </a:ln>
              <a:effectLst/>
            </c:spPr>
            <c:trendlineType val="linear"/>
            <c:dispRSqr val="0"/>
            <c:dispEq val="1"/>
            <c:trendlineLbl>
              <c:layout>
                <c:manualLayout>
                  <c:x val="-3.5272126907890181E-2"/>
                  <c:y val="3.5425601436271416E-2"/>
                </c:manualLayout>
              </c:layout>
              <c:numFmt formatCode="General" sourceLinked="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PlantData!$BB$6:$BH$6</c:f>
              <c:numCache>
                <c:formatCode>General</c:formatCode>
                <c:ptCount val="7"/>
                <c:pt idx="0">
                  <c:v>1</c:v>
                </c:pt>
                <c:pt idx="1">
                  <c:v>2</c:v>
                </c:pt>
                <c:pt idx="2">
                  <c:v>3</c:v>
                </c:pt>
                <c:pt idx="3">
                  <c:v>4</c:v>
                </c:pt>
                <c:pt idx="4">
                  <c:v>5</c:v>
                </c:pt>
                <c:pt idx="5">
                  <c:v>6</c:v>
                </c:pt>
                <c:pt idx="6">
                  <c:v>7</c:v>
                </c:pt>
              </c:numCache>
            </c:numRef>
          </c:xVal>
          <c:yVal>
            <c:numRef>
              <c:f>PlantData!$BB$4:$BH$4</c:f>
              <c:numCache>
                <c:formatCode>0.00</c:formatCode>
                <c:ptCount val="7"/>
                <c:pt idx="0">
                  <c:v>0.95554712194250835</c:v>
                </c:pt>
                <c:pt idx="1">
                  <c:v>0.97496458936143615</c:v>
                </c:pt>
                <c:pt idx="2">
                  <c:v>0.96635513652726979</c:v>
                </c:pt>
                <c:pt idx="3">
                  <c:v>0.95478358485236026</c:v>
                </c:pt>
                <c:pt idx="4">
                  <c:v>0.94922573002637167</c:v>
                </c:pt>
                <c:pt idx="5">
                  <c:v>0.93101462709062177</c:v>
                </c:pt>
                <c:pt idx="6">
                  <c:v>0.91578839121517386</c:v>
                </c:pt>
              </c:numCache>
            </c:numRef>
          </c:yVal>
          <c:smooth val="0"/>
          <c:extLst>
            <c:ext xmlns:c16="http://schemas.microsoft.com/office/drawing/2014/chart" uri="{C3380CC4-5D6E-409C-BE32-E72D297353CC}">
              <c16:uniqueId val="{00000003-A461-4938-9926-5D2B60D322B0}"/>
            </c:ext>
          </c:extLst>
        </c:ser>
        <c:ser>
          <c:idx val="3"/>
          <c:order val="3"/>
          <c:tx>
            <c:v>2nd 9 yrs</c:v>
          </c:tx>
          <c:spPr>
            <a:ln w="25400" cap="rnd">
              <a:noFill/>
              <a:round/>
            </a:ln>
            <a:effectLst/>
          </c:spPr>
          <c:marker>
            <c:symbol val="none"/>
          </c:marker>
          <c:trendline>
            <c:spPr>
              <a:ln w="38100" cap="rnd">
                <a:solidFill>
                  <a:schemeClr val="tx1"/>
                </a:solidFill>
                <a:prstDash val="sysDot"/>
              </a:ln>
              <a:effectLst/>
            </c:spPr>
            <c:trendlineType val="linear"/>
            <c:dispRSqr val="0"/>
            <c:dispEq val="1"/>
            <c:trendlineLbl>
              <c:layout>
                <c:manualLayout>
                  <c:x val="-6.8980996143810466E-2"/>
                  <c:y val="-0.20237419073421173"/>
                </c:manualLayout>
              </c:layout>
              <c:numFmt formatCode="General" sourceLinked="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PlantData!$BH$6:$BQ$6</c:f>
              <c:numCache>
                <c:formatCode>General</c:formatCode>
                <c:ptCount val="10"/>
                <c:pt idx="0">
                  <c:v>7</c:v>
                </c:pt>
                <c:pt idx="1">
                  <c:v>8</c:v>
                </c:pt>
                <c:pt idx="2">
                  <c:v>9</c:v>
                </c:pt>
                <c:pt idx="3">
                  <c:v>10</c:v>
                </c:pt>
                <c:pt idx="4">
                  <c:v>11</c:v>
                </c:pt>
                <c:pt idx="5">
                  <c:v>12</c:v>
                </c:pt>
                <c:pt idx="6">
                  <c:v>13</c:v>
                </c:pt>
                <c:pt idx="7">
                  <c:v>14</c:v>
                </c:pt>
                <c:pt idx="8">
                  <c:v>15</c:v>
                </c:pt>
                <c:pt idx="9">
                  <c:v>16</c:v>
                </c:pt>
              </c:numCache>
            </c:numRef>
          </c:xVal>
          <c:yVal>
            <c:numRef>
              <c:f>PlantData!$BH$4:$BQ$4</c:f>
              <c:numCache>
                <c:formatCode>0.00</c:formatCode>
                <c:ptCount val="10"/>
                <c:pt idx="0">
                  <c:v>0.91578839121517386</c:v>
                </c:pt>
                <c:pt idx="1">
                  <c:v>0.90286708465950716</c:v>
                </c:pt>
                <c:pt idx="2">
                  <c:v>0.87483963711486967</c:v>
                </c:pt>
                <c:pt idx="3">
                  <c:v>0.86402869952718864</c:v>
                </c:pt>
                <c:pt idx="4">
                  <c:v>0.85965253259434671</c:v>
                </c:pt>
                <c:pt idx="5">
                  <c:v>0.816865598966382</c:v>
                </c:pt>
                <c:pt idx="6">
                  <c:v>0.77423984096966758</c:v>
                </c:pt>
                <c:pt idx="7">
                  <c:v>0.73064362057356824</c:v>
                </c:pt>
                <c:pt idx="8">
                  <c:v>0.61601078022999289</c:v>
                </c:pt>
                <c:pt idx="9">
                  <c:v>0.60557178290612312</c:v>
                </c:pt>
              </c:numCache>
            </c:numRef>
          </c:yVal>
          <c:smooth val="0"/>
          <c:extLst>
            <c:ext xmlns:c16="http://schemas.microsoft.com/office/drawing/2014/chart" uri="{C3380CC4-5D6E-409C-BE32-E72D297353CC}">
              <c16:uniqueId val="{00000005-A461-4938-9926-5D2B60D322B0}"/>
            </c:ext>
          </c:extLst>
        </c:ser>
        <c:ser>
          <c:idx val="4"/>
          <c:order val="4"/>
          <c:tx>
            <c:v>1st 7 yrs p90</c:v>
          </c:tx>
          <c:spPr>
            <a:ln w="25400" cap="rnd">
              <a:noFill/>
              <a:round/>
            </a:ln>
            <a:effectLst/>
          </c:spPr>
          <c:marker>
            <c:symbol val="circle"/>
            <c:size val="5"/>
            <c:spPr>
              <a:noFill/>
              <a:ln w="9525">
                <a:solidFill>
                  <a:schemeClr val="tx1"/>
                </a:solidFill>
              </a:ln>
              <a:effectLst/>
            </c:spPr>
          </c:marker>
          <c:trendline>
            <c:spPr>
              <a:ln w="38100" cap="rnd">
                <a:solidFill>
                  <a:srgbClr val="C00000"/>
                </a:solidFill>
                <a:prstDash val="sysDot"/>
              </a:ln>
              <a:effectLst/>
            </c:spPr>
            <c:trendlineType val="linear"/>
            <c:dispRSqr val="0"/>
            <c:dispEq val="1"/>
            <c:trendlineLbl>
              <c:layout>
                <c:manualLayout>
                  <c:x val="-2.9407024268593991E-2"/>
                  <c:y val="4.8790975550861877E-2"/>
                </c:manualLayout>
              </c:layout>
              <c:numFmt formatCode="General" sourceLinked="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PlantData!$BB$6:$BH$6</c:f>
              <c:numCache>
                <c:formatCode>General</c:formatCode>
                <c:ptCount val="7"/>
                <c:pt idx="0">
                  <c:v>1</c:v>
                </c:pt>
                <c:pt idx="1">
                  <c:v>2</c:v>
                </c:pt>
                <c:pt idx="2">
                  <c:v>3</c:v>
                </c:pt>
                <c:pt idx="3">
                  <c:v>4</c:v>
                </c:pt>
                <c:pt idx="4">
                  <c:v>5</c:v>
                </c:pt>
                <c:pt idx="5">
                  <c:v>6</c:v>
                </c:pt>
                <c:pt idx="6">
                  <c:v>7</c:v>
                </c:pt>
              </c:numCache>
            </c:numRef>
          </c:xVal>
          <c:yVal>
            <c:numRef>
              <c:f>PlantData!$BB$2:$BH$2</c:f>
              <c:numCache>
                <c:formatCode>0.00</c:formatCode>
                <c:ptCount val="7"/>
                <c:pt idx="0">
                  <c:v>0.75089982994610061</c:v>
                </c:pt>
                <c:pt idx="1">
                  <c:v>0.69731657041896011</c:v>
                </c:pt>
                <c:pt idx="2">
                  <c:v>0.67702937701064758</c:v>
                </c:pt>
                <c:pt idx="3">
                  <c:v>0.69665630738710349</c:v>
                </c:pt>
                <c:pt idx="4">
                  <c:v>0.6757682994044617</c:v>
                </c:pt>
                <c:pt idx="5">
                  <c:v>0.67349319544597153</c:v>
                </c:pt>
                <c:pt idx="6">
                  <c:v>0.6987243105368437</c:v>
                </c:pt>
              </c:numCache>
            </c:numRef>
          </c:yVal>
          <c:smooth val="0"/>
          <c:extLst>
            <c:ext xmlns:c16="http://schemas.microsoft.com/office/drawing/2014/chart" uri="{C3380CC4-5D6E-409C-BE32-E72D297353CC}">
              <c16:uniqueId val="{00000007-A461-4938-9926-5D2B60D322B0}"/>
            </c:ext>
          </c:extLst>
        </c:ser>
        <c:ser>
          <c:idx val="5"/>
          <c:order val="5"/>
          <c:tx>
            <c:v>2nd 9 yrs p90</c:v>
          </c:tx>
          <c:spPr>
            <a:ln w="25400" cap="rnd">
              <a:noFill/>
              <a:round/>
            </a:ln>
            <a:effectLst/>
          </c:spPr>
          <c:marker>
            <c:symbol val="circle"/>
            <c:size val="5"/>
            <c:spPr>
              <a:noFill/>
              <a:ln w="9525">
                <a:solidFill>
                  <a:srgbClr val="FF0000"/>
                </a:solidFill>
              </a:ln>
              <a:effectLst/>
            </c:spPr>
          </c:marker>
          <c:trendline>
            <c:spPr>
              <a:ln w="38100" cap="rnd">
                <a:solidFill>
                  <a:srgbClr val="C00000"/>
                </a:solidFill>
                <a:prstDash val="sysDot"/>
              </a:ln>
              <a:effectLst/>
            </c:spPr>
            <c:trendlineType val="linear"/>
            <c:dispRSqr val="0"/>
            <c:dispEq val="1"/>
            <c:trendlineLbl>
              <c:layout>
                <c:manualLayout>
                  <c:x val="-0.24053524834322396"/>
                  <c:y val="-0.11215004674336036"/>
                </c:manualLayout>
              </c:layout>
              <c:numFmt formatCode="General" sourceLinked="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PlantData!$BH$6:$BQ$6</c:f>
              <c:numCache>
                <c:formatCode>General</c:formatCode>
                <c:ptCount val="10"/>
                <c:pt idx="0">
                  <c:v>7</c:v>
                </c:pt>
                <c:pt idx="1">
                  <c:v>8</c:v>
                </c:pt>
                <c:pt idx="2">
                  <c:v>9</c:v>
                </c:pt>
                <c:pt idx="3">
                  <c:v>10</c:v>
                </c:pt>
                <c:pt idx="4">
                  <c:v>11</c:v>
                </c:pt>
                <c:pt idx="5">
                  <c:v>12</c:v>
                </c:pt>
                <c:pt idx="6">
                  <c:v>13</c:v>
                </c:pt>
                <c:pt idx="7">
                  <c:v>14</c:v>
                </c:pt>
                <c:pt idx="8">
                  <c:v>15</c:v>
                </c:pt>
                <c:pt idx="9">
                  <c:v>16</c:v>
                </c:pt>
              </c:numCache>
            </c:numRef>
          </c:xVal>
          <c:yVal>
            <c:numRef>
              <c:f>PlantData!$BH$2:$BQ$2</c:f>
              <c:numCache>
                <c:formatCode>0.00</c:formatCode>
                <c:ptCount val="10"/>
                <c:pt idx="0">
                  <c:v>0.6987243105368437</c:v>
                </c:pt>
                <c:pt idx="1">
                  <c:v>0.57219693528298488</c:v>
                </c:pt>
                <c:pt idx="2">
                  <c:v>0.49377774688560766</c:v>
                </c:pt>
                <c:pt idx="3">
                  <c:v>0.50667682262689961</c:v>
                </c:pt>
                <c:pt idx="4">
                  <c:v>0.54405795730211437</c:v>
                </c:pt>
                <c:pt idx="5">
                  <c:v>0.48452895719234063</c:v>
                </c:pt>
                <c:pt idx="6">
                  <c:v>0.43411526807861434</c:v>
                </c:pt>
                <c:pt idx="7">
                  <c:v>0.22955766805195427</c:v>
                </c:pt>
                <c:pt idx="8">
                  <c:v>0.24583535712504645</c:v>
                </c:pt>
                <c:pt idx="9">
                  <c:v>0.29769870360831013</c:v>
                </c:pt>
              </c:numCache>
            </c:numRef>
          </c:yVal>
          <c:smooth val="0"/>
          <c:extLst>
            <c:ext xmlns:c16="http://schemas.microsoft.com/office/drawing/2014/chart" uri="{C3380CC4-5D6E-409C-BE32-E72D297353CC}">
              <c16:uniqueId val="{00000009-A461-4938-9926-5D2B60D322B0}"/>
            </c:ext>
          </c:extLst>
        </c:ser>
        <c:dLbls>
          <c:showLegendKey val="0"/>
          <c:showVal val="0"/>
          <c:showCatName val="0"/>
          <c:showSerName val="0"/>
          <c:showPercent val="0"/>
          <c:showBubbleSize val="0"/>
        </c:dLbls>
        <c:axId val="883362447"/>
        <c:axId val="883348527"/>
      </c:scatterChart>
      <c:valAx>
        <c:axId val="883362447"/>
        <c:scaling>
          <c:orientation val="minMax"/>
          <c:max val="16"/>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Year of operation</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83348527"/>
        <c:crosses val="autoZero"/>
        <c:crossBetween val="midCat"/>
        <c:majorUnit val="1"/>
      </c:valAx>
      <c:valAx>
        <c:axId val="883348527"/>
        <c:scaling>
          <c:orientation val="minMax"/>
          <c:max val="1"/>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Normalized</a:t>
                </a:r>
                <a:r>
                  <a:rPr lang="en-US" sz="2000" b="1" baseline="0"/>
                  <a:t> annual generation</a:t>
                </a:r>
                <a:endParaRPr lang="en-US" sz="2000" b="1"/>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83362447"/>
        <c:crosses val="autoZero"/>
        <c:crossBetween val="midCat"/>
      </c:valAx>
      <c:spPr>
        <a:noFill/>
        <a:ln>
          <a:noFill/>
        </a:ln>
        <a:effectLst/>
      </c:spPr>
    </c:plotArea>
    <c:legend>
      <c:legendPos val="b"/>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ysClr val="windowText" lastClr="000000">
                    <a:lumMod val="65000"/>
                    <a:lumOff val="35000"/>
                  </a:sysClr>
                </a:solidFill>
                <a:latin typeface="+mn-lt"/>
                <a:ea typeface="+mn-ea"/>
                <a:cs typeface="+mn-cs"/>
              </a:defRPr>
            </a:pPr>
            <a:r>
              <a:rPr lang="en-US" sz="2000" b="1" baseline="0"/>
              <a:t>100 Set A (2010) and 25 Set B (2018) systems: p50 &amp; p90 Degr.</a:t>
            </a:r>
          </a:p>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ysClr val="windowText" lastClr="000000">
                    <a:lumMod val="65000"/>
                    <a:lumOff val="35000"/>
                  </a:sysClr>
                </a:solidFill>
                <a:latin typeface="+mn-lt"/>
                <a:ea typeface="+mn-ea"/>
                <a:cs typeface="+mn-cs"/>
              </a:defRPr>
            </a:pPr>
            <a:r>
              <a:rPr lang="en-US" sz="2000" b="1" baseline="0"/>
              <a:t>Set A: p50 = 1.3%, then 4.9%; p90 = 1.6%, then 10.5%</a:t>
            </a:r>
          </a:p>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ysClr val="windowText" lastClr="000000">
                    <a:lumMod val="65000"/>
                    <a:lumOff val="35000"/>
                  </a:sysClr>
                </a:solidFill>
                <a:latin typeface="+mn-lt"/>
                <a:ea typeface="+mn-ea"/>
                <a:cs typeface="+mn-cs"/>
              </a:defRPr>
            </a:pPr>
            <a:r>
              <a:rPr lang="en-US" sz="2000" b="1" i="0" u="none" strike="noStrike" kern="1200" spc="0" baseline="0">
                <a:solidFill>
                  <a:sysClr val="windowText" lastClr="000000">
                    <a:lumMod val="65000"/>
                    <a:lumOff val="35000"/>
                  </a:sysClr>
                </a:solidFill>
              </a:rPr>
              <a:t>Set B: p50 = 0.7%; p90 = 8.6%</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strRef>
              <c:f>PlantData!$BA$4</c:f>
              <c:strCache>
                <c:ptCount val="1"/>
                <c:pt idx="0">
                  <c:v>p50</c:v>
                </c:pt>
              </c:strCache>
            </c:strRef>
          </c:tx>
          <c:spPr>
            <a:ln w="19050" cap="rnd">
              <a:noFill/>
              <a:round/>
            </a:ln>
            <a:effectLst/>
          </c:spPr>
          <c:marker>
            <c:symbol val="circle"/>
            <c:size val="5"/>
            <c:spPr>
              <a:solidFill>
                <a:schemeClr val="accent1"/>
              </a:solidFill>
              <a:ln w="9525">
                <a:solidFill>
                  <a:schemeClr val="accent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0"/>
          <c:extLst>
            <c:ext xmlns:c16="http://schemas.microsoft.com/office/drawing/2014/chart" uri="{C3380CC4-5D6E-409C-BE32-E72D297353CC}">
              <c16:uniqueId val="{00000000-C626-4DAD-9952-034917EDD5A3}"/>
            </c:ext>
          </c:extLst>
        </c:ser>
        <c:ser>
          <c:idx val="1"/>
          <c:order val="1"/>
          <c:tx>
            <c:strRef>
              <c:f>PlantData!$BA$2</c:f>
              <c:strCache>
                <c:ptCount val="1"/>
                <c:pt idx="0">
                  <c:v>p90</c:v>
                </c:pt>
              </c:strCache>
            </c:strRef>
          </c:tx>
          <c:spPr>
            <a:ln w="25400" cap="rnd">
              <a:noFill/>
              <a:round/>
            </a:ln>
            <a:effectLst/>
          </c:spPr>
          <c:marker>
            <c:symbol val="circle"/>
            <c:size val="5"/>
            <c:spPr>
              <a:solidFill>
                <a:schemeClr val="accent2"/>
              </a:solidFill>
              <a:ln w="9525">
                <a:solidFill>
                  <a:schemeClr val="accent2"/>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0.75089982994610061</c:v>
                </c:pt>
                <c:pt idx="1">
                  <c:v>0.69731657041896011</c:v>
                </c:pt>
                <c:pt idx="2">
                  <c:v>0.67702937701064758</c:v>
                </c:pt>
                <c:pt idx="3">
                  <c:v>0.69665630738710349</c:v>
                </c:pt>
                <c:pt idx="4">
                  <c:v>0.6757682994044617</c:v>
                </c:pt>
                <c:pt idx="5">
                  <c:v>0.67349319544597153</c:v>
                </c:pt>
                <c:pt idx="6">
                  <c:v>0.6987243105368437</c:v>
                </c:pt>
                <c:pt idx="7">
                  <c:v>0.57219693528298488</c:v>
                </c:pt>
                <c:pt idx="8">
                  <c:v>0.49377774688560766</c:v>
                </c:pt>
                <c:pt idx="9">
                  <c:v>0.50667682262689961</c:v>
                </c:pt>
                <c:pt idx="10">
                  <c:v>0.54405795730211437</c:v>
                </c:pt>
                <c:pt idx="11">
                  <c:v>0.48452895719234063</c:v>
                </c:pt>
                <c:pt idx="12">
                  <c:v>0.43411526807861434</c:v>
                </c:pt>
                <c:pt idx="13">
                  <c:v>0.22955766805195427</c:v>
                </c:pt>
                <c:pt idx="14">
                  <c:v>0.24583535712504645</c:v>
                </c:pt>
                <c:pt idx="15">
                  <c:v>0.29769870360831013</c:v>
                </c:pt>
              </c:numCache>
            </c:numRef>
          </c:yVal>
          <c:smooth val="0"/>
          <c:extLst>
            <c:ext xmlns:c16="http://schemas.microsoft.com/office/drawing/2014/chart" uri="{C3380CC4-5D6E-409C-BE32-E72D297353CC}">
              <c16:uniqueId val="{00000001-C626-4DAD-9952-034917EDD5A3}"/>
            </c:ext>
          </c:extLst>
        </c:ser>
        <c:ser>
          <c:idx val="2"/>
          <c:order val="2"/>
          <c:tx>
            <c:v>1st 7 yrs</c:v>
          </c:tx>
          <c:spPr>
            <a:ln w="25400" cap="rnd">
              <a:noFill/>
              <a:round/>
            </a:ln>
            <a:effectLst/>
          </c:spPr>
          <c:marker>
            <c:symbol val="circle"/>
            <c:size val="5"/>
            <c:spPr>
              <a:solidFill>
                <a:schemeClr val="accent5">
                  <a:lumMod val="75000"/>
                </a:schemeClr>
              </a:solidFill>
              <a:ln w="9525">
                <a:solidFill>
                  <a:schemeClr val="tx1"/>
                </a:solidFill>
              </a:ln>
              <a:effectLst/>
            </c:spPr>
          </c:marker>
          <c:trendline>
            <c:spPr>
              <a:ln w="38100" cap="rnd">
                <a:solidFill>
                  <a:schemeClr val="accent1">
                    <a:lumMod val="75000"/>
                  </a:schemeClr>
                </a:solidFill>
                <a:prstDash val="sysDot"/>
              </a:ln>
              <a:effectLst/>
            </c:spPr>
            <c:trendlineType val="linear"/>
            <c:dispRSqr val="0"/>
            <c:dispEq val="1"/>
            <c:trendlineLbl>
              <c:layout>
                <c:manualLayout>
                  <c:x val="4.2927573502853429E-2"/>
                  <c:y val="-6.6026254733766304E-2"/>
                </c:manualLayout>
              </c:layout>
              <c:numFmt formatCode="General" sourceLinked="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PlantData!$BB$6:$BH$6</c:f>
              <c:numCache>
                <c:formatCode>General</c:formatCode>
                <c:ptCount val="7"/>
                <c:pt idx="0">
                  <c:v>1</c:v>
                </c:pt>
                <c:pt idx="1">
                  <c:v>2</c:v>
                </c:pt>
                <c:pt idx="2">
                  <c:v>3</c:v>
                </c:pt>
                <c:pt idx="3">
                  <c:v>4</c:v>
                </c:pt>
                <c:pt idx="4">
                  <c:v>5</c:v>
                </c:pt>
                <c:pt idx="5">
                  <c:v>6</c:v>
                </c:pt>
                <c:pt idx="6">
                  <c:v>7</c:v>
                </c:pt>
              </c:numCache>
            </c:numRef>
          </c:xVal>
          <c:yVal>
            <c:numRef>
              <c:f>PlantData!$BB$4:$BH$4</c:f>
              <c:numCache>
                <c:formatCode>0.00</c:formatCode>
                <c:ptCount val="7"/>
                <c:pt idx="0">
                  <c:v>0.95554712194250835</c:v>
                </c:pt>
                <c:pt idx="1">
                  <c:v>0.97496458936143615</c:v>
                </c:pt>
                <c:pt idx="2">
                  <c:v>0.96635513652726979</c:v>
                </c:pt>
                <c:pt idx="3">
                  <c:v>0.95478358485236026</c:v>
                </c:pt>
                <c:pt idx="4">
                  <c:v>0.94922573002637167</c:v>
                </c:pt>
                <c:pt idx="5">
                  <c:v>0.93101462709062177</c:v>
                </c:pt>
                <c:pt idx="6">
                  <c:v>0.91578839121517386</c:v>
                </c:pt>
              </c:numCache>
            </c:numRef>
          </c:yVal>
          <c:smooth val="0"/>
          <c:extLst>
            <c:ext xmlns:c16="http://schemas.microsoft.com/office/drawing/2014/chart" uri="{C3380CC4-5D6E-409C-BE32-E72D297353CC}">
              <c16:uniqueId val="{00000003-C626-4DAD-9952-034917EDD5A3}"/>
            </c:ext>
          </c:extLst>
        </c:ser>
        <c:ser>
          <c:idx val="3"/>
          <c:order val="3"/>
          <c:tx>
            <c:v>2nd 9 yrs</c:v>
          </c:tx>
          <c:spPr>
            <a:ln w="25400" cap="rnd">
              <a:noFill/>
              <a:round/>
            </a:ln>
            <a:effectLst/>
          </c:spPr>
          <c:marker>
            <c:symbol val="circle"/>
            <c:size val="5"/>
            <c:spPr>
              <a:solidFill>
                <a:srgbClr val="0070C0"/>
              </a:solidFill>
              <a:ln w="9525">
                <a:solidFill>
                  <a:schemeClr val="tx1"/>
                </a:solidFill>
              </a:ln>
              <a:effectLst/>
            </c:spPr>
          </c:marker>
          <c:trendline>
            <c:spPr>
              <a:ln w="38100" cap="rnd">
                <a:solidFill>
                  <a:schemeClr val="accent1">
                    <a:lumMod val="75000"/>
                  </a:schemeClr>
                </a:solidFill>
                <a:prstDash val="sysDot"/>
              </a:ln>
              <a:effectLst/>
            </c:spPr>
            <c:trendlineType val="linear"/>
            <c:dispRSqr val="0"/>
            <c:dispEq val="1"/>
            <c:trendlineLbl>
              <c:layout>
                <c:manualLayout>
                  <c:x val="-6.8980996143810466E-2"/>
                  <c:y val="-0.20237419073421173"/>
                </c:manualLayout>
              </c:layout>
              <c:numFmt formatCode="General" sourceLinked="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PlantData!$BH$6:$BQ$6</c:f>
              <c:numCache>
                <c:formatCode>General</c:formatCode>
                <c:ptCount val="10"/>
                <c:pt idx="0">
                  <c:v>7</c:v>
                </c:pt>
                <c:pt idx="1">
                  <c:v>8</c:v>
                </c:pt>
                <c:pt idx="2">
                  <c:v>9</c:v>
                </c:pt>
                <c:pt idx="3">
                  <c:v>10</c:v>
                </c:pt>
                <c:pt idx="4">
                  <c:v>11</c:v>
                </c:pt>
                <c:pt idx="5">
                  <c:v>12</c:v>
                </c:pt>
                <c:pt idx="6">
                  <c:v>13</c:v>
                </c:pt>
                <c:pt idx="7">
                  <c:v>14</c:v>
                </c:pt>
                <c:pt idx="8">
                  <c:v>15</c:v>
                </c:pt>
                <c:pt idx="9">
                  <c:v>16</c:v>
                </c:pt>
              </c:numCache>
            </c:numRef>
          </c:xVal>
          <c:yVal>
            <c:numRef>
              <c:f>PlantData!$BH$4:$BQ$4</c:f>
              <c:numCache>
                <c:formatCode>0.00</c:formatCode>
                <c:ptCount val="10"/>
                <c:pt idx="0">
                  <c:v>0.91578839121517386</c:v>
                </c:pt>
                <c:pt idx="1">
                  <c:v>0.90286708465950716</c:v>
                </c:pt>
                <c:pt idx="2">
                  <c:v>0.87483963711486967</c:v>
                </c:pt>
                <c:pt idx="3">
                  <c:v>0.86402869952718864</c:v>
                </c:pt>
                <c:pt idx="4">
                  <c:v>0.85965253259434671</c:v>
                </c:pt>
                <c:pt idx="5">
                  <c:v>0.816865598966382</c:v>
                </c:pt>
                <c:pt idx="6">
                  <c:v>0.77423984096966758</c:v>
                </c:pt>
                <c:pt idx="7">
                  <c:v>0.73064362057356824</c:v>
                </c:pt>
                <c:pt idx="8">
                  <c:v>0.61601078022999289</c:v>
                </c:pt>
                <c:pt idx="9">
                  <c:v>0.60557178290612312</c:v>
                </c:pt>
              </c:numCache>
            </c:numRef>
          </c:yVal>
          <c:smooth val="0"/>
          <c:extLst>
            <c:ext xmlns:c16="http://schemas.microsoft.com/office/drawing/2014/chart" uri="{C3380CC4-5D6E-409C-BE32-E72D297353CC}">
              <c16:uniqueId val="{00000005-C626-4DAD-9952-034917EDD5A3}"/>
            </c:ext>
          </c:extLst>
        </c:ser>
        <c:ser>
          <c:idx val="4"/>
          <c:order val="4"/>
          <c:tx>
            <c:v>1st 7 yrs p90</c:v>
          </c:tx>
          <c:spPr>
            <a:ln w="25400" cap="rnd">
              <a:noFill/>
              <a:round/>
            </a:ln>
            <a:effectLst/>
          </c:spPr>
          <c:marker>
            <c:symbol val="circle"/>
            <c:size val="5"/>
            <c:spPr>
              <a:solidFill>
                <a:srgbClr val="FF0000"/>
              </a:solidFill>
              <a:ln w="9525">
                <a:solidFill>
                  <a:schemeClr val="tx1"/>
                </a:solidFill>
              </a:ln>
              <a:effectLst/>
            </c:spPr>
          </c:marker>
          <c:trendline>
            <c:spPr>
              <a:ln w="38100" cap="rnd">
                <a:solidFill>
                  <a:srgbClr val="C00000"/>
                </a:solidFill>
                <a:prstDash val="sysDot"/>
              </a:ln>
              <a:effectLst/>
            </c:spPr>
            <c:trendlineType val="linear"/>
            <c:dispRSqr val="0"/>
            <c:dispEq val="1"/>
            <c:trendlineLbl>
              <c:layout>
                <c:manualLayout>
                  <c:x val="2.97165643285415E-2"/>
                  <c:y val="-5.6487925660696561E-2"/>
                </c:manualLayout>
              </c:layout>
              <c:numFmt formatCode="General" sourceLinked="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PlantData!$BB$6:$BH$6</c:f>
              <c:numCache>
                <c:formatCode>General</c:formatCode>
                <c:ptCount val="7"/>
                <c:pt idx="0">
                  <c:v>1</c:v>
                </c:pt>
                <c:pt idx="1">
                  <c:v>2</c:v>
                </c:pt>
                <c:pt idx="2">
                  <c:v>3</c:v>
                </c:pt>
                <c:pt idx="3">
                  <c:v>4</c:v>
                </c:pt>
                <c:pt idx="4">
                  <c:v>5</c:v>
                </c:pt>
                <c:pt idx="5">
                  <c:v>6</c:v>
                </c:pt>
                <c:pt idx="6">
                  <c:v>7</c:v>
                </c:pt>
              </c:numCache>
            </c:numRef>
          </c:xVal>
          <c:yVal>
            <c:numRef>
              <c:f>PlantData!$BB$2:$BH$2</c:f>
              <c:numCache>
                <c:formatCode>0.00</c:formatCode>
                <c:ptCount val="7"/>
                <c:pt idx="0">
                  <c:v>0.75089982994610061</c:v>
                </c:pt>
                <c:pt idx="1">
                  <c:v>0.69731657041896011</c:v>
                </c:pt>
                <c:pt idx="2">
                  <c:v>0.67702937701064758</c:v>
                </c:pt>
                <c:pt idx="3">
                  <c:v>0.69665630738710349</c:v>
                </c:pt>
                <c:pt idx="4">
                  <c:v>0.6757682994044617</c:v>
                </c:pt>
                <c:pt idx="5">
                  <c:v>0.67349319544597153</c:v>
                </c:pt>
                <c:pt idx="6">
                  <c:v>0.6987243105368437</c:v>
                </c:pt>
              </c:numCache>
            </c:numRef>
          </c:yVal>
          <c:smooth val="0"/>
          <c:extLst>
            <c:ext xmlns:c16="http://schemas.microsoft.com/office/drawing/2014/chart" uri="{C3380CC4-5D6E-409C-BE32-E72D297353CC}">
              <c16:uniqueId val="{00000007-C626-4DAD-9952-034917EDD5A3}"/>
            </c:ext>
          </c:extLst>
        </c:ser>
        <c:ser>
          <c:idx val="5"/>
          <c:order val="5"/>
          <c:tx>
            <c:v>2nd 9 yrs p90</c:v>
          </c:tx>
          <c:spPr>
            <a:ln w="25400" cap="rnd">
              <a:noFill/>
              <a:round/>
            </a:ln>
            <a:effectLst/>
          </c:spPr>
          <c:marker>
            <c:symbol val="circle"/>
            <c:size val="5"/>
            <c:spPr>
              <a:solidFill>
                <a:srgbClr val="FF0000"/>
              </a:solidFill>
              <a:ln w="9525">
                <a:solidFill>
                  <a:schemeClr val="tx1"/>
                </a:solidFill>
              </a:ln>
              <a:effectLst/>
            </c:spPr>
          </c:marker>
          <c:trendline>
            <c:spPr>
              <a:ln w="38100" cap="rnd">
                <a:solidFill>
                  <a:srgbClr val="C00000"/>
                </a:solidFill>
                <a:prstDash val="sysDot"/>
              </a:ln>
              <a:effectLst/>
            </c:spPr>
            <c:trendlineType val="linear"/>
            <c:dispRSqr val="0"/>
            <c:dispEq val="1"/>
            <c:trendlineLbl>
              <c:layout>
                <c:manualLayout>
                  <c:x val="-0.18245143393773025"/>
                  <c:y val="-4.1997348756395374E-2"/>
                </c:manualLayout>
              </c:layout>
              <c:numFmt formatCode="General" sourceLinked="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PlantData!$BH$6:$BQ$6</c:f>
              <c:numCache>
                <c:formatCode>General</c:formatCode>
                <c:ptCount val="10"/>
                <c:pt idx="0">
                  <c:v>7</c:v>
                </c:pt>
                <c:pt idx="1">
                  <c:v>8</c:v>
                </c:pt>
                <c:pt idx="2">
                  <c:v>9</c:v>
                </c:pt>
                <c:pt idx="3">
                  <c:v>10</c:v>
                </c:pt>
                <c:pt idx="4">
                  <c:v>11</c:v>
                </c:pt>
                <c:pt idx="5">
                  <c:v>12</c:v>
                </c:pt>
                <c:pt idx="6">
                  <c:v>13</c:v>
                </c:pt>
                <c:pt idx="7">
                  <c:v>14</c:v>
                </c:pt>
                <c:pt idx="8">
                  <c:v>15</c:v>
                </c:pt>
                <c:pt idx="9">
                  <c:v>16</c:v>
                </c:pt>
              </c:numCache>
            </c:numRef>
          </c:xVal>
          <c:yVal>
            <c:numRef>
              <c:f>PlantData!$BH$2:$BQ$2</c:f>
              <c:numCache>
                <c:formatCode>0.00</c:formatCode>
                <c:ptCount val="10"/>
                <c:pt idx="0">
                  <c:v>0.6987243105368437</c:v>
                </c:pt>
                <c:pt idx="1">
                  <c:v>0.57219693528298488</c:v>
                </c:pt>
                <c:pt idx="2">
                  <c:v>0.49377774688560766</c:v>
                </c:pt>
                <c:pt idx="3">
                  <c:v>0.50667682262689961</c:v>
                </c:pt>
                <c:pt idx="4">
                  <c:v>0.54405795730211437</c:v>
                </c:pt>
                <c:pt idx="5">
                  <c:v>0.48452895719234063</c:v>
                </c:pt>
                <c:pt idx="6">
                  <c:v>0.43411526807861434</c:v>
                </c:pt>
                <c:pt idx="7">
                  <c:v>0.22955766805195427</c:v>
                </c:pt>
                <c:pt idx="8">
                  <c:v>0.24583535712504645</c:v>
                </c:pt>
                <c:pt idx="9">
                  <c:v>0.29769870360831013</c:v>
                </c:pt>
              </c:numCache>
            </c:numRef>
          </c:yVal>
          <c:smooth val="0"/>
          <c:extLst>
            <c:ext xmlns:c16="http://schemas.microsoft.com/office/drawing/2014/chart" uri="{C3380CC4-5D6E-409C-BE32-E72D297353CC}">
              <c16:uniqueId val="{00000009-C626-4DAD-9952-034917EDD5A3}"/>
            </c:ext>
          </c:extLst>
        </c:ser>
        <c:ser>
          <c:idx val="6"/>
          <c:order val="6"/>
          <c:tx>
            <c:strRef>
              <c:f>Newer25!$BA$4</c:f>
              <c:strCache>
                <c:ptCount val="1"/>
                <c:pt idx="0">
                  <c:v>Set B p50</c:v>
                </c:pt>
              </c:strCache>
            </c:strRef>
          </c:tx>
          <c:spPr>
            <a:ln w="25400" cap="rnd">
              <a:noFill/>
              <a:round/>
            </a:ln>
            <a:effectLst/>
          </c:spPr>
          <c:marker>
            <c:symbol val="triangle"/>
            <c:size val="5"/>
            <c:spPr>
              <a:solidFill>
                <a:srgbClr val="FFFF00"/>
              </a:solidFill>
              <a:ln w="9525">
                <a:solidFill>
                  <a:schemeClr val="accent1">
                    <a:lumMod val="60000"/>
                  </a:schemeClr>
                </a:solidFill>
              </a:ln>
              <a:effectLst/>
            </c:spPr>
          </c:marker>
          <c:trendline>
            <c:spPr>
              <a:ln w="22225" cap="rnd">
                <a:solidFill>
                  <a:schemeClr val="accent4">
                    <a:lumMod val="75000"/>
                  </a:schemeClr>
                </a:solidFill>
                <a:prstDash val="sysDot"/>
              </a:ln>
              <a:effectLst/>
            </c:spPr>
            <c:trendlineType val="linear"/>
            <c:dispRSqr val="0"/>
            <c:dispEq val="1"/>
            <c:trendlineLbl>
              <c:layout>
                <c:manualLayout>
                  <c:x val="-0.11180270172650435"/>
                  <c:y val="3.3430101760546199E-2"/>
                </c:manualLayout>
              </c:layout>
              <c:numFmt formatCode="General" sourceLinked="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rendlineLbl>
          </c:trendline>
          <c:xVal>
            <c:numRef>
              <c:f>Newer25!$BB$6:$BH$6</c:f>
              <c:numCache>
                <c:formatCode>General</c:formatCode>
                <c:ptCount val="7"/>
                <c:pt idx="0">
                  <c:v>1</c:v>
                </c:pt>
                <c:pt idx="1">
                  <c:v>2</c:v>
                </c:pt>
                <c:pt idx="2">
                  <c:v>3</c:v>
                </c:pt>
                <c:pt idx="3">
                  <c:v>4</c:v>
                </c:pt>
                <c:pt idx="4">
                  <c:v>5</c:v>
                </c:pt>
                <c:pt idx="5">
                  <c:v>6</c:v>
                </c:pt>
                <c:pt idx="6">
                  <c:v>7</c:v>
                </c:pt>
              </c:numCache>
            </c:numRef>
          </c:xVal>
          <c:yVal>
            <c:numRef>
              <c:f>Newer25!$BB$4:$BH$4</c:f>
              <c:numCache>
                <c:formatCode>0.00</c:formatCode>
                <c:ptCount val="7"/>
                <c:pt idx="0">
                  <c:v>0.89649755286773325</c:v>
                </c:pt>
                <c:pt idx="1">
                  <c:v>0.92732281906261838</c:v>
                </c:pt>
                <c:pt idx="2">
                  <c:v>0.9167828757282569</c:v>
                </c:pt>
                <c:pt idx="3">
                  <c:v>0.93104947177741926</c:v>
                </c:pt>
                <c:pt idx="4">
                  <c:v>0.93528148733135053</c:v>
                </c:pt>
                <c:pt idx="5">
                  <c:v>0.90737592551628365</c:v>
                </c:pt>
                <c:pt idx="6">
                  <c:v>0.88978353349503558</c:v>
                </c:pt>
              </c:numCache>
            </c:numRef>
          </c:yVal>
          <c:smooth val="0"/>
          <c:extLst>
            <c:ext xmlns:c16="http://schemas.microsoft.com/office/drawing/2014/chart" uri="{C3380CC4-5D6E-409C-BE32-E72D297353CC}">
              <c16:uniqueId val="{0000000A-C626-4DAD-9952-034917EDD5A3}"/>
            </c:ext>
          </c:extLst>
        </c:ser>
        <c:ser>
          <c:idx val="7"/>
          <c:order val="7"/>
          <c:tx>
            <c:strRef>
              <c:f>Newer25!$BA$2</c:f>
              <c:strCache>
                <c:ptCount val="1"/>
                <c:pt idx="0">
                  <c:v>Set B p90</c:v>
                </c:pt>
              </c:strCache>
            </c:strRef>
          </c:tx>
          <c:spPr>
            <a:ln w="25400" cap="rnd">
              <a:noFill/>
              <a:round/>
            </a:ln>
            <a:effectLst/>
          </c:spPr>
          <c:marker>
            <c:symbol val="triangle"/>
            <c:size val="5"/>
            <c:spPr>
              <a:solidFill>
                <a:srgbClr val="00B050"/>
              </a:solidFill>
              <a:ln w="9525">
                <a:solidFill>
                  <a:schemeClr val="tx1"/>
                </a:solidFill>
              </a:ln>
              <a:effectLst/>
            </c:spPr>
          </c:marker>
          <c:trendline>
            <c:spPr>
              <a:ln w="22225" cap="rnd">
                <a:solidFill>
                  <a:srgbClr val="00B050"/>
                </a:solidFill>
                <a:prstDash val="sysDot"/>
              </a:ln>
              <a:effectLst/>
            </c:spPr>
            <c:trendlineType val="linear"/>
            <c:dispRSqr val="0"/>
            <c:dispEq val="1"/>
            <c:trendlineLbl>
              <c:layout>
                <c:manualLayout>
                  <c:x val="-5.8268756772375932E-2"/>
                  <c:y val="-1.0742585524745073E-2"/>
                </c:manualLayout>
              </c:layout>
              <c:numFmt formatCode="General" sourceLinked="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rendlineLbl>
          </c:trendline>
          <c:xVal>
            <c:numRef>
              <c:f>Newer25!$BB$6:$BH$6</c:f>
              <c:numCache>
                <c:formatCode>General</c:formatCode>
                <c:ptCount val="7"/>
                <c:pt idx="0">
                  <c:v>1</c:v>
                </c:pt>
                <c:pt idx="1">
                  <c:v>2</c:v>
                </c:pt>
                <c:pt idx="2">
                  <c:v>3</c:v>
                </c:pt>
                <c:pt idx="3">
                  <c:v>4</c:v>
                </c:pt>
                <c:pt idx="4">
                  <c:v>5</c:v>
                </c:pt>
                <c:pt idx="5">
                  <c:v>6</c:v>
                </c:pt>
                <c:pt idx="6">
                  <c:v>7</c:v>
                </c:pt>
              </c:numCache>
            </c:numRef>
          </c:xVal>
          <c:yVal>
            <c:numRef>
              <c:f>Newer25!$BB$2:$BH$2</c:f>
              <c:numCache>
                <c:formatCode>0.00</c:formatCode>
                <c:ptCount val="7"/>
                <c:pt idx="0">
                  <c:v>0.7345886225237015</c:v>
                </c:pt>
                <c:pt idx="1">
                  <c:v>0.76989563653126347</c:v>
                </c:pt>
                <c:pt idx="2">
                  <c:v>0.58364342919699563</c:v>
                </c:pt>
                <c:pt idx="3">
                  <c:v>0.56012708261187827</c:v>
                </c:pt>
                <c:pt idx="4">
                  <c:v>0.61847177175886947</c:v>
                </c:pt>
                <c:pt idx="5">
                  <c:v>0.45120681482414465</c:v>
                </c:pt>
                <c:pt idx="6">
                  <c:v>0.48338478526147138</c:v>
                </c:pt>
              </c:numCache>
            </c:numRef>
          </c:yVal>
          <c:smooth val="0"/>
          <c:extLst>
            <c:ext xmlns:c16="http://schemas.microsoft.com/office/drawing/2014/chart" uri="{C3380CC4-5D6E-409C-BE32-E72D297353CC}">
              <c16:uniqueId val="{0000000B-C626-4DAD-9952-034917EDD5A3}"/>
            </c:ext>
          </c:extLst>
        </c:ser>
        <c:dLbls>
          <c:showLegendKey val="0"/>
          <c:showVal val="0"/>
          <c:showCatName val="0"/>
          <c:showSerName val="0"/>
          <c:showPercent val="0"/>
          <c:showBubbleSize val="0"/>
        </c:dLbls>
        <c:axId val="883362447"/>
        <c:axId val="883348527"/>
      </c:scatterChart>
      <c:valAx>
        <c:axId val="883362447"/>
        <c:scaling>
          <c:orientation val="minMax"/>
          <c:max val="16"/>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Year of operation</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83348527"/>
        <c:crosses val="autoZero"/>
        <c:crossBetween val="midCat"/>
        <c:majorUnit val="1"/>
      </c:valAx>
      <c:valAx>
        <c:axId val="883348527"/>
        <c:scaling>
          <c:orientation val="minMax"/>
          <c:max val="1"/>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Normalized</a:t>
                </a:r>
                <a:r>
                  <a:rPr lang="en-US" sz="2000" b="1" baseline="0"/>
                  <a:t> annual generation</a:t>
                </a:r>
                <a:endParaRPr lang="en-US" sz="2000" b="1"/>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83362447"/>
        <c:crosses val="autoZero"/>
        <c:crossBetween val="midCat"/>
      </c:valAx>
      <c:spPr>
        <a:noFill/>
        <a:ln>
          <a:noFill/>
        </a:ln>
        <a:effectLst/>
      </c:spPr>
    </c:plotArea>
    <c:legend>
      <c:legendPos val="b"/>
      <c:legendEntry>
        <c:idx val="2"/>
        <c:delete val="1"/>
      </c:legendEntry>
      <c:legendEntry>
        <c:idx val="3"/>
        <c:delete val="1"/>
      </c:legendEntry>
      <c:legendEntry>
        <c:idx val="4"/>
        <c:delete val="1"/>
      </c:legendEntry>
      <c:legendEntry>
        <c:idx val="5"/>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p90/p50 ratio by year for Top 100 U.S.'s</a:t>
            </a:r>
            <a:r>
              <a:rPr lang="en-US" sz="1600" b="1" baseline="0"/>
              <a:t> longest-running PV systems</a:t>
            </a:r>
          </a:p>
          <a:p>
            <a:pPr>
              <a:defRPr sz="1600" b="1"/>
            </a:pPr>
            <a:r>
              <a:rPr lang="en-US" sz="1400" b="0" baseline="0"/>
              <a:t>This ratio is dropping by 2.4% per year, that is, the uncertainty of the downside is worsening by 2.4% per year.</a:t>
            </a:r>
            <a:endParaRPr lang="en-US" sz="1400" b="0"/>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p90observed/p50</c:v>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1"/>
            <c:dispEq val="1"/>
            <c:trendlineLbl>
              <c:layout>
                <c:manualLayout>
                  <c:x val="-0.25715235136892295"/>
                  <c:y val="-0.19558121818639074"/>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accent1"/>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PlantData!$BB$108:$BQ$108</c:f>
              <c:numCache>
                <c:formatCode>0.00</c:formatCode>
                <c:ptCount val="16"/>
                <c:pt idx="0">
                  <c:v>0.77294915821074517</c:v>
                </c:pt>
                <c:pt idx="1">
                  <c:v>0.72577819925418585</c:v>
                </c:pt>
                <c:pt idx="2">
                  <c:v>0.7753019765342597</c:v>
                </c:pt>
                <c:pt idx="3">
                  <c:v>0.80833021613460376</c:v>
                </c:pt>
                <c:pt idx="4">
                  <c:v>0.74230186431853185</c:v>
                </c:pt>
                <c:pt idx="5">
                  <c:v>0.81778327285649177</c:v>
                </c:pt>
                <c:pt idx="6">
                  <c:v>0.77965542680929145</c:v>
                </c:pt>
                <c:pt idx="7">
                  <c:v>0.69950522743066634</c:v>
                </c:pt>
                <c:pt idx="8">
                  <c:v>0.64185122487957469</c:v>
                </c:pt>
                <c:pt idx="9">
                  <c:v>0.55814501121979454</c:v>
                </c:pt>
                <c:pt idx="10">
                  <c:v>0.62249614050747792</c:v>
                </c:pt>
                <c:pt idx="11">
                  <c:v>0.63808981267250953</c:v>
                </c:pt>
                <c:pt idx="12">
                  <c:v>0.62092878313676325</c:v>
                </c:pt>
                <c:pt idx="13">
                  <c:v>0.18787803026137434</c:v>
                </c:pt>
                <c:pt idx="14">
                  <c:v>0.46700714909100505</c:v>
                </c:pt>
                <c:pt idx="15">
                  <c:v>0.66415499927433608</c:v>
                </c:pt>
              </c:numCache>
            </c:numRef>
          </c:yVal>
          <c:smooth val="1"/>
          <c:extLst>
            <c:ext xmlns:c16="http://schemas.microsoft.com/office/drawing/2014/chart" uri="{C3380CC4-5D6E-409C-BE32-E72D297353CC}">
              <c16:uniqueId val="{00000000-A7D3-4AF1-857A-24FDF73C201B}"/>
            </c:ext>
          </c:extLst>
        </c:ser>
        <c:ser>
          <c:idx val="1"/>
          <c:order val="1"/>
          <c:tx>
            <c:v>p90statistical/p50</c:v>
          </c:tx>
          <c:spPr>
            <a:ln w="19050" cap="rnd">
              <a:solidFill>
                <a:schemeClr val="accent2"/>
              </a:solidFill>
              <a:round/>
            </a:ln>
            <a:effectLst/>
          </c:spPr>
          <c:marker>
            <c:symbol val="none"/>
          </c:marker>
          <c:trendline>
            <c:spPr>
              <a:ln w="19050" cap="rnd">
                <a:solidFill>
                  <a:schemeClr val="accent2"/>
                </a:solidFill>
                <a:prstDash val="sysDot"/>
              </a:ln>
              <a:effectLst/>
            </c:spPr>
            <c:trendlineType val="linear"/>
            <c:dispRSqr val="1"/>
            <c:dispEq val="1"/>
            <c:trendlineLbl>
              <c:layout>
                <c:manualLayout>
                  <c:x val="-0.51109730549736332"/>
                  <c:y val="-0.15053571971803098"/>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accent2"/>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PlantData!$BB$107:$BQ$107</c:f>
              <c:numCache>
                <c:formatCode>0.00</c:formatCode>
                <c:ptCount val="16"/>
                <c:pt idx="0">
                  <c:v>0.7858323390892693</c:v>
                </c:pt>
                <c:pt idx="1">
                  <c:v>0.71522245836197529</c:v>
                </c:pt>
                <c:pt idx="2">
                  <c:v>0.70060100207429521</c:v>
                </c:pt>
                <c:pt idx="3">
                  <c:v>0.7296483919911847</c:v>
                </c:pt>
                <c:pt idx="4">
                  <c:v>0.71191527792413223</c:v>
                </c:pt>
                <c:pt idx="5">
                  <c:v>0.72339700778988514</c:v>
                </c:pt>
                <c:pt idx="6">
                  <c:v>0.76297572369277966</c:v>
                </c:pt>
                <c:pt idx="7">
                  <c:v>0.63375544972798969</c:v>
                </c:pt>
                <c:pt idx="8">
                  <c:v>0.56442086747925069</c:v>
                </c:pt>
                <c:pt idx="9">
                  <c:v>0.58641202879506416</c:v>
                </c:pt>
                <c:pt idx="10">
                  <c:v>0.6328812359340128</c:v>
                </c:pt>
                <c:pt idx="11">
                  <c:v>0.59315627663282389</c:v>
                </c:pt>
                <c:pt idx="12">
                  <c:v>0.56069869452200105</c:v>
                </c:pt>
                <c:pt idx="13">
                  <c:v>0.31418555036687712</c:v>
                </c:pt>
                <c:pt idx="14">
                  <c:v>0.39907638797045358</c:v>
                </c:pt>
                <c:pt idx="15">
                  <c:v>0.4915993644546347</c:v>
                </c:pt>
              </c:numCache>
            </c:numRef>
          </c:yVal>
          <c:smooth val="1"/>
          <c:extLst>
            <c:ext xmlns:c16="http://schemas.microsoft.com/office/drawing/2014/chart" uri="{C3380CC4-5D6E-409C-BE32-E72D297353CC}">
              <c16:uniqueId val="{00000001-A7D3-4AF1-857A-24FDF73C201B}"/>
            </c:ext>
          </c:extLst>
        </c:ser>
        <c:dLbls>
          <c:showLegendKey val="0"/>
          <c:showVal val="0"/>
          <c:showCatName val="0"/>
          <c:showSerName val="0"/>
          <c:showPercent val="0"/>
          <c:showBubbleSize val="0"/>
        </c:dLbls>
        <c:axId val="450835999"/>
        <c:axId val="450847999"/>
      </c:scatterChart>
      <c:valAx>
        <c:axId val="450835999"/>
        <c:scaling>
          <c:orientation val="minMax"/>
          <c:max val="16"/>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Years</a:t>
                </a:r>
                <a:r>
                  <a:rPr lang="en-US" sz="1400" b="1" baseline="0"/>
                  <a:t>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50847999"/>
        <c:crosses val="autoZero"/>
        <c:crossBetween val="midCat"/>
        <c:majorUnit val="1"/>
      </c:valAx>
      <c:valAx>
        <c:axId val="450847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p90/p50</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50835999"/>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p50</c:v>
                </c:pt>
              </c:strCache>
            </c:strRef>
          </c:tx>
          <c:spPr>
            <a:ln w="63500" cap="rnd">
              <a:solidFill>
                <a:srgbClr val="FF0000"/>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0.22740330853138771"/>
                  <c:y val="1.0805020193314935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1"/>
          <c:extLst>
            <c:ext xmlns:c16="http://schemas.microsoft.com/office/drawing/2014/chart" uri="{C3380CC4-5D6E-409C-BE32-E72D297353CC}">
              <c16:uniqueId val="{0000000A-AEB0-4878-9E76-843E6A2A2DA4}"/>
            </c:ext>
          </c:extLst>
        </c:ser>
        <c:ser>
          <c:idx val="28"/>
          <c:order val="1"/>
          <c:tx>
            <c:strRef>
              <c:f>PlantData!$BA$2</c:f>
              <c:strCache>
                <c:ptCount val="1"/>
                <c:pt idx="0">
                  <c:v>p90</c:v>
                </c:pt>
              </c:strCache>
            </c:strRef>
          </c:tx>
          <c:spPr>
            <a:ln w="25400" cap="rnd">
              <a:solidFill>
                <a:srgbClr val="FF0000"/>
              </a:solidFill>
              <a:prstDash val="sysDash"/>
              <a:round/>
            </a:ln>
            <a:effectLst/>
          </c:spPr>
          <c:marker>
            <c:symbol val="none"/>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0.75089982994610061</c:v>
                </c:pt>
                <c:pt idx="1">
                  <c:v>0.69731657041896011</c:v>
                </c:pt>
                <c:pt idx="2">
                  <c:v>0.67702937701064758</c:v>
                </c:pt>
                <c:pt idx="3">
                  <c:v>0.69665630738710349</c:v>
                </c:pt>
                <c:pt idx="4">
                  <c:v>0.6757682994044617</c:v>
                </c:pt>
                <c:pt idx="5">
                  <c:v>0.67349319544597153</c:v>
                </c:pt>
                <c:pt idx="6">
                  <c:v>0.6987243105368437</c:v>
                </c:pt>
                <c:pt idx="7">
                  <c:v>0.57219693528298488</c:v>
                </c:pt>
                <c:pt idx="8">
                  <c:v>0.49377774688560766</c:v>
                </c:pt>
                <c:pt idx="9">
                  <c:v>0.50667682262689961</c:v>
                </c:pt>
                <c:pt idx="10">
                  <c:v>0.54405795730211437</c:v>
                </c:pt>
                <c:pt idx="11">
                  <c:v>0.48452895719234063</c:v>
                </c:pt>
                <c:pt idx="12">
                  <c:v>0.43411526807861434</c:v>
                </c:pt>
                <c:pt idx="13">
                  <c:v>0.22955766805195427</c:v>
                </c:pt>
                <c:pt idx="14">
                  <c:v>0.24583535712504645</c:v>
                </c:pt>
                <c:pt idx="15">
                  <c:v>0.29769870360831013</c:v>
                </c:pt>
              </c:numCache>
            </c:numRef>
          </c:yVal>
          <c:smooth val="1"/>
          <c:extLst>
            <c:ext xmlns:c16="http://schemas.microsoft.com/office/drawing/2014/chart" uri="{C3380CC4-5D6E-409C-BE32-E72D297353CC}">
              <c16:uniqueId val="{0000001D-AEB0-4878-9E76-843E6A2A2DA4}"/>
            </c:ext>
          </c:extLst>
        </c:ser>
        <c:ser>
          <c:idx val="50"/>
          <c:order val="2"/>
          <c:tx>
            <c:strRef>
              <c:f>PlantData!$BA$113</c:f>
              <c:strCache>
                <c:ptCount val="1"/>
                <c:pt idx="0">
                  <c:v>p90 (obs.rank)</c:v>
                </c:pt>
              </c:strCache>
            </c:strRef>
          </c:tx>
          <c:spPr>
            <a:ln w="28575" cap="rnd">
              <a:solidFill>
                <a:srgbClr val="FF0000"/>
              </a:solidFill>
              <a:round/>
            </a:ln>
            <a:effectLst/>
          </c:spPr>
          <c:marker>
            <c:symbol val="none"/>
          </c:marker>
          <c:trendline>
            <c:spPr>
              <a:ln w="50800" cap="rnd">
                <a:solidFill>
                  <a:srgbClr val="FF0000"/>
                </a:solidFill>
                <a:prstDash val="sysDot"/>
              </a:ln>
              <a:effectLst/>
            </c:spPr>
            <c:trendlineType val="linear"/>
            <c:dispRSqr val="1"/>
            <c:dispEq val="1"/>
            <c:trendlineLbl>
              <c:layout>
                <c:manualLayout>
                  <c:x val="0.23591706999927761"/>
                  <c:y val="8.4106825080834946E-3"/>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0.73858934353616212</c:v>
                </c:pt>
                <c:pt idx="1">
                  <c:v>0.70760804400333988</c:v>
                </c:pt>
                <c:pt idx="2">
                  <c:v>0.7492170473836266</c:v>
                </c:pt>
                <c:pt idx="3">
                  <c:v>0.77178042150548021</c:v>
                </c:pt>
                <c:pt idx="4">
                  <c:v>0.70461202905769504</c:v>
                </c:pt>
                <c:pt idx="5">
                  <c:v>0.76136818881943491</c:v>
                </c:pt>
                <c:pt idx="6">
                  <c:v>0.71399938901986071</c:v>
                </c:pt>
                <c:pt idx="7">
                  <c:v>0.63156024539441125</c:v>
                </c:pt>
                <c:pt idx="8">
                  <c:v>0.56151689265538174</c:v>
                </c:pt>
                <c:pt idx="9">
                  <c:v>0.48225330819182721</c:v>
                </c:pt>
                <c:pt idx="10">
                  <c:v>0.53513038371745969</c:v>
                </c:pt>
                <c:pt idx="11">
                  <c:v>0.52123361702307602</c:v>
                </c:pt>
                <c:pt idx="12">
                  <c:v>0.48074780230929676</c:v>
                </c:pt>
                <c:pt idx="13">
                  <c:v>0.13727188425640097</c:v>
                </c:pt>
                <c:pt idx="14">
                  <c:v>0.28768143828453463</c:v>
                </c:pt>
                <c:pt idx="15">
                  <c:v>0.40219352703657463</c:v>
                </c:pt>
              </c:numCache>
            </c:numRef>
          </c:yVal>
          <c:smooth val="1"/>
          <c:extLst>
            <c:ext xmlns:c16="http://schemas.microsoft.com/office/drawing/2014/chart" uri="{C3380CC4-5D6E-409C-BE32-E72D297353CC}">
              <c16:uniqueId val="{00000033-AEB0-4878-9E76-843E6A2A2DA4}"/>
            </c:ext>
          </c:extLst>
        </c:ser>
        <c:ser>
          <c:idx val="0"/>
          <c:order val="3"/>
          <c:tx>
            <c:strRef>
              <c:f>PlantData!$C$7</c:f>
              <c:strCache>
                <c:ptCount val="1"/>
                <c:pt idx="0">
                  <c:v>Agua Fria PV-3</c:v>
                </c:pt>
              </c:strCache>
            </c:strRef>
          </c:tx>
          <c:spPr>
            <a:ln w="12700" cap="rnd">
              <a:solidFill>
                <a:schemeClr val="accent1"/>
              </a:solidFill>
              <a:prstDash val="sysDot"/>
              <a:round/>
            </a:ln>
            <a:effectLst/>
          </c:spPr>
          <c:marker>
            <c:symbol val="circle"/>
            <c:size val="5"/>
            <c:spPr>
              <a:solidFill>
                <a:schemeClr val="accent1"/>
              </a:solidFill>
              <a:ln w="9525">
                <a:solidFill>
                  <a:schemeClr val="accent1"/>
                </a:solidFill>
              </a:ln>
              <a:effectLst/>
            </c:spPr>
          </c:marker>
          <c:xVal>
            <c:numRef>
              <c:f>PlantData!$BB$6:$BX$6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PlantData!$BB$7:$BX$7</c:f>
              <c:numCache>
                <c:formatCode>0.00</c:formatCode>
                <c:ptCount val="23"/>
                <c:pt idx="0">
                  <c:v>0.72908004236912194</c:v>
                </c:pt>
                <c:pt idx="1">
                  <c:v>0.55094910650373186</c:v>
                </c:pt>
                <c:pt idx="2">
                  <c:v>0.20694499711322348</c:v>
                </c:pt>
                <c:pt idx="3">
                  <c:v>0.53401533955605685</c:v>
                </c:pt>
                <c:pt idx="4">
                  <c:v>0.74949521341200953</c:v>
                </c:pt>
                <c:pt idx="5">
                  <c:v>0.82707357960922245</c:v>
                </c:pt>
                <c:pt idx="6">
                  <c:v>0.38232763244472634</c:v>
                </c:pt>
                <c:pt idx="7">
                  <c:v>0.8373184480151511</c:v>
                </c:pt>
                <c:pt idx="8">
                  <c:v>0.85881771015527997</c:v>
                </c:pt>
                <c:pt idx="9">
                  <c:v>0.84382390551832398</c:v>
                </c:pt>
                <c:pt idx="10">
                  <c:v>0.76655690967362655</c:v>
                </c:pt>
                <c:pt idx="11">
                  <c:v>0.49735261616124876</c:v>
                </c:pt>
                <c:pt idx="12">
                  <c:v>0</c:v>
                </c:pt>
                <c:pt idx="13">
                  <c:v>0.30141821640539301</c:v>
                </c:pt>
                <c:pt idx="14">
                  <c:v>0.42964990284737592</c:v>
                </c:pt>
                <c:pt idx="15">
                  <c:v>0.55916273857820276</c:v>
                </c:pt>
                <c:pt idx="16">
                  <c:v>0.27198673955770158</c:v>
                </c:pt>
                <c:pt idx="17">
                  <c:v>0</c:v>
                </c:pt>
                <c:pt idx="18">
                  <c:v>0</c:v>
                </c:pt>
                <c:pt idx="19">
                  <c:v>0</c:v>
                </c:pt>
                <c:pt idx="20">
                  <c:v>0</c:v>
                </c:pt>
                <c:pt idx="21">
                  <c:v>4.3063836069786303E-2</c:v>
                </c:pt>
                <c:pt idx="22">
                  <c:v>0.16281613062996497</c:v>
                </c:pt>
              </c:numCache>
            </c:numRef>
          </c:yVal>
          <c:smooth val="0"/>
          <c:extLst>
            <c:ext xmlns:c16="http://schemas.microsoft.com/office/drawing/2014/chart" uri="{C3380CC4-5D6E-409C-BE32-E72D297353CC}">
              <c16:uniqueId val="{00000000-AEB0-4878-9E76-843E6A2A2DA4}"/>
            </c:ext>
          </c:extLst>
        </c:ser>
        <c:ser>
          <c:idx val="1"/>
          <c:order val="4"/>
          <c:tx>
            <c:strRef>
              <c:f>PlantData!$C$8</c:f>
              <c:strCache>
                <c:ptCount val="1"/>
                <c:pt idx="0">
                  <c:v>Nellis Sunpower</c:v>
                </c:pt>
              </c:strCache>
            </c:strRef>
          </c:tx>
          <c:spPr>
            <a:ln w="12700" cap="rnd">
              <a:solidFill>
                <a:schemeClr val="accent1"/>
              </a:solidFill>
              <a:prstDash val="sysDot"/>
              <a:round/>
            </a:ln>
            <a:effectLst/>
          </c:spPr>
          <c:marker>
            <c:symbol val="circle"/>
            <c:size val="5"/>
            <c:spPr>
              <a:solidFill>
                <a:schemeClr val="accent2"/>
              </a:solidFill>
              <a:ln w="9525">
                <a:solidFill>
                  <a:schemeClr val="accent2"/>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PlantData!$BB$8:$BR$8</c:f>
              <c:numCache>
                <c:formatCode>0.00</c:formatCode>
                <c:ptCount val="17"/>
                <c:pt idx="0">
                  <c:v>1.015625</c:v>
                </c:pt>
                <c:pt idx="1">
                  <c:v>1.0050251256281406</c:v>
                </c:pt>
                <c:pt idx="2">
                  <c:v>0.98801166637206117</c:v>
                </c:pt>
                <c:pt idx="3">
                  <c:v>1.019116694048257</c:v>
                </c:pt>
                <c:pt idx="4">
                  <c:v>1.0253219017702644</c:v>
                </c:pt>
                <c:pt idx="5">
                  <c:v>1.0176249872897576</c:v>
                </c:pt>
                <c:pt idx="6">
                  <c:v>1.004833185811133</c:v>
                </c:pt>
                <c:pt idx="7">
                  <c:v>0.98483134787652638</c:v>
                </c:pt>
                <c:pt idx="8">
                  <c:v>0.64162664039483874</c:v>
                </c:pt>
                <c:pt idx="9">
                  <c:v>0.92234110504153655</c:v>
                </c:pt>
                <c:pt idx="10">
                  <c:v>0.88416417096533406</c:v>
                </c:pt>
                <c:pt idx="11">
                  <c:v>0.87420985500285731</c:v>
                </c:pt>
                <c:pt idx="12">
                  <c:v>0.82832397885082709</c:v>
                </c:pt>
                <c:pt idx="13">
                  <c:v>0.63973273613384696</c:v>
                </c:pt>
                <c:pt idx="14">
                  <c:v>0.66959727753855791</c:v>
                </c:pt>
                <c:pt idx="15">
                  <c:v>0.731852587592284</c:v>
                </c:pt>
                <c:pt idx="16">
                  <c:v>0.80463750837893555</c:v>
                </c:pt>
              </c:numCache>
            </c:numRef>
          </c:yVal>
          <c:smooth val="0"/>
          <c:extLst>
            <c:ext xmlns:c16="http://schemas.microsoft.com/office/drawing/2014/chart" uri="{C3380CC4-5D6E-409C-BE32-E72D297353CC}">
              <c16:uniqueId val="{00000001-AEB0-4878-9E76-843E6A2A2DA4}"/>
            </c:ext>
          </c:extLst>
        </c:ser>
        <c:ser>
          <c:idx val="2"/>
          <c:order val="5"/>
          <c:tx>
            <c:strRef>
              <c:f>PlantData!$C$9</c:f>
              <c:strCache>
                <c:ptCount val="1"/>
                <c:pt idx="0">
                  <c:v>SunE Alamosa1</c:v>
                </c:pt>
              </c:strCache>
            </c:strRef>
          </c:tx>
          <c:spPr>
            <a:ln w="12700" cap="rnd">
              <a:solidFill>
                <a:schemeClr val="accent1"/>
              </a:solidFill>
              <a:prstDash val="sysDot"/>
              <a:round/>
            </a:ln>
            <a:effectLst/>
          </c:spPr>
          <c:marker>
            <c:symbol val="circle"/>
            <c:size val="5"/>
            <c:spPr>
              <a:solidFill>
                <a:schemeClr val="accent3"/>
              </a:solidFill>
              <a:ln w="9525">
                <a:solidFill>
                  <a:schemeClr val="accent3"/>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PlantData!$BB$9:$BR$9</c:f>
              <c:numCache>
                <c:formatCode>0.00</c:formatCode>
                <c:ptCount val="17"/>
                <c:pt idx="0">
                  <c:v>0.86156351293016908</c:v>
                </c:pt>
                <c:pt idx="1">
                  <c:v>0.86213917790401451</c:v>
                </c:pt>
                <c:pt idx="2">
                  <c:v>0.87406650235041639</c:v>
                </c:pt>
                <c:pt idx="3">
                  <c:v>0.88788795992287439</c:v>
                </c:pt>
                <c:pt idx="4">
                  <c:v>0.88111824615715939</c:v>
                </c:pt>
                <c:pt idx="5">
                  <c:v>0.85198462509892503</c:v>
                </c:pt>
                <c:pt idx="6">
                  <c:v>0.84076838687239086</c:v>
                </c:pt>
                <c:pt idx="7">
                  <c:v>0.13427458989843302</c:v>
                </c:pt>
                <c:pt idx="8">
                  <c:v>0.13484702472646379</c:v>
                </c:pt>
                <c:pt idx="9">
                  <c:v>1.1499999999999999</c:v>
                </c:pt>
                <c:pt idx="10">
                  <c:v>0.82358963403313246</c:v>
                </c:pt>
                <c:pt idx="11">
                  <c:v>0.80581339165191135</c:v>
                </c:pt>
                <c:pt idx="12">
                  <c:v>0.74415302251885529</c:v>
                </c:pt>
                <c:pt idx="13">
                  <c:v>0.64628863143426585</c:v>
                </c:pt>
                <c:pt idx="14">
                  <c:v>0.7237630095906884</c:v>
                </c:pt>
                <c:pt idx="15">
                  <c:v>0.60172495516561963</c:v>
                </c:pt>
                <c:pt idx="16">
                  <c:v>0.71540008510015962</c:v>
                </c:pt>
              </c:numCache>
            </c:numRef>
          </c:yVal>
          <c:smooth val="0"/>
          <c:extLst>
            <c:ext xmlns:c16="http://schemas.microsoft.com/office/drawing/2014/chart" uri="{C3380CC4-5D6E-409C-BE32-E72D297353CC}">
              <c16:uniqueId val="{00000002-AEB0-4878-9E76-843E6A2A2DA4}"/>
            </c:ext>
          </c:extLst>
        </c:ser>
        <c:ser>
          <c:idx val="3"/>
          <c:order val="6"/>
          <c:tx>
            <c:strRef>
              <c:f>PlantData!$C$10</c:f>
              <c:strCache>
                <c:ptCount val="1"/>
                <c:pt idx="0">
                  <c:v>Atlantic Cty ConvCtr</c:v>
                </c:pt>
              </c:strCache>
            </c:strRef>
          </c:tx>
          <c:spPr>
            <a:ln w="12700" cap="rnd">
              <a:solidFill>
                <a:schemeClr val="accent1"/>
              </a:solidFill>
              <a:prstDash val="sysDot"/>
              <a:round/>
            </a:ln>
            <a:effectLst/>
          </c:spPr>
          <c:marker>
            <c:symbol val="circle"/>
            <c:size val="5"/>
            <c:spPr>
              <a:solidFill>
                <a:schemeClr val="accent4"/>
              </a:solidFill>
              <a:ln w="9525">
                <a:solidFill>
                  <a:schemeClr val="accent4"/>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PlantData!$BB$10:$BQ$10</c:f>
              <c:numCache>
                <c:formatCode>0.00</c:formatCode>
                <c:ptCount val="16"/>
                <c:pt idx="0">
                  <c:v>0.89389555950122512</c:v>
                </c:pt>
                <c:pt idx="1">
                  <c:v>0.9831287823903434</c:v>
                </c:pt>
                <c:pt idx="2">
                  <c:v>1.0014478711775401</c:v>
                </c:pt>
                <c:pt idx="3">
                  <c:v>1.0054964208564288</c:v>
                </c:pt>
                <c:pt idx="4">
                  <c:v>0.93935587901701012</c:v>
                </c:pt>
                <c:pt idx="5">
                  <c:v>0.98680813315407667</c:v>
                </c:pt>
                <c:pt idx="6">
                  <c:v>0.99276572626997239</c:v>
                </c:pt>
                <c:pt idx="7">
                  <c:v>1.0245218897433699</c:v>
                </c:pt>
                <c:pt idx="8">
                  <c:v>1.0054585305143209</c:v>
                </c:pt>
                <c:pt idx="9">
                  <c:v>0.97975640071965719</c:v>
                </c:pt>
                <c:pt idx="10">
                  <c:v>1.0587260902800208</c:v>
                </c:pt>
                <c:pt idx="11">
                  <c:v>1.0425400920918948</c:v>
                </c:pt>
                <c:pt idx="12">
                  <c:v>1.0244492649845158</c:v>
                </c:pt>
                <c:pt idx="13">
                  <c:v>1.0668365356124532</c:v>
                </c:pt>
                <c:pt idx="14">
                  <c:v>0.97620569584193784</c:v>
                </c:pt>
                <c:pt idx="15">
                  <c:v>0.72268578207759449</c:v>
                </c:pt>
              </c:numCache>
            </c:numRef>
          </c:yVal>
          <c:smooth val="0"/>
          <c:extLst>
            <c:ext xmlns:c16="http://schemas.microsoft.com/office/drawing/2014/chart" uri="{C3380CC4-5D6E-409C-BE32-E72D297353CC}">
              <c16:uniqueId val="{00000003-AEB0-4878-9E76-843E6A2A2DA4}"/>
            </c:ext>
          </c:extLst>
        </c:ser>
        <c:ser>
          <c:idx val="4"/>
          <c:order val="7"/>
          <c:tx>
            <c:strRef>
              <c:f>PlantData!$C$11</c:f>
              <c:strCache>
                <c:ptCount val="1"/>
                <c:pt idx="0">
                  <c:v>MMA Bolthouse</c:v>
                </c:pt>
              </c:strCache>
            </c:strRef>
          </c:tx>
          <c:spPr>
            <a:ln w="12700" cap="rnd">
              <a:solidFill>
                <a:schemeClr val="accent1"/>
              </a:solidFill>
              <a:prstDash val="sysDot"/>
              <a:round/>
            </a:ln>
            <a:effectLst/>
          </c:spPr>
          <c:marker>
            <c:symbol val="circle"/>
            <c:size val="5"/>
            <c:spPr>
              <a:solidFill>
                <a:schemeClr val="accent5"/>
              </a:solidFill>
              <a:ln w="9525">
                <a:solidFill>
                  <a:schemeClr val="accent5"/>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PlantData!$BB$11:$BQ$11</c:f>
              <c:numCache>
                <c:formatCode>0.00</c:formatCode>
                <c:ptCount val="16"/>
                <c:pt idx="0">
                  <c:v>0.58633487313494093</c:v>
                </c:pt>
                <c:pt idx="1">
                  <c:v>0.60348141867953564</c:v>
                </c:pt>
                <c:pt idx="2">
                  <c:v>1.0078391651739538</c:v>
                </c:pt>
                <c:pt idx="3">
                  <c:v>0.996979347895674</c:v>
                </c:pt>
                <c:pt idx="4">
                  <c:v>0.95983517137119456</c:v>
                </c:pt>
                <c:pt idx="5">
                  <c:v>0.97322685862989111</c:v>
                </c:pt>
                <c:pt idx="6">
                  <c:v>0.54036862562873644</c:v>
                </c:pt>
                <c:pt idx="7">
                  <c:v>0.90826539409102469</c:v>
                </c:pt>
                <c:pt idx="8">
                  <c:v>0.7900880364441718</c:v>
                </c:pt>
                <c:pt idx="9">
                  <c:v>0.45797981858334735</c:v>
                </c:pt>
                <c:pt idx="10">
                  <c:v>0.81147140623031899</c:v>
                </c:pt>
                <c:pt idx="11">
                  <c:v>0.68162739650555237</c:v>
                </c:pt>
                <c:pt idx="12">
                  <c:v>0.38159824302896089</c:v>
                </c:pt>
                <c:pt idx="13">
                  <c:v>0.21232109791581905</c:v>
                </c:pt>
                <c:pt idx="14">
                  <c:v>2.3156461544796531E-2</c:v>
                </c:pt>
                <c:pt idx="15">
                  <c:v>1.6766444302170721E-2</c:v>
                </c:pt>
              </c:numCache>
            </c:numRef>
          </c:yVal>
          <c:smooth val="0"/>
          <c:extLst>
            <c:ext xmlns:c16="http://schemas.microsoft.com/office/drawing/2014/chart" uri="{C3380CC4-5D6E-409C-BE32-E72D297353CC}">
              <c16:uniqueId val="{00000004-AEB0-4878-9E76-843E6A2A2DA4}"/>
            </c:ext>
          </c:extLst>
        </c:ser>
        <c:ser>
          <c:idx val="5"/>
          <c:order val="8"/>
          <c:tx>
            <c:strRef>
              <c:f>PlantData!$C$12</c:f>
              <c:strCache>
                <c:ptCount val="1"/>
                <c:pt idx="0">
                  <c:v>Copper Mtn10 (FS)</c:v>
                </c:pt>
              </c:strCache>
            </c:strRef>
          </c:tx>
          <c:spPr>
            <a:ln w="12700" cap="rnd">
              <a:solidFill>
                <a:schemeClr val="accent6"/>
              </a:solidFill>
              <a:prstDash val="sysDot"/>
              <a:round/>
            </a:ln>
            <a:effectLst/>
          </c:spPr>
          <c:marker>
            <c:symbol val="circle"/>
            <c:size val="5"/>
            <c:spPr>
              <a:solidFill>
                <a:schemeClr val="accent6"/>
              </a:solidFill>
              <a:ln w="9525">
                <a:solidFill>
                  <a:schemeClr val="accent6"/>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PlantData!$BB$12:$BQ$12</c:f>
              <c:numCache>
                <c:formatCode>0.00</c:formatCode>
                <c:ptCount val="16"/>
                <c:pt idx="0">
                  <c:v>0.95044134804953506</c:v>
                </c:pt>
                <c:pt idx="1">
                  <c:v>0.93250671184533862</c:v>
                </c:pt>
                <c:pt idx="2">
                  <c:v>0.95492071220662389</c:v>
                </c:pt>
                <c:pt idx="3">
                  <c:v>0.94631192399525366</c:v>
                </c:pt>
                <c:pt idx="4">
                  <c:v>0.91212028376305121</c:v>
                </c:pt>
                <c:pt idx="5">
                  <c:v>0.8939380543496902</c:v>
                </c:pt>
                <c:pt idx="6">
                  <c:v>0.89915368835437881</c:v>
                </c:pt>
                <c:pt idx="7">
                  <c:v>0.86622544220841791</c:v>
                </c:pt>
                <c:pt idx="8">
                  <c:v>0.88245338591118561</c:v>
                </c:pt>
                <c:pt idx="9">
                  <c:v>0.89946518977214518</c:v>
                </c:pt>
                <c:pt idx="10">
                  <c:v>1.040863086118992</c:v>
                </c:pt>
                <c:pt idx="11">
                  <c:v>1.017857095492988</c:v>
                </c:pt>
                <c:pt idx="12">
                  <c:v>0.87073538724378385</c:v>
                </c:pt>
                <c:pt idx="13">
                  <c:v>0.88738104078646562</c:v>
                </c:pt>
                <c:pt idx="14">
                  <c:v>0.90374838962285176</c:v>
                </c:pt>
                <c:pt idx="15">
                  <c:v>0.85090972452679814</c:v>
                </c:pt>
              </c:numCache>
            </c:numRef>
          </c:yVal>
          <c:smooth val="0"/>
          <c:extLst>
            <c:ext xmlns:c16="http://schemas.microsoft.com/office/drawing/2014/chart" uri="{C3380CC4-5D6E-409C-BE32-E72D297353CC}">
              <c16:uniqueId val="{00000005-AEB0-4878-9E76-843E6A2A2DA4}"/>
            </c:ext>
          </c:extLst>
        </c:ser>
        <c:ser>
          <c:idx val="6"/>
          <c:order val="9"/>
          <c:tx>
            <c:strRef>
              <c:f>PlantData!$C$13</c:f>
              <c:strCache>
                <c:ptCount val="1"/>
                <c:pt idx="0">
                  <c:v>CSU Fresno MMA</c:v>
                </c:pt>
              </c:strCache>
            </c:strRef>
          </c:tx>
          <c:spPr>
            <a:ln w="12700" cap="rnd">
              <a:solidFill>
                <a:schemeClr val="accent1">
                  <a:lumMod val="60000"/>
                </a:schemeClr>
              </a:solid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PlantData!$BB$13:$BR$13</c:f>
              <c:numCache>
                <c:formatCode>0.00</c:formatCode>
                <c:ptCount val="17"/>
                <c:pt idx="0">
                  <c:v>0.9321266968325792</c:v>
                </c:pt>
                <c:pt idx="1">
                  <c:v>1.0751884828148499</c:v>
                </c:pt>
                <c:pt idx="2">
                  <c:v>0.73323515839079167</c:v>
                </c:pt>
                <c:pt idx="3">
                  <c:v>0.64373845217303494</c:v>
                </c:pt>
                <c:pt idx="4">
                  <c:v>1.0261880570858803</c:v>
                </c:pt>
                <c:pt idx="5">
                  <c:v>1.0366473248519699</c:v>
                </c:pt>
                <c:pt idx="6">
                  <c:v>0.96791409927509175</c:v>
                </c:pt>
                <c:pt idx="7">
                  <c:v>0.98148143991622561</c:v>
                </c:pt>
                <c:pt idx="8">
                  <c:v>0.97228343674645135</c:v>
                </c:pt>
                <c:pt idx="9">
                  <c:v>0.98190297519142233</c:v>
                </c:pt>
                <c:pt idx="10">
                  <c:v>0.87945405394583143</c:v>
                </c:pt>
                <c:pt idx="11">
                  <c:v>1.0143369631073136</c:v>
                </c:pt>
                <c:pt idx="12">
                  <c:v>0.7887742893662274</c:v>
                </c:pt>
                <c:pt idx="13">
                  <c:v>0.73064362057356824</c:v>
                </c:pt>
                <c:pt idx="14">
                  <c:v>0.41049536955746851</c:v>
                </c:pt>
                <c:pt idx="15">
                  <c:v>0.76239633012337116</c:v>
                </c:pt>
                <c:pt idx="16">
                  <c:v>1.0071618813605576</c:v>
                </c:pt>
              </c:numCache>
            </c:numRef>
          </c:yVal>
          <c:smooth val="0"/>
          <c:extLst>
            <c:ext xmlns:c16="http://schemas.microsoft.com/office/drawing/2014/chart" uri="{C3380CC4-5D6E-409C-BE32-E72D297353CC}">
              <c16:uniqueId val="{00000006-AEB0-4878-9E76-843E6A2A2DA4}"/>
            </c:ext>
          </c:extLst>
        </c:ser>
        <c:ser>
          <c:idx val="7"/>
          <c:order val="10"/>
          <c:tx>
            <c:strRef>
              <c:f>PlantData!$C$14</c:f>
              <c:strCache>
                <c:ptCount val="1"/>
                <c:pt idx="0">
                  <c:v>Deer Island</c:v>
                </c:pt>
              </c:strCache>
            </c:strRef>
          </c:tx>
          <c:spPr>
            <a:ln w="12700" cap="rnd">
              <a:solidFill>
                <a:schemeClr val="accent2">
                  <a:lumMod val="60000"/>
                </a:schemeClr>
              </a:solid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PlantData!$BB$14:$BP$14</c:f>
              <c:numCache>
                <c:formatCode>0.00</c:formatCode>
                <c:ptCount val="15"/>
                <c:pt idx="0">
                  <c:v>0.69329211806078583</c:v>
                </c:pt>
                <c:pt idx="1">
                  <c:v>0.94808994162053417</c:v>
                </c:pt>
                <c:pt idx="2">
                  <c:v>0.95502225412350783</c:v>
                </c:pt>
                <c:pt idx="3">
                  <c:v>0</c:v>
                </c:pt>
                <c:pt idx="4">
                  <c:v>0.91427721624581937</c:v>
                </c:pt>
                <c:pt idx="5">
                  <c:v>0.95958803907724788</c:v>
                </c:pt>
                <c:pt idx="6">
                  <c:v>0.91353524535268849</c:v>
                </c:pt>
                <c:pt idx="7">
                  <c:v>0.88811449625463668</c:v>
                </c:pt>
                <c:pt idx="8">
                  <c:v>0.90263144631008152</c:v>
                </c:pt>
                <c:pt idx="9">
                  <c:v>1.1499999999999999</c:v>
                </c:pt>
                <c:pt idx="10">
                  <c:v>0.85756397690185082</c:v>
                </c:pt>
                <c:pt idx="11">
                  <c:v>0.90043083530821166</c:v>
                </c:pt>
                <c:pt idx="12">
                  <c:v>0.71575834408004357</c:v>
                </c:pt>
                <c:pt idx="13">
                  <c:v>0.71591870987105466</c:v>
                </c:pt>
                <c:pt idx="14">
                  <c:v>0.7149113870631959</c:v>
                </c:pt>
              </c:numCache>
            </c:numRef>
          </c:yVal>
          <c:smooth val="0"/>
          <c:extLst>
            <c:ext xmlns:c16="http://schemas.microsoft.com/office/drawing/2014/chart" uri="{C3380CC4-5D6E-409C-BE32-E72D297353CC}">
              <c16:uniqueId val="{00000007-AEB0-4878-9E76-843E6A2A2DA4}"/>
            </c:ext>
          </c:extLst>
        </c:ser>
        <c:ser>
          <c:idx val="8"/>
          <c:order val="11"/>
          <c:tx>
            <c:strRef>
              <c:f>PlantData!$C$15</c:f>
              <c:strCache>
                <c:ptCount val="1"/>
                <c:pt idx="0">
                  <c:v>Denver airport MMA</c:v>
                </c:pt>
              </c:strCache>
            </c:strRef>
          </c:tx>
          <c:spPr>
            <a:ln w="12700" cap="rnd">
              <a:solidFill>
                <a:schemeClr val="accent3">
                  <a:lumMod val="60000"/>
                </a:schemeClr>
              </a:solid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PlantData!$BB$15:$BQ$15</c:f>
              <c:numCache>
                <c:formatCode>0.00</c:formatCode>
                <c:ptCount val="16"/>
                <c:pt idx="0">
                  <c:v>0.90417327136101655</c:v>
                </c:pt>
                <c:pt idx="1">
                  <c:v>0.96287693858668033</c:v>
                </c:pt>
                <c:pt idx="2">
                  <c:v>0.92226178650119783</c:v>
                </c:pt>
                <c:pt idx="3">
                  <c:v>0.9779361901035919</c:v>
                </c:pt>
                <c:pt idx="4">
                  <c:v>0.41632275079613068</c:v>
                </c:pt>
                <c:pt idx="5">
                  <c:v>0.76533739588972993</c:v>
                </c:pt>
                <c:pt idx="6">
                  <c:v>0.86651205314185831</c:v>
                </c:pt>
                <c:pt idx="7">
                  <c:v>0.92207689598293952</c:v>
                </c:pt>
                <c:pt idx="8">
                  <c:v>0.81307637454167114</c:v>
                </c:pt>
                <c:pt idx="9">
                  <c:v>0.73782887229937133</c:v>
                </c:pt>
                <c:pt idx="10">
                  <c:v>0.61098640142432714</c:v>
                </c:pt>
                <c:pt idx="11">
                  <c:v>0.67041370372568543</c:v>
                </c:pt>
                <c:pt idx="12">
                  <c:v>0.43158667617891461</c:v>
                </c:pt>
                <c:pt idx="13">
                  <c:v>8.1532979971079944E-2</c:v>
                </c:pt>
                <c:pt idx="14">
                  <c:v>0.47526762194197353</c:v>
                </c:pt>
                <c:pt idx="15">
                  <c:v>0.46148447908040591</c:v>
                </c:pt>
              </c:numCache>
            </c:numRef>
          </c:yVal>
          <c:smooth val="0"/>
          <c:extLst>
            <c:ext xmlns:c16="http://schemas.microsoft.com/office/drawing/2014/chart" uri="{C3380CC4-5D6E-409C-BE32-E72D297353CC}">
              <c16:uniqueId val="{00000008-AEB0-4878-9E76-843E6A2A2DA4}"/>
            </c:ext>
          </c:extLst>
        </c:ser>
        <c:ser>
          <c:idx val="9"/>
          <c:order val="12"/>
          <c:tx>
            <c:strRef>
              <c:f>PlantData!$C$16</c:f>
              <c:strCache>
                <c:ptCount val="1"/>
                <c:pt idx="0">
                  <c:v>Lanai Sunpower</c:v>
                </c:pt>
              </c:strCache>
            </c:strRef>
          </c:tx>
          <c:spPr>
            <a:ln w="12700" cap="rnd">
              <a:solidFill>
                <a:srgbClr val="FF0000"/>
              </a:solid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PlantData!$BB$16:$BQ$16</c:f>
              <c:numCache>
                <c:formatCode>0.00</c:formatCode>
                <c:ptCount val="16"/>
                <c:pt idx="0">
                  <c:v>0.47746905133110534</c:v>
                </c:pt>
                <c:pt idx="1">
                  <c:v>0.61105543606959722</c:v>
                </c:pt>
                <c:pt idx="2">
                  <c:v>0.63355604364368989</c:v>
                </c:pt>
                <c:pt idx="3">
                  <c:v>0.8194624285516694</c:v>
                </c:pt>
                <c:pt idx="4">
                  <c:v>0.61400542064472341</c:v>
                </c:pt>
                <c:pt idx="5">
                  <c:v>0.62237418730595118</c:v>
                </c:pt>
                <c:pt idx="6">
                  <c:v>0.71399938901986071</c:v>
                </c:pt>
                <c:pt idx="7">
                  <c:v>0.83427976135091597</c:v>
                </c:pt>
                <c:pt idx="8">
                  <c:v>0.73335024398355475</c:v>
                </c:pt>
                <c:pt idx="9">
                  <c:v>0.48225330819182721</c:v>
                </c:pt>
                <c:pt idx="10">
                  <c:v>0.52946052903056162</c:v>
                </c:pt>
                <c:pt idx="11">
                  <c:v>0.31542514737915917</c:v>
                </c:pt>
                <c:pt idx="12">
                  <c:v>0</c:v>
                </c:pt>
                <c:pt idx="13">
                  <c:v>5.3161641075107478E-2</c:v>
                </c:pt>
                <c:pt idx="14">
                  <c:v>0</c:v>
                </c:pt>
                <c:pt idx="15">
                  <c:v>0</c:v>
                </c:pt>
              </c:numCache>
            </c:numRef>
          </c:yVal>
          <c:smooth val="0"/>
          <c:extLst>
            <c:ext xmlns:c16="http://schemas.microsoft.com/office/drawing/2014/chart" uri="{C3380CC4-5D6E-409C-BE32-E72D297353CC}">
              <c16:uniqueId val="{00000009-AEB0-4878-9E76-843E6A2A2DA4}"/>
            </c:ext>
          </c:extLst>
        </c:ser>
        <c:ser>
          <c:idx val="11"/>
          <c:order val="13"/>
          <c:tx>
            <c:strRef>
              <c:f>PlantData!$C$17</c:f>
              <c:strCache>
                <c:ptCount val="1"/>
                <c:pt idx="0">
                  <c:v>MF Mesa Ln</c:v>
                </c:pt>
              </c:strCache>
            </c:strRef>
          </c:tx>
          <c:spPr>
            <a:ln w="12700" cap="rnd">
              <a:solidFill>
                <a:schemeClr val="accent6">
                  <a:lumMod val="60000"/>
                </a:schemeClr>
              </a:solidFill>
              <a:prstDash val="sysDot"/>
              <a:round/>
            </a:ln>
            <a:effectLst/>
          </c:spPr>
          <c:marker>
            <c:symbol val="circle"/>
            <c:size val="5"/>
            <c:spPr>
              <a:solidFill>
                <a:schemeClr val="accent6">
                  <a:lumMod val="60000"/>
                </a:schemeClr>
              </a:solidFill>
              <a:ln w="9525">
                <a:solidFill>
                  <a:schemeClr val="accent6">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PlantData!$BB$17:$BQ$17</c:f>
              <c:numCache>
                <c:formatCode>0.00</c:formatCode>
                <c:ptCount val="16"/>
                <c:pt idx="0">
                  <c:v>0.85543238355545026</c:v>
                </c:pt>
                <c:pt idx="1">
                  <c:v>0.97823972488784183</c:v>
                </c:pt>
                <c:pt idx="2">
                  <c:v>0.93803659703434117</c:v>
                </c:pt>
                <c:pt idx="3">
                  <c:v>0.9729807711336762</c:v>
                </c:pt>
                <c:pt idx="4">
                  <c:v>0.95557340886878306</c:v>
                </c:pt>
                <c:pt idx="5">
                  <c:v>0.91087902059158066</c:v>
                </c:pt>
                <c:pt idx="6">
                  <c:v>0.95975656651849395</c:v>
                </c:pt>
                <c:pt idx="7">
                  <c:v>1.0001480206527387</c:v>
                </c:pt>
                <c:pt idx="8">
                  <c:v>0.89943189669025403</c:v>
                </c:pt>
                <c:pt idx="9">
                  <c:v>0.80973768314409422</c:v>
                </c:pt>
                <c:pt idx="10">
                  <c:v>0.94157159375666022</c:v>
                </c:pt>
                <c:pt idx="11">
                  <c:v>0.89504185210842113</c:v>
                </c:pt>
                <c:pt idx="12">
                  <c:v>0.90999634643955418</c:v>
                </c:pt>
                <c:pt idx="13">
                  <c:v>0.88637339330846454</c:v>
                </c:pt>
                <c:pt idx="14">
                  <c:v>0.79319200920646094</c:v>
                </c:pt>
                <c:pt idx="15">
                  <c:v>0.88080520018748498</c:v>
                </c:pt>
              </c:numCache>
            </c:numRef>
          </c:yVal>
          <c:smooth val="0"/>
          <c:extLst>
            <c:ext xmlns:c16="http://schemas.microsoft.com/office/drawing/2014/chart" uri="{C3380CC4-5D6E-409C-BE32-E72D297353CC}">
              <c16:uniqueId val="{0000000C-AEB0-4878-9E76-843E6A2A2DA4}"/>
            </c:ext>
          </c:extLst>
        </c:ser>
        <c:ser>
          <c:idx val="12"/>
          <c:order val="14"/>
          <c:tx>
            <c:strRef>
              <c:f>PlantData!$C$18</c:f>
              <c:strCache>
                <c:ptCount val="1"/>
                <c:pt idx="0">
                  <c:v>Pennsauken</c:v>
                </c:pt>
              </c:strCache>
            </c:strRef>
          </c:tx>
          <c:spPr>
            <a:ln w="12700" cap="rnd">
              <a:solidFill>
                <a:schemeClr val="accent1">
                  <a:lumMod val="80000"/>
                  <a:lumOff val="20000"/>
                </a:schemeClr>
              </a:solidFill>
              <a:prstDash val="sysDot"/>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PlantData!$BB$18:$BQ$18</c:f>
              <c:numCache>
                <c:formatCode>0.00</c:formatCode>
                <c:ptCount val="16"/>
                <c:pt idx="0">
                  <c:v>0.82513281803273486</c:v>
                </c:pt>
                <c:pt idx="1">
                  <c:v>0.940888972993839</c:v>
                </c:pt>
                <c:pt idx="2">
                  <c:v>0.81214029657899522</c:v>
                </c:pt>
                <c:pt idx="3">
                  <c:v>0.77276517146102985</c:v>
                </c:pt>
                <c:pt idx="4">
                  <c:v>0.78804178878826248</c:v>
                </c:pt>
                <c:pt idx="5">
                  <c:v>0.80249820714527909</c:v>
                </c:pt>
                <c:pt idx="6">
                  <c:v>0.76785062592509135</c:v>
                </c:pt>
                <c:pt idx="7">
                  <c:v>0.7556452839450436</c:v>
                </c:pt>
                <c:pt idx="8">
                  <c:v>0.74523523884095677</c:v>
                </c:pt>
                <c:pt idx="9">
                  <c:v>0.76877554184014818</c:v>
                </c:pt>
                <c:pt idx="10">
                  <c:v>0.66566300514634902</c:v>
                </c:pt>
                <c:pt idx="11">
                  <c:v>0.75128194022313033</c:v>
                </c:pt>
                <c:pt idx="12">
                  <c:v>0.72079633999325121</c:v>
                </c:pt>
                <c:pt idx="13">
                  <c:v>0.6906475546038795</c:v>
                </c:pt>
                <c:pt idx="14">
                  <c:v>0.71741070054296618</c:v>
                </c:pt>
                <c:pt idx="15">
                  <c:v>0.61901679394422493</c:v>
                </c:pt>
              </c:numCache>
            </c:numRef>
          </c:yVal>
          <c:smooth val="0"/>
          <c:extLst>
            <c:ext xmlns:c16="http://schemas.microsoft.com/office/drawing/2014/chart" uri="{C3380CC4-5D6E-409C-BE32-E72D297353CC}">
              <c16:uniqueId val="{0000000D-AEB0-4878-9E76-843E6A2A2DA4}"/>
            </c:ext>
          </c:extLst>
        </c:ser>
        <c:ser>
          <c:idx val="13"/>
          <c:order val="15"/>
          <c:tx>
            <c:strRef>
              <c:f>PlantData!$C$19</c:f>
              <c:strCache>
                <c:ptCount val="1"/>
                <c:pt idx="0">
                  <c:v>SAS Solar Farm</c:v>
                </c:pt>
              </c:strCache>
            </c:strRef>
          </c:tx>
          <c:spPr>
            <a:ln w="12700" cap="rnd">
              <a:solidFill>
                <a:schemeClr val="accent2">
                  <a:lumMod val="80000"/>
                  <a:lumOff val="20000"/>
                </a:schemeClr>
              </a:solidFill>
              <a:prstDash val="sysDot"/>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PlantData!$BB$19:$BQ$19</c:f>
              <c:numCache>
                <c:formatCode>0.00</c:formatCode>
                <c:ptCount val="16"/>
                <c:pt idx="0">
                  <c:v>0.40511215853817695</c:v>
                </c:pt>
                <c:pt idx="1">
                  <c:v>0.64418786984987375</c:v>
                </c:pt>
                <c:pt idx="2">
                  <c:v>0.95159509506163176</c:v>
                </c:pt>
                <c:pt idx="3">
                  <c:v>0.93526667501118654</c:v>
                </c:pt>
                <c:pt idx="4">
                  <c:v>0.84167286704524291</c:v>
                </c:pt>
                <c:pt idx="5">
                  <c:v>0.9109510302879088</c:v>
                </c:pt>
                <c:pt idx="6">
                  <c:v>0.88162020426151599</c:v>
                </c:pt>
                <c:pt idx="7">
                  <c:v>0.89695569293247401</c:v>
                </c:pt>
                <c:pt idx="8">
                  <c:v>0.83542878763150508</c:v>
                </c:pt>
                <c:pt idx="9">
                  <c:v>0.69945962036618736</c:v>
                </c:pt>
                <c:pt idx="10">
                  <c:v>0.50841108005091851</c:v>
                </c:pt>
                <c:pt idx="11">
                  <c:v>0.54990724184923845</c:v>
                </c:pt>
                <c:pt idx="12">
                  <c:v>0.50878122538113635</c:v>
                </c:pt>
                <c:pt idx="13">
                  <c:v>0.54168104397527794</c:v>
                </c:pt>
                <c:pt idx="14">
                  <c:v>0.48990627999807496</c:v>
                </c:pt>
                <c:pt idx="15">
                  <c:v>0.48016533720866172</c:v>
                </c:pt>
              </c:numCache>
            </c:numRef>
          </c:yVal>
          <c:smooth val="0"/>
          <c:extLst>
            <c:ext xmlns:c16="http://schemas.microsoft.com/office/drawing/2014/chart" uri="{C3380CC4-5D6E-409C-BE32-E72D297353CC}">
              <c16:uniqueId val="{0000000E-AEB0-4878-9E76-843E6A2A2DA4}"/>
            </c:ext>
          </c:extLst>
        </c:ser>
        <c:ser>
          <c:idx val="14"/>
          <c:order val="16"/>
          <c:tx>
            <c:strRef>
              <c:f>PlantData!$C$20</c:f>
              <c:strCache>
                <c:ptCount val="1"/>
                <c:pt idx="0">
                  <c:v>Sacramento Soleil</c:v>
                </c:pt>
              </c:strCache>
            </c:strRef>
          </c:tx>
          <c:spPr>
            <a:ln w="12700" cap="rnd">
              <a:solidFill>
                <a:schemeClr val="accent3">
                  <a:lumMod val="80000"/>
                  <a:lumOff val="20000"/>
                </a:schemeClr>
              </a:solidFill>
              <a:prstDash val="sysDot"/>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PlantData!$BB$6:$BM$6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PlantData!$BB$20:$BM$20</c:f>
              <c:numCache>
                <c:formatCode>0.00</c:formatCode>
                <c:ptCount val="12"/>
                <c:pt idx="0">
                  <c:v>0.85876737435078587</c:v>
                </c:pt>
                <c:pt idx="1">
                  <c:v>0.89277365526789976</c:v>
                </c:pt>
                <c:pt idx="2">
                  <c:v>0.91578137613345478</c:v>
                </c:pt>
                <c:pt idx="3">
                  <c:v>0.88367137474568025</c:v>
                </c:pt>
                <c:pt idx="4">
                  <c:v>0.92396899906073349</c:v>
                </c:pt>
                <c:pt idx="5">
                  <c:v>0.88369606548533497</c:v>
                </c:pt>
                <c:pt idx="6">
                  <c:v>0.90808308284307437</c:v>
                </c:pt>
                <c:pt idx="7">
                  <c:v>0.88785187697150159</c:v>
                </c:pt>
                <c:pt idx="8">
                  <c:v>0.90662863313672803</c:v>
                </c:pt>
                <c:pt idx="9">
                  <c:v>0.81900038739378245</c:v>
                </c:pt>
                <c:pt idx="10">
                  <c:v>0.77438236084221312</c:v>
                </c:pt>
                <c:pt idx="11">
                  <c:v>0.73198635691973701</c:v>
                </c:pt>
              </c:numCache>
            </c:numRef>
          </c:yVal>
          <c:smooth val="0"/>
          <c:extLst>
            <c:ext xmlns:c16="http://schemas.microsoft.com/office/drawing/2014/chart" uri="{C3380CC4-5D6E-409C-BE32-E72D297353CC}">
              <c16:uniqueId val="{0000000F-AEB0-4878-9E76-843E6A2A2DA4}"/>
            </c:ext>
          </c:extLst>
        </c:ser>
        <c:ser>
          <c:idx val="15"/>
          <c:order val="17"/>
          <c:tx>
            <c:strRef>
              <c:f>PlantData!$C$21</c:f>
              <c:strCache>
                <c:ptCount val="1"/>
                <c:pt idx="0">
                  <c:v>Western 102</c:v>
                </c:pt>
              </c:strCache>
            </c:strRef>
          </c:tx>
          <c:spPr>
            <a:ln w="12700" cap="rnd">
              <a:solidFill>
                <a:srgbClr val="00B050"/>
              </a:solidFill>
              <a:prstDash val="sysDot"/>
              <a:round/>
            </a:ln>
            <a:effectLst/>
          </c:spPr>
          <c:marker>
            <c:symbol val="circle"/>
            <c:size val="5"/>
            <c:spPr>
              <a:solidFill>
                <a:schemeClr val="accent4">
                  <a:lumMod val="80000"/>
                  <a:lumOff val="20000"/>
                </a:schemeClr>
              </a:solidFill>
              <a:ln w="9525">
                <a:solidFill>
                  <a:srgbClr val="00B05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PlantData!$BB$21:$BQ$21</c:f>
              <c:numCache>
                <c:formatCode>0.00</c:formatCode>
                <c:ptCount val="16"/>
                <c:pt idx="0">
                  <c:v>0.62499947353688989</c:v>
                </c:pt>
                <c:pt idx="1">
                  <c:v>0.46239126179925705</c:v>
                </c:pt>
                <c:pt idx="2">
                  <c:v>1.0322855618783104</c:v>
                </c:pt>
                <c:pt idx="3">
                  <c:v>0.99140463410623081</c:v>
                </c:pt>
                <c:pt idx="4">
                  <c:v>0.96363793402674525</c:v>
                </c:pt>
                <c:pt idx="5">
                  <c:v>0.94615989046831406</c:v>
                </c:pt>
                <c:pt idx="6">
                  <c:v>0.96802407926571199</c:v>
                </c:pt>
                <c:pt idx="7">
                  <c:v>0.96104266791667115</c:v>
                </c:pt>
                <c:pt idx="8">
                  <c:v>0.96318371624924271</c:v>
                </c:pt>
                <c:pt idx="9">
                  <c:v>0.94293549838382507</c:v>
                </c:pt>
                <c:pt idx="10">
                  <c:v>0.99771477191244717</c:v>
                </c:pt>
                <c:pt idx="11">
                  <c:v>0.86120803518158295</c:v>
                </c:pt>
                <c:pt idx="12">
                  <c:v>0.56892614593276847</c:v>
                </c:pt>
                <c:pt idx="13">
                  <c:v>0.54067555294772152</c:v>
                </c:pt>
                <c:pt idx="14">
                  <c:v>0.49906625060266868</c:v>
                </c:pt>
                <c:pt idx="15">
                  <c:v>0.53180380654722303</c:v>
                </c:pt>
              </c:numCache>
            </c:numRef>
          </c:yVal>
          <c:smooth val="0"/>
          <c:extLst>
            <c:ext xmlns:c16="http://schemas.microsoft.com/office/drawing/2014/chart" uri="{C3380CC4-5D6E-409C-BE32-E72D297353CC}">
              <c16:uniqueId val="{00000010-AEB0-4878-9E76-843E6A2A2DA4}"/>
            </c:ext>
          </c:extLst>
        </c:ser>
        <c:ser>
          <c:idx val="16"/>
          <c:order val="18"/>
          <c:tx>
            <c:strRef>
              <c:f>PlantData!$C$22</c:f>
              <c:strCache>
                <c:ptCount val="1"/>
                <c:pt idx="0">
                  <c:v>Wild Horse</c:v>
                </c:pt>
              </c:strCache>
            </c:strRef>
          </c:tx>
          <c:spPr>
            <a:ln w="12700" cap="rnd">
              <a:solidFill>
                <a:schemeClr val="accent5">
                  <a:lumMod val="80000"/>
                  <a:lumOff val="20000"/>
                </a:schemeClr>
              </a:solidFill>
              <a:prstDash val="sysDot"/>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PlantData!$BB$22:$BP$22</c:f>
              <c:numCache>
                <c:formatCode>0.00</c:formatCode>
                <c:ptCount val="15"/>
                <c:pt idx="0">
                  <c:v>1.1499999999999999</c:v>
                </c:pt>
                <c:pt idx="1">
                  <c:v>1.1066117886697027</c:v>
                </c:pt>
                <c:pt idx="2">
                  <c:v>1.067349572758393</c:v>
                </c:pt>
                <c:pt idx="3">
                  <c:v>1.0262570576516028</c:v>
                </c:pt>
                <c:pt idx="4">
                  <c:v>1.1177190141996209</c:v>
                </c:pt>
                <c:pt idx="5">
                  <c:v>1.0337532260328532</c:v>
                </c:pt>
                <c:pt idx="6">
                  <c:v>0.68739198291568215</c:v>
                </c:pt>
                <c:pt idx="7">
                  <c:v>0.7009001089916379</c:v>
                </c:pt>
                <c:pt idx="8">
                  <c:v>0.56151689265538174</c:v>
                </c:pt>
                <c:pt idx="9">
                  <c:v>0.13782047719900598</c:v>
                </c:pt>
                <c:pt idx="10">
                  <c:v>0.70568750028372274</c:v>
                </c:pt>
                <c:pt idx="11">
                  <c:v>0.81473950362919945</c:v>
                </c:pt>
                <c:pt idx="12">
                  <c:v>0.93812418895159255</c:v>
                </c:pt>
                <c:pt idx="13">
                  <c:v>0.98576194921508731</c:v>
                </c:pt>
                <c:pt idx="14">
                  <c:v>1.0055911353605851</c:v>
                </c:pt>
              </c:numCache>
            </c:numRef>
          </c:yVal>
          <c:smooth val="0"/>
          <c:extLst>
            <c:ext xmlns:c16="http://schemas.microsoft.com/office/drawing/2014/chart" uri="{C3380CC4-5D6E-409C-BE32-E72D297353CC}">
              <c16:uniqueId val="{00000011-AEB0-4878-9E76-843E6A2A2DA4}"/>
            </c:ext>
          </c:extLst>
        </c:ser>
        <c:ser>
          <c:idx val="17"/>
          <c:order val="19"/>
          <c:tx>
            <c:strRef>
              <c:f>PlantData!$C$23</c:f>
              <c:strCache>
                <c:ptCount val="1"/>
                <c:pt idx="0">
                  <c:v>Aqua Ingrams Mill</c:v>
                </c:pt>
              </c:strCache>
            </c:strRef>
          </c:tx>
          <c:spPr>
            <a:ln w="12700" cap="rnd">
              <a:solidFill>
                <a:schemeClr val="accent6">
                  <a:lumMod val="80000"/>
                  <a:lumOff val="20000"/>
                </a:schemeClr>
              </a:solidFill>
              <a:prstDash val="sysDot"/>
              <a:round/>
            </a:ln>
            <a:effectLst/>
          </c:spPr>
          <c:marker>
            <c:symbol val="circle"/>
            <c:size val="5"/>
            <c:spPr>
              <a:solidFill>
                <a:schemeClr val="accent6">
                  <a:lumMod val="80000"/>
                  <a:lumOff val="20000"/>
                </a:schemeClr>
              </a:solidFill>
              <a:ln w="9525">
                <a:solidFill>
                  <a:srgbClr val="C0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PlantData!$BB$23:$BO$23</c:f>
              <c:numCache>
                <c:formatCode>0.00</c:formatCode>
                <c:ptCount val="14"/>
                <c:pt idx="0">
                  <c:v>0.84932844202016089</c:v>
                </c:pt>
                <c:pt idx="1">
                  <c:v>0.81930292280576833</c:v>
                </c:pt>
                <c:pt idx="2">
                  <c:v>0</c:v>
                </c:pt>
                <c:pt idx="3">
                  <c:v>0.8458220254866855</c:v>
                </c:pt>
                <c:pt idx="4">
                  <c:v>0.80133405992445006</c:v>
                </c:pt>
                <c:pt idx="5">
                  <c:v>0.79963555004487974</c:v>
                </c:pt>
                <c:pt idx="6">
                  <c:v>0.68985081213419952</c:v>
                </c:pt>
                <c:pt idx="7">
                  <c:v>0.79098583719077264</c:v>
                </c:pt>
                <c:pt idx="8">
                  <c:v>0.7445894544052194</c:v>
                </c:pt>
                <c:pt idx="9">
                  <c:v>0.87359381960053983</c:v>
                </c:pt>
                <c:pt idx="10">
                  <c:v>0.72404305312341743</c:v>
                </c:pt>
                <c:pt idx="11">
                  <c:v>0.88174014799311551</c:v>
                </c:pt>
                <c:pt idx="12">
                  <c:v>0.53895009699678198</c:v>
                </c:pt>
                <c:pt idx="13">
                  <c:v>0.50921185953056891</c:v>
                </c:pt>
              </c:numCache>
            </c:numRef>
          </c:yVal>
          <c:smooth val="0"/>
          <c:extLst>
            <c:ext xmlns:c16="http://schemas.microsoft.com/office/drawing/2014/chart" uri="{C3380CC4-5D6E-409C-BE32-E72D297353CC}">
              <c16:uniqueId val="{00000012-AEB0-4878-9E76-843E6A2A2DA4}"/>
            </c:ext>
          </c:extLst>
        </c:ser>
        <c:ser>
          <c:idx val="18"/>
          <c:order val="20"/>
          <c:tx>
            <c:strRef>
              <c:f>PlantData!$C$24</c:f>
              <c:strCache>
                <c:ptCount val="1"/>
                <c:pt idx="0">
                  <c:v>Calpine Vineland Solar LLC</c:v>
                </c:pt>
              </c:strCache>
            </c:strRef>
          </c:tx>
          <c:spPr>
            <a:ln w="12700" cap="rnd">
              <a:solidFill>
                <a:schemeClr val="accent1">
                  <a:lumMod val="80000"/>
                </a:schemeClr>
              </a:solidFill>
              <a:prstDash val="sysDot"/>
              <a:round/>
            </a:ln>
            <a:effectLst/>
          </c:spPr>
          <c:marker>
            <c:symbol val="circle"/>
            <c:size val="5"/>
            <c:spPr>
              <a:solidFill>
                <a:schemeClr val="accent1">
                  <a:lumMod val="80000"/>
                </a:schemeClr>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PlantData!$BB$24:$BP$24</c:f>
              <c:numCache>
                <c:formatCode>0.00</c:formatCode>
                <c:ptCount val="15"/>
                <c:pt idx="0">
                  <c:v>1.1499999999999999</c:v>
                </c:pt>
                <c:pt idx="1">
                  <c:v>0.93329526659240214</c:v>
                </c:pt>
                <c:pt idx="2">
                  <c:v>1.1499999999999999</c:v>
                </c:pt>
                <c:pt idx="3">
                  <c:v>0.92210075402621572</c:v>
                </c:pt>
                <c:pt idx="4">
                  <c:v>0.95123112915668306</c:v>
                </c:pt>
                <c:pt idx="5">
                  <c:v>0.93624599191935165</c:v>
                </c:pt>
                <c:pt idx="6">
                  <c:v>0.97667202395458141</c:v>
                </c:pt>
                <c:pt idx="7">
                  <c:v>0.96021458000851179</c:v>
                </c:pt>
                <c:pt idx="8">
                  <c:v>0.89516547793193413</c:v>
                </c:pt>
                <c:pt idx="9">
                  <c:v>0.92230574854949232</c:v>
                </c:pt>
                <c:pt idx="10">
                  <c:v>0.88391789823457056</c:v>
                </c:pt>
                <c:pt idx="11">
                  <c:v>0.98091205450175101</c:v>
                </c:pt>
                <c:pt idx="12">
                  <c:v>0.98997137902044896</c:v>
                </c:pt>
                <c:pt idx="13">
                  <c:v>1.0178661451052344</c:v>
                </c:pt>
                <c:pt idx="14">
                  <c:v>0.97310165517117186</c:v>
                </c:pt>
              </c:numCache>
            </c:numRef>
          </c:yVal>
          <c:smooth val="0"/>
          <c:extLst>
            <c:ext xmlns:c16="http://schemas.microsoft.com/office/drawing/2014/chart" uri="{C3380CC4-5D6E-409C-BE32-E72D297353CC}">
              <c16:uniqueId val="{00000013-AEB0-4878-9E76-843E6A2A2DA4}"/>
            </c:ext>
          </c:extLst>
        </c:ser>
        <c:ser>
          <c:idx val="19"/>
          <c:order val="21"/>
          <c:tx>
            <c:strRef>
              <c:f>PlantData!$C$25</c:f>
              <c:strCache>
                <c:ptCount val="1"/>
                <c:pt idx="0">
                  <c:v>Chuckawalla SunE</c:v>
                </c:pt>
              </c:strCache>
            </c:strRef>
          </c:tx>
          <c:spPr>
            <a:ln w="12700" cap="rnd">
              <a:solidFill>
                <a:schemeClr val="accent2">
                  <a:lumMod val="80000"/>
                </a:schemeClr>
              </a:solidFill>
              <a:prstDash val="sysDot"/>
              <a:round/>
            </a:ln>
            <a:effectLst/>
          </c:spPr>
          <c:marker>
            <c:symbol val="circle"/>
            <c:size val="5"/>
            <c:spPr>
              <a:solidFill>
                <a:schemeClr val="accent2">
                  <a:lumMod val="80000"/>
                </a:schemeClr>
              </a:solidFill>
              <a:ln w="9525">
                <a:solidFill>
                  <a:schemeClr val="accent2">
                    <a:lumMod val="8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PlantData!$BB$25:$BQ$25</c:f>
              <c:numCache>
                <c:formatCode>0.00</c:formatCode>
                <c:ptCount val="16"/>
                <c:pt idx="0">
                  <c:v>0.9397279776459756</c:v>
                </c:pt>
                <c:pt idx="1">
                  <c:v>0.94626822730540161</c:v>
                </c:pt>
                <c:pt idx="2">
                  <c:v>0.97477608844883712</c:v>
                </c:pt>
                <c:pt idx="3">
                  <c:v>0.79604288422915137</c:v>
                </c:pt>
                <c:pt idx="4">
                  <c:v>0.95137766530490397</c:v>
                </c:pt>
                <c:pt idx="5">
                  <c:v>0.92972730721323993</c:v>
                </c:pt>
                <c:pt idx="6">
                  <c:v>0.88965998544847691</c:v>
                </c:pt>
                <c:pt idx="7">
                  <c:v>1.1499999999999999</c:v>
                </c:pt>
                <c:pt idx="8">
                  <c:v>0.83036789319248561</c:v>
                </c:pt>
                <c:pt idx="9">
                  <c:v>0.72336313579878453</c:v>
                </c:pt>
                <c:pt idx="10">
                  <c:v>0.85917960396383719</c:v>
                </c:pt>
                <c:pt idx="11">
                  <c:v>0.78990630259889538</c:v>
                </c:pt>
                <c:pt idx="12">
                  <c:v>0.71030981984560804</c:v>
                </c:pt>
                <c:pt idx="13">
                  <c:v>0.23361564604990759</c:v>
                </c:pt>
                <c:pt idx="14">
                  <c:v>0.55883804196497677</c:v>
                </c:pt>
                <c:pt idx="15">
                  <c:v>0.67719329310559118</c:v>
                </c:pt>
              </c:numCache>
            </c:numRef>
          </c:yVal>
          <c:smooth val="0"/>
          <c:extLst>
            <c:ext xmlns:c16="http://schemas.microsoft.com/office/drawing/2014/chart" uri="{C3380CC4-5D6E-409C-BE32-E72D297353CC}">
              <c16:uniqueId val="{00000014-AEB0-4878-9E76-843E6A2A2DA4}"/>
            </c:ext>
          </c:extLst>
        </c:ser>
        <c:ser>
          <c:idx val="20"/>
          <c:order val="22"/>
          <c:tx>
            <c:strRef>
              <c:f>PlantData!$C$26</c:f>
              <c:strCache>
                <c:ptCount val="1"/>
                <c:pt idx="0">
                  <c:v>DeSoto</c:v>
                </c:pt>
              </c:strCache>
            </c:strRef>
          </c:tx>
          <c:spPr>
            <a:ln w="12700" cap="rnd">
              <a:solidFill>
                <a:schemeClr val="accent3">
                  <a:lumMod val="80000"/>
                </a:schemeClr>
              </a:solidFill>
              <a:prstDash val="sysDot"/>
              <a:round/>
            </a:ln>
            <a:effectLst/>
          </c:spPr>
          <c:marker>
            <c:symbol val="circle"/>
            <c:size val="5"/>
            <c:spPr>
              <a:solidFill>
                <a:schemeClr val="accent3">
                  <a:lumMod val="80000"/>
                </a:schemeClr>
              </a:solidFill>
              <a:ln w="9525">
                <a:solidFill>
                  <a:srgbClr val="C0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PlantData!$BB$26:$BP$26</c:f>
              <c:numCache>
                <c:formatCode>0.00</c:formatCode>
                <c:ptCount val="15"/>
                <c:pt idx="0">
                  <c:v>1.1447120810616873</c:v>
                </c:pt>
                <c:pt idx="1">
                  <c:v>1.1181985147922018</c:v>
                </c:pt>
                <c:pt idx="2">
                  <c:v>1.1282179301930526</c:v>
                </c:pt>
                <c:pt idx="3">
                  <c:v>1.0855019565960997</c:v>
                </c:pt>
                <c:pt idx="4">
                  <c:v>1.0382776322405904</c:v>
                </c:pt>
                <c:pt idx="5">
                  <c:v>1.1010379623553797</c:v>
                </c:pt>
                <c:pt idx="6">
                  <c:v>1.0759187428988659</c:v>
                </c:pt>
                <c:pt idx="7">
                  <c:v>1.0713233879102675</c:v>
                </c:pt>
                <c:pt idx="8">
                  <c:v>1.0472650195377127</c:v>
                </c:pt>
                <c:pt idx="9">
                  <c:v>1.0272034140226431</c:v>
                </c:pt>
                <c:pt idx="10">
                  <c:v>0.91573508927047642</c:v>
                </c:pt>
                <c:pt idx="11">
                  <c:v>0.99192734090234791</c:v>
                </c:pt>
                <c:pt idx="12">
                  <c:v>0.85519917129471823</c:v>
                </c:pt>
                <c:pt idx="13">
                  <c:v>0.7663868075145468</c:v>
                </c:pt>
                <c:pt idx="14">
                  <c:v>0.6459741309634246</c:v>
                </c:pt>
              </c:numCache>
            </c:numRef>
          </c:yVal>
          <c:smooth val="0"/>
          <c:extLst>
            <c:ext xmlns:c16="http://schemas.microsoft.com/office/drawing/2014/chart" uri="{C3380CC4-5D6E-409C-BE32-E72D297353CC}">
              <c16:uniqueId val="{00000015-AEB0-4878-9E76-843E6A2A2DA4}"/>
            </c:ext>
          </c:extLst>
        </c:ser>
        <c:ser>
          <c:idx val="21"/>
          <c:order val="23"/>
          <c:tx>
            <c:strRef>
              <c:f>PlantData!$C$27</c:f>
              <c:strCache>
                <c:ptCount val="1"/>
                <c:pt idx="0">
                  <c:v>Exelon Chicago</c:v>
                </c:pt>
              </c:strCache>
            </c:strRef>
          </c:tx>
          <c:spPr>
            <a:ln w="12700" cap="rnd">
              <a:solidFill>
                <a:schemeClr val="accent4">
                  <a:lumMod val="80000"/>
                </a:schemeClr>
              </a:solidFill>
              <a:prstDash val="sysDot"/>
              <a:round/>
            </a:ln>
            <a:effectLst/>
          </c:spPr>
          <c:marker>
            <c:symbol val="circle"/>
            <c:size val="5"/>
            <c:spPr>
              <a:solidFill>
                <a:schemeClr val="accent4">
                  <a:lumMod val="80000"/>
                </a:schemeClr>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PlantData!$BB$27:$BQ$27</c:f>
              <c:numCache>
                <c:formatCode>0.00</c:formatCode>
                <c:ptCount val="16"/>
                <c:pt idx="0">
                  <c:v>0.97024285279653288</c:v>
                </c:pt>
                <c:pt idx="1">
                  <c:v>0.96939664714700013</c:v>
                </c:pt>
                <c:pt idx="2">
                  <c:v>1.0447988369508445</c:v>
                </c:pt>
                <c:pt idx="3">
                  <c:v>0.99524877547808144</c:v>
                </c:pt>
                <c:pt idx="4">
                  <c:v>1.0166257693962071</c:v>
                </c:pt>
                <c:pt idx="5">
                  <c:v>0.99353071674133187</c:v>
                </c:pt>
                <c:pt idx="6">
                  <c:v>0.99682684749574446</c:v>
                </c:pt>
                <c:pt idx="7">
                  <c:v>1.0178915475775578</c:v>
                </c:pt>
                <c:pt idx="8">
                  <c:v>0.97823933271607333</c:v>
                </c:pt>
                <c:pt idx="9">
                  <c:v>1.0111406926833415</c:v>
                </c:pt>
                <c:pt idx="10">
                  <c:v>0.99711039884967956</c:v>
                </c:pt>
                <c:pt idx="11">
                  <c:v>0.95500841508594458</c:v>
                </c:pt>
                <c:pt idx="12">
                  <c:v>0.98464764218151402</c:v>
                </c:pt>
                <c:pt idx="13">
                  <c:v>0.92143600479995114</c:v>
                </c:pt>
                <c:pt idx="14">
                  <c:v>0.85896221294256359</c:v>
                </c:pt>
                <c:pt idx="15">
                  <c:v>0.95135165888600792</c:v>
                </c:pt>
              </c:numCache>
            </c:numRef>
          </c:yVal>
          <c:smooth val="0"/>
          <c:extLst>
            <c:ext xmlns:c16="http://schemas.microsoft.com/office/drawing/2014/chart" uri="{C3380CC4-5D6E-409C-BE32-E72D297353CC}">
              <c16:uniqueId val="{00000016-AEB0-4878-9E76-843E6A2A2DA4}"/>
            </c:ext>
          </c:extLst>
        </c:ser>
        <c:ser>
          <c:idx val="22"/>
          <c:order val="24"/>
          <c:tx>
            <c:strRef>
              <c:f>PlantData!$C$28</c:f>
              <c:strCache>
                <c:ptCount val="1"/>
                <c:pt idx="0">
                  <c:v>Hall's Warehouse</c:v>
                </c:pt>
              </c:strCache>
            </c:strRef>
          </c:tx>
          <c:spPr>
            <a:ln w="12700" cap="rnd">
              <a:solidFill>
                <a:schemeClr val="tx1"/>
              </a:solidFill>
              <a:prstDash val="sysDot"/>
              <a:round/>
            </a:ln>
            <a:effectLst/>
          </c:spPr>
          <c:marker>
            <c:symbol val="circle"/>
            <c:size val="5"/>
            <c:spPr>
              <a:solidFill>
                <a:schemeClr val="accent5">
                  <a:lumMod val="80000"/>
                </a:schemeClr>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PlantData!$BB$28:$BQ$28</c:f>
              <c:numCache>
                <c:formatCode>0.00</c:formatCode>
                <c:ptCount val="16"/>
                <c:pt idx="0">
                  <c:v>0.87523150448372389</c:v>
                </c:pt>
                <c:pt idx="1">
                  <c:v>0.97741851847245964</c:v>
                </c:pt>
                <c:pt idx="2">
                  <c:v>0.90625746260411122</c:v>
                </c:pt>
                <c:pt idx="3">
                  <c:v>0.96874635100024997</c:v>
                </c:pt>
                <c:pt idx="4">
                  <c:v>0.8920026258840611</c:v>
                </c:pt>
                <c:pt idx="5">
                  <c:v>0.61396515005826247</c:v>
                </c:pt>
                <c:pt idx="6">
                  <c:v>0.72696250493707582</c:v>
                </c:pt>
                <c:pt idx="7">
                  <c:v>0.70542194206335551</c:v>
                </c:pt>
                <c:pt idx="8">
                  <c:v>0.86770521616109353</c:v>
                </c:pt>
                <c:pt idx="9">
                  <c:v>0.80648934697814678</c:v>
                </c:pt>
                <c:pt idx="10">
                  <c:v>0.76578518395678297</c:v>
                </c:pt>
                <c:pt idx="11">
                  <c:v>0.71575407310762018</c:v>
                </c:pt>
                <c:pt idx="12">
                  <c:v>0.67463979516376649</c:v>
                </c:pt>
                <c:pt idx="13">
                  <c:v>0.85228064501043443</c:v>
                </c:pt>
                <c:pt idx="14">
                  <c:v>0.79986066721812488</c:v>
                </c:pt>
                <c:pt idx="15">
                  <c:v>0.72016357369500106</c:v>
                </c:pt>
              </c:numCache>
            </c:numRef>
          </c:yVal>
          <c:smooth val="0"/>
          <c:extLst>
            <c:ext xmlns:c16="http://schemas.microsoft.com/office/drawing/2014/chart" uri="{C3380CC4-5D6E-409C-BE32-E72D297353CC}">
              <c16:uniqueId val="{00000017-AEB0-4878-9E76-843E6A2A2DA4}"/>
            </c:ext>
          </c:extLst>
        </c:ser>
        <c:ser>
          <c:idx val="23"/>
          <c:order val="25"/>
          <c:tx>
            <c:strRef>
              <c:f>PlantData!$C$29</c:f>
              <c:strCache>
                <c:ptCount val="1"/>
                <c:pt idx="0">
                  <c:v>Kohl's San Bernardino SunE</c:v>
                </c:pt>
              </c:strCache>
            </c:strRef>
          </c:tx>
          <c:spPr>
            <a:ln w="12700" cap="rnd">
              <a:solidFill>
                <a:schemeClr val="accent6">
                  <a:lumMod val="80000"/>
                </a:schemeClr>
              </a:solidFill>
              <a:prstDash val="sysDot"/>
              <a:round/>
            </a:ln>
            <a:effectLst/>
          </c:spPr>
          <c:marker>
            <c:symbol val="circle"/>
            <c:size val="5"/>
            <c:spPr>
              <a:solidFill>
                <a:srgbClr val="92D050"/>
              </a:solidFill>
              <a:ln w="9525">
                <a:solidFill>
                  <a:schemeClr val="bg2">
                    <a:lumMod val="1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PlantData!$BB$29:$BQ$29</c:f>
              <c:numCache>
                <c:formatCode>0.00</c:formatCode>
                <c:ptCount val="16"/>
                <c:pt idx="0">
                  <c:v>0.90504472924699808</c:v>
                </c:pt>
                <c:pt idx="1">
                  <c:v>0.89271160561876106</c:v>
                </c:pt>
                <c:pt idx="2">
                  <c:v>1.1499999999999999</c:v>
                </c:pt>
                <c:pt idx="3">
                  <c:v>0.91524676122308857</c:v>
                </c:pt>
                <c:pt idx="4">
                  <c:v>0.88809240353828423</c:v>
                </c:pt>
                <c:pt idx="5">
                  <c:v>0.81555836486441147</c:v>
                </c:pt>
                <c:pt idx="6">
                  <c:v>0.97646052861196742</c:v>
                </c:pt>
                <c:pt idx="7">
                  <c:v>0.43951750099699755</c:v>
                </c:pt>
                <c:pt idx="8">
                  <c:v>0</c:v>
                </c:pt>
                <c:pt idx="9">
                  <c:v>0.52405250641852774</c:v>
                </c:pt>
                <c:pt idx="10">
                  <c:v>0.71055854100933258</c:v>
                </c:pt>
                <c:pt idx="11">
                  <c:v>0.7595452975172492</c:v>
                </c:pt>
                <c:pt idx="12">
                  <c:v>0.76336210805753679</c:v>
                </c:pt>
                <c:pt idx="13">
                  <c:v>0.85736364827681688</c:v>
                </c:pt>
                <c:pt idx="14">
                  <c:v>0.55590033008979767</c:v>
                </c:pt>
                <c:pt idx="15">
                  <c:v>0.50277115951997264</c:v>
                </c:pt>
              </c:numCache>
            </c:numRef>
          </c:yVal>
          <c:smooth val="0"/>
          <c:extLst>
            <c:ext xmlns:c16="http://schemas.microsoft.com/office/drawing/2014/chart" uri="{C3380CC4-5D6E-409C-BE32-E72D297353CC}">
              <c16:uniqueId val="{00000018-AEB0-4878-9E76-843E6A2A2DA4}"/>
            </c:ext>
          </c:extLst>
        </c:ser>
        <c:ser>
          <c:idx val="24"/>
          <c:order val="26"/>
          <c:tx>
            <c:strRef>
              <c:f>PlantData!$C$30</c:f>
              <c:strCache>
                <c:ptCount val="1"/>
                <c:pt idx="0">
                  <c:v>Mariani Packing SunE</c:v>
                </c:pt>
              </c:strCache>
            </c:strRef>
          </c:tx>
          <c:spPr>
            <a:ln w="12700" cap="rnd">
              <a:solidFill>
                <a:schemeClr val="accent2"/>
              </a:solidFill>
              <a:prstDash val="sysDot"/>
              <a:round/>
            </a:ln>
            <a:effectLst/>
          </c:spPr>
          <c:marker>
            <c:symbol val="circle"/>
            <c:size val="5"/>
            <c:spPr>
              <a:solidFill>
                <a:srgbClr val="002060"/>
              </a:solidFill>
              <a:ln w="9525">
                <a:solidFill>
                  <a:schemeClr val="accent1">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PlantData!$BB$30:$BQ$30</c:f>
              <c:numCache>
                <c:formatCode>0.00</c:formatCode>
                <c:ptCount val="16"/>
                <c:pt idx="0">
                  <c:v>0.97508835019461948</c:v>
                </c:pt>
                <c:pt idx="1">
                  <c:v>0.5557849429614552</c:v>
                </c:pt>
                <c:pt idx="2">
                  <c:v>0.97997842278659186</c:v>
                </c:pt>
                <c:pt idx="3">
                  <c:v>0.9958132419172786</c:v>
                </c:pt>
                <c:pt idx="4">
                  <c:v>1.0676049391313194</c:v>
                </c:pt>
                <c:pt idx="5">
                  <c:v>0.99733092812824931</c:v>
                </c:pt>
                <c:pt idx="6">
                  <c:v>1.0119079402728264</c:v>
                </c:pt>
                <c:pt idx="7">
                  <c:v>0.94261581175943177</c:v>
                </c:pt>
                <c:pt idx="8">
                  <c:v>0.85887197990040387</c:v>
                </c:pt>
                <c:pt idx="9">
                  <c:v>0.70833537976558925</c:v>
                </c:pt>
                <c:pt idx="10">
                  <c:v>0.90039803688650888</c:v>
                </c:pt>
                <c:pt idx="11">
                  <c:v>0.91214964220902661</c:v>
                </c:pt>
                <c:pt idx="12">
                  <c:v>0.81245294935306722</c:v>
                </c:pt>
                <c:pt idx="13">
                  <c:v>0.2841710836413367</c:v>
                </c:pt>
                <c:pt idx="14">
                  <c:v>0.46691519159915357</c:v>
                </c:pt>
                <c:pt idx="15">
                  <c:v>0.65991544148772974</c:v>
                </c:pt>
              </c:numCache>
            </c:numRef>
          </c:yVal>
          <c:smooth val="0"/>
          <c:extLst>
            <c:ext xmlns:c16="http://schemas.microsoft.com/office/drawing/2014/chart" uri="{C3380CC4-5D6E-409C-BE32-E72D297353CC}">
              <c16:uniqueId val="{00000019-AEB0-4878-9E76-843E6A2A2DA4}"/>
            </c:ext>
          </c:extLst>
        </c:ser>
        <c:ser>
          <c:idx val="25"/>
          <c:order val="27"/>
          <c:tx>
            <c:strRef>
              <c:f>PlantData!$C$31</c:f>
              <c:strCache>
                <c:ptCount val="1"/>
                <c:pt idx="0">
                  <c:v>PPL Merck</c:v>
                </c:pt>
              </c:strCache>
            </c:strRef>
          </c:tx>
          <c:spPr>
            <a:ln w="12700" cap="rnd">
              <a:solidFill>
                <a:schemeClr val="tx1"/>
              </a:solidFill>
              <a:prstDash val="sysDot"/>
              <a:round/>
            </a:ln>
            <a:effectLst/>
          </c:spPr>
          <c:marker>
            <c:symbol val="circle"/>
            <c:size val="5"/>
            <c:spPr>
              <a:solidFill>
                <a:srgbClr val="00B050"/>
              </a:solidFill>
              <a:ln w="9525">
                <a:solidFill>
                  <a:schemeClr val="accent2">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PlantData!$BB$31:$BQ$31</c:f>
              <c:numCache>
                <c:formatCode>0.00</c:formatCode>
                <c:ptCount val="16"/>
                <c:pt idx="0">
                  <c:v>0.77053649099145882</c:v>
                </c:pt>
                <c:pt idx="1">
                  <c:v>0.70760804400333988</c:v>
                </c:pt>
                <c:pt idx="2">
                  <c:v>0.78069775420422216</c:v>
                </c:pt>
                <c:pt idx="3">
                  <c:v>0.75329385861815168</c:v>
                </c:pt>
                <c:pt idx="4">
                  <c:v>0.3250161100658634</c:v>
                </c:pt>
                <c:pt idx="5">
                  <c:v>0.77451434686815401</c:v>
                </c:pt>
                <c:pt idx="6">
                  <c:v>0.81167579029924442</c:v>
                </c:pt>
                <c:pt idx="7">
                  <c:v>0.71691992346076272</c:v>
                </c:pt>
                <c:pt idx="8">
                  <c:v>0.67654002193256002</c:v>
                </c:pt>
                <c:pt idx="9">
                  <c:v>0.745003346094123</c:v>
                </c:pt>
                <c:pt idx="10">
                  <c:v>0.72828132794058653</c:v>
                </c:pt>
                <c:pt idx="11">
                  <c:v>0.63160641581946642</c:v>
                </c:pt>
                <c:pt idx="12">
                  <c:v>0.5687308959765931</c:v>
                </c:pt>
                <c:pt idx="13">
                  <c:v>0.35014883737822605</c:v>
                </c:pt>
                <c:pt idx="14">
                  <c:v>0</c:v>
                </c:pt>
              </c:numCache>
            </c:numRef>
          </c:yVal>
          <c:smooth val="0"/>
          <c:extLst>
            <c:ext xmlns:c16="http://schemas.microsoft.com/office/drawing/2014/chart" uri="{C3380CC4-5D6E-409C-BE32-E72D297353CC}">
              <c16:uniqueId val="{0000001A-AEB0-4878-9E76-843E6A2A2DA4}"/>
            </c:ext>
          </c:extLst>
        </c:ser>
        <c:ser>
          <c:idx val="26"/>
          <c:order val="28"/>
          <c:tx>
            <c:strRef>
              <c:f>PlantData!$C$32</c:f>
              <c:strCache>
                <c:ptCount val="1"/>
                <c:pt idx="0">
                  <c:v>PSEG Hackettstown</c:v>
                </c:pt>
              </c:strCache>
            </c:strRef>
          </c:tx>
          <c:spPr>
            <a:ln w="12700" cap="rnd">
              <a:solidFill>
                <a:schemeClr val="accent4">
                  <a:lumMod val="75000"/>
                </a:schemeClr>
              </a:solidFill>
              <a:prstDash val="sysDot"/>
              <a:round/>
            </a:ln>
            <a:effectLst/>
          </c:spPr>
          <c:marker>
            <c:symbol val="circle"/>
            <c:size val="5"/>
            <c:spPr>
              <a:solidFill>
                <a:srgbClr val="7030A0"/>
              </a:solidFill>
              <a:ln w="9525">
                <a:solidFill>
                  <a:schemeClr val="accent3">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PlantData!$BB$32:$BP$32</c:f>
              <c:numCache>
                <c:formatCode>0.00</c:formatCode>
                <c:ptCount val="15"/>
                <c:pt idx="0">
                  <c:v>0.94239931350925032</c:v>
                </c:pt>
                <c:pt idx="1">
                  <c:v>0.83253993882836619</c:v>
                </c:pt>
                <c:pt idx="2">
                  <c:v>0.95050685950053893</c:v>
                </c:pt>
                <c:pt idx="3">
                  <c:v>0.92599721924712286</c:v>
                </c:pt>
                <c:pt idx="4">
                  <c:v>0.87949272730757655</c:v>
                </c:pt>
                <c:pt idx="5">
                  <c:v>0.87017819342810521</c:v>
                </c:pt>
                <c:pt idx="6">
                  <c:v>0.93011731759935268</c:v>
                </c:pt>
                <c:pt idx="7">
                  <c:v>0.85653629669628262</c:v>
                </c:pt>
                <c:pt idx="8">
                  <c:v>0.77468495089268785</c:v>
                </c:pt>
                <c:pt idx="9">
                  <c:v>0.8590584290091049</c:v>
                </c:pt>
                <c:pt idx="10">
                  <c:v>0.86012546122485611</c:v>
                </c:pt>
                <c:pt idx="11">
                  <c:v>0.8132776217801444</c:v>
                </c:pt>
                <c:pt idx="12">
                  <c:v>0.87353317419917342</c:v>
                </c:pt>
                <c:pt idx="13">
                  <c:v>0.83760065590797883</c:v>
                </c:pt>
                <c:pt idx="14">
                  <c:v>0.64876450306409528</c:v>
                </c:pt>
              </c:numCache>
            </c:numRef>
          </c:yVal>
          <c:smooth val="0"/>
          <c:extLst>
            <c:ext xmlns:c16="http://schemas.microsoft.com/office/drawing/2014/chart" uri="{C3380CC4-5D6E-409C-BE32-E72D297353CC}">
              <c16:uniqueId val="{0000001B-AEB0-4878-9E76-843E6A2A2DA4}"/>
            </c:ext>
          </c:extLst>
        </c:ser>
        <c:ser>
          <c:idx val="27"/>
          <c:order val="29"/>
          <c:tx>
            <c:strRef>
              <c:f>PlantData!$C$33</c:f>
              <c:strCache>
                <c:ptCount val="1"/>
                <c:pt idx="0">
                  <c:v>RV CSU</c:v>
                </c:pt>
              </c:strCache>
            </c:strRef>
          </c:tx>
          <c:spPr>
            <a:ln w="12700" cap="rnd">
              <a:solidFill>
                <a:schemeClr val="accent4">
                  <a:lumMod val="75000"/>
                </a:schemeClr>
              </a:solidFill>
              <a:prstDash val="sysDot"/>
              <a:round/>
            </a:ln>
            <a:effectLst/>
          </c:spPr>
          <c:marker>
            <c:symbol val="circle"/>
            <c:size val="5"/>
            <c:spPr>
              <a:solidFill>
                <a:srgbClr val="002060"/>
              </a:solidFill>
              <a:ln w="9525">
                <a:solidFill>
                  <a:schemeClr val="accent4">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PlantData!$BB$33:$BP$33</c:f>
              <c:numCache>
                <c:formatCode>0.00</c:formatCode>
                <c:ptCount val="15"/>
                <c:pt idx="0">
                  <c:v>0.96111813176931404</c:v>
                </c:pt>
                <c:pt idx="1">
                  <c:v>0.95533919508368215</c:v>
                </c:pt>
                <c:pt idx="2">
                  <c:v>0.98763659521880631</c:v>
                </c:pt>
                <c:pt idx="3">
                  <c:v>0.95565909696109363</c:v>
                </c:pt>
                <c:pt idx="4">
                  <c:v>0.83037825720399105</c:v>
                </c:pt>
                <c:pt idx="5">
                  <c:v>0.85192562378346937</c:v>
                </c:pt>
                <c:pt idx="6">
                  <c:v>1.1499999999999999</c:v>
                </c:pt>
                <c:pt idx="7">
                  <c:v>0.9637933234143049</c:v>
                </c:pt>
                <c:pt idx="8">
                  <c:v>0.9804914601958773</c:v>
                </c:pt>
                <c:pt idx="9">
                  <c:v>0.87382883773304831</c:v>
                </c:pt>
                <c:pt idx="10">
                  <c:v>0.87559141083658365</c:v>
                </c:pt>
                <c:pt idx="11">
                  <c:v>0.88439425977473307</c:v>
                </c:pt>
                <c:pt idx="12">
                  <c:v>0.67555262368401536</c:v>
                </c:pt>
                <c:pt idx="13">
                  <c:v>0.74535967871743625</c:v>
                </c:pt>
                <c:pt idx="14">
                  <c:v>0.52353931771288242</c:v>
                </c:pt>
              </c:numCache>
            </c:numRef>
          </c:yVal>
          <c:smooth val="0"/>
          <c:extLst>
            <c:ext xmlns:c16="http://schemas.microsoft.com/office/drawing/2014/chart" uri="{C3380CC4-5D6E-409C-BE32-E72D297353CC}">
              <c16:uniqueId val="{0000001C-AEB0-4878-9E76-843E6A2A2DA4}"/>
            </c:ext>
          </c:extLst>
        </c:ser>
        <c:ser>
          <c:idx val="29"/>
          <c:order val="30"/>
          <c:tx>
            <c:strRef>
              <c:f>PlantData!$C$34</c:f>
              <c:strCache>
                <c:ptCount val="1"/>
                <c:pt idx="0">
                  <c:v>Solar Blythe (NRG)</c:v>
                </c:pt>
              </c:strCache>
            </c:strRef>
          </c:tx>
          <c:spPr>
            <a:ln w="12700" cap="rnd">
              <a:solidFill>
                <a:schemeClr val="accent6">
                  <a:lumMod val="60000"/>
                  <a:lumOff val="40000"/>
                </a:schemeClr>
              </a:solidFill>
              <a:prstDash val="sysDot"/>
              <a:round/>
            </a:ln>
            <a:effectLst/>
          </c:spPr>
          <c:marker>
            <c:symbol val="circle"/>
            <c:size val="5"/>
            <c:spPr>
              <a:solidFill>
                <a:srgbClr val="C00000"/>
              </a:solidFill>
              <a:ln w="12700">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PlantData!$BB$34:$BP$34</c:f>
              <c:numCache>
                <c:formatCode>0.00</c:formatCode>
                <c:ptCount val="15"/>
                <c:pt idx="0">
                  <c:v>1.0131452752749142</c:v>
                </c:pt>
                <c:pt idx="1">
                  <c:v>1.0472384788191529</c:v>
                </c:pt>
                <c:pt idx="2">
                  <c:v>0.97928263153905348</c:v>
                </c:pt>
                <c:pt idx="3">
                  <c:v>0.98247075160357589</c:v>
                </c:pt>
                <c:pt idx="4">
                  <c:v>0.96907945847900556</c:v>
                </c:pt>
                <c:pt idx="5">
                  <c:v>0.95661232520871764</c:v>
                </c:pt>
                <c:pt idx="6">
                  <c:v>0.95224669192526179</c:v>
                </c:pt>
                <c:pt idx="7">
                  <c:v>0.92626034103322674</c:v>
                </c:pt>
                <c:pt idx="8">
                  <c:v>0.89459468042439505</c:v>
                </c:pt>
                <c:pt idx="9">
                  <c:v>0.92096626890772693</c:v>
                </c:pt>
                <c:pt idx="10">
                  <c:v>0.8880106697400677</c:v>
                </c:pt>
                <c:pt idx="11">
                  <c:v>0.88596647035702369</c:v>
                </c:pt>
                <c:pt idx="12">
                  <c:v>0.90671276103016496</c:v>
                </c:pt>
                <c:pt idx="13">
                  <c:v>0.87892906329338694</c:v>
                </c:pt>
                <c:pt idx="14">
                  <c:v>0.91055115104084594</c:v>
                </c:pt>
              </c:numCache>
            </c:numRef>
          </c:yVal>
          <c:smooth val="0"/>
          <c:extLst>
            <c:ext xmlns:c16="http://schemas.microsoft.com/office/drawing/2014/chart" uri="{C3380CC4-5D6E-409C-BE32-E72D297353CC}">
              <c16:uniqueId val="{0000001E-AEB0-4878-9E76-843E6A2A2DA4}"/>
            </c:ext>
          </c:extLst>
        </c:ser>
        <c:ser>
          <c:idx val="30"/>
          <c:order val="31"/>
          <c:tx>
            <c:strRef>
              <c:f>PlantData!$C$35</c:f>
              <c:strCache>
                <c:ptCount val="1"/>
                <c:pt idx="0">
                  <c:v>Solar PV #02 (SCE)</c:v>
                </c:pt>
              </c:strCache>
            </c:strRef>
          </c:tx>
          <c:spPr>
            <a:ln w="12700" cap="rnd">
              <a:solidFill>
                <a:schemeClr val="accent1">
                  <a:lumMod val="50000"/>
                </a:schemeClr>
              </a:solidFill>
              <a:prstDash val="sysDot"/>
              <a:round/>
            </a:ln>
            <a:effectLst/>
          </c:spPr>
          <c:marker>
            <c:symbol val="circle"/>
            <c:size val="5"/>
            <c:spPr>
              <a:solidFill>
                <a:srgbClr val="FFC000"/>
              </a:solidFill>
              <a:ln w="9525">
                <a:solidFill>
                  <a:schemeClr val="accent1">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PlantData!$BB$35:$BO$35</c:f>
              <c:numCache>
                <c:formatCode>0.00</c:formatCode>
                <c:ptCount val="14"/>
                <c:pt idx="0">
                  <c:v>0.79023088965567567</c:v>
                </c:pt>
                <c:pt idx="1">
                  <c:v>0.73328141568380012</c:v>
                </c:pt>
                <c:pt idx="2">
                  <c:v>0.49823861357973603</c:v>
                </c:pt>
                <c:pt idx="3">
                  <c:v>0.53687254934687978</c:v>
                </c:pt>
                <c:pt idx="4">
                  <c:v>0.44879094371265577</c:v>
                </c:pt>
                <c:pt idx="5">
                  <c:v>0.40086657488453264</c:v>
                </c:pt>
                <c:pt idx="6">
                  <c:v>0.51520626006446857</c:v>
                </c:pt>
                <c:pt idx="7">
                  <c:v>0.33406144273915944</c:v>
                </c:pt>
                <c:pt idx="8">
                  <c:v>0.21128474545103654</c:v>
                </c:pt>
                <c:pt idx="9">
                  <c:v>0.38455074480108808</c:v>
                </c:pt>
                <c:pt idx="10">
                  <c:v>0.4221495339730203</c:v>
                </c:pt>
                <c:pt idx="11">
                  <c:v>0.69928304323263712</c:v>
                </c:pt>
                <c:pt idx="12">
                  <c:v>0.4193158740721864</c:v>
                </c:pt>
                <c:pt idx="13">
                  <c:v>0</c:v>
                </c:pt>
              </c:numCache>
            </c:numRef>
          </c:yVal>
          <c:smooth val="0"/>
          <c:extLst>
            <c:ext xmlns:c16="http://schemas.microsoft.com/office/drawing/2014/chart" uri="{C3380CC4-5D6E-409C-BE32-E72D297353CC}">
              <c16:uniqueId val="{0000001F-AEB0-4878-9E76-843E6A2A2DA4}"/>
            </c:ext>
          </c:extLst>
        </c:ser>
        <c:ser>
          <c:idx val="31"/>
          <c:order val="32"/>
          <c:tx>
            <c:strRef>
              <c:f>PlantData!$C$36</c:f>
              <c:strCache>
                <c:ptCount val="1"/>
                <c:pt idx="0">
                  <c:v>SunE Anheuser</c:v>
                </c:pt>
              </c:strCache>
            </c:strRef>
          </c:tx>
          <c:spPr>
            <a:ln w="12700" cap="rnd">
              <a:solidFill>
                <a:schemeClr val="accent2">
                  <a:lumMod val="50000"/>
                </a:schemeClr>
              </a:solidFill>
              <a:prstDash val="sysDot"/>
              <a:round/>
            </a:ln>
            <a:effectLst/>
          </c:spPr>
          <c:marker>
            <c:symbol val="circle"/>
            <c:size val="5"/>
            <c:spPr>
              <a:solidFill>
                <a:srgbClr val="FFFF00"/>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PlantData!$BB$36:$BQ$36</c:f>
              <c:numCache>
                <c:formatCode>0.00</c:formatCode>
                <c:ptCount val="16"/>
                <c:pt idx="0">
                  <c:v>0.98831913316945474</c:v>
                </c:pt>
                <c:pt idx="1">
                  <c:v>0.93297733026723084</c:v>
                </c:pt>
                <c:pt idx="2">
                  <c:v>0.98425493151308596</c:v>
                </c:pt>
                <c:pt idx="3">
                  <c:v>0.97419926758449593</c:v>
                </c:pt>
                <c:pt idx="4">
                  <c:v>1.0055938056842659</c:v>
                </c:pt>
                <c:pt idx="5">
                  <c:v>0.96013764765937837</c:v>
                </c:pt>
                <c:pt idx="6">
                  <c:v>0.94834904601439651</c:v>
                </c:pt>
                <c:pt idx="7">
                  <c:v>1.1499999999999999</c:v>
                </c:pt>
                <c:pt idx="8">
                  <c:v>0.75886517742532233</c:v>
                </c:pt>
                <c:pt idx="9">
                  <c:v>0.79594035067575142</c:v>
                </c:pt>
                <c:pt idx="10">
                  <c:v>0.74485294913001665</c:v>
                </c:pt>
                <c:pt idx="11">
                  <c:v>0.6530103550619234</c:v>
                </c:pt>
                <c:pt idx="12">
                  <c:v>0.80847542320680921</c:v>
                </c:pt>
                <c:pt idx="13">
                  <c:v>0.79580938790383526</c:v>
                </c:pt>
                <c:pt idx="14">
                  <c:v>0.35883297132157171</c:v>
                </c:pt>
                <c:pt idx="15">
                  <c:v>0.57305905290670989</c:v>
                </c:pt>
              </c:numCache>
            </c:numRef>
          </c:yVal>
          <c:smooth val="0"/>
          <c:extLst>
            <c:ext xmlns:c16="http://schemas.microsoft.com/office/drawing/2014/chart" uri="{C3380CC4-5D6E-409C-BE32-E72D297353CC}">
              <c16:uniqueId val="{00000020-AEB0-4878-9E76-843E6A2A2DA4}"/>
            </c:ext>
          </c:extLst>
        </c:ser>
        <c:ser>
          <c:idx val="32"/>
          <c:order val="33"/>
          <c:tx>
            <c:strRef>
              <c:f>PlantData!$C$37</c:f>
              <c:strCache>
                <c:ptCount val="1"/>
                <c:pt idx="0">
                  <c:v>SunE Ironwood</c:v>
                </c:pt>
              </c:strCache>
            </c:strRef>
          </c:tx>
          <c:spPr>
            <a:ln w="12700" cap="rnd">
              <a:solidFill>
                <a:schemeClr val="accent4">
                  <a:lumMod val="75000"/>
                </a:schemeClr>
              </a:solidFill>
              <a:prstDash val="sysDot"/>
              <a:round/>
            </a:ln>
            <a:effectLst/>
          </c:spPr>
          <c:marker>
            <c:symbol val="circle"/>
            <c:size val="5"/>
            <c:spPr>
              <a:solidFill>
                <a:schemeClr val="accent4">
                  <a:lumMod val="75000"/>
                </a:schemeClr>
              </a:solidFill>
              <a:ln w="9525">
                <a:solidFill>
                  <a:schemeClr val="accent3">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PlantData!$BB$37:$BQ$37</c:f>
              <c:numCache>
                <c:formatCode>0.00</c:formatCode>
                <c:ptCount val="16"/>
                <c:pt idx="0">
                  <c:v>0.9656169098269326</c:v>
                </c:pt>
                <c:pt idx="1">
                  <c:v>0.98439763565594796</c:v>
                </c:pt>
                <c:pt idx="2">
                  <c:v>1.0131794222687542</c:v>
                </c:pt>
                <c:pt idx="3">
                  <c:v>0.93081660194696814</c:v>
                </c:pt>
                <c:pt idx="4">
                  <c:v>0.86594345091956093</c:v>
                </c:pt>
                <c:pt idx="5">
                  <c:v>0.88028065726143223</c:v>
                </c:pt>
                <c:pt idx="6">
                  <c:v>0.8152247924334346</c:v>
                </c:pt>
                <c:pt idx="7">
                  <c:v>1.1499999999999999</c:v>
                </c:pt>
                <c:pt idx="8">
                  <c:v>0.63434402927210198</c:v>
                </c:pt>
                <c:pt idx="9">
                  <c:v>0.86793650170811398</c:v>
                </c:pt>
                <c:pt idx="10">
                  <c:v>0.70847137110967795</c:v>
                </c:pt>
                <c:pt idx="11">
                  <c:v>0.79316908483707849</c:v>
                </c:pt>
                <c:pt idx="12">
                  <c:v>0.68060477244317452</c:v>
                </c:pt>
                <c:pt idx="13">
                  <c:v>0.16990682711532482</c:v>
                </c:pt>
                <c:pt idx="14">
                  <c:v>0.50304072727966109</c:v>
                </c:pt>
                <c:pt idx="15">
                  <c:v>0.40219352703657463</c:v>
                </c:pt>
              </c:numCache>
            </c:numRef>
          </c:yVal>
          <c:smooth val="0"/>
          <c:extLst>
            <c:ext xmlns:c16="http://schemas.microsoft.com/office/drawing/2014/chart" uri="{C3380CC4-5D6E-409C-BE32-E72D297353CC}">
              <c16:uniqueId val="{00000021-AEB0-4878-9E76-843E6A2A2DA4}"/>
            </c:ext>
          </c:extLst>
        </c:ser>
        <c:ser>
          <c:idx val="33"/>
          <c:order val="34"/>
          <c:tx>
            <c:strRef>
              <c:f>PlantData!$C$38</c:f>
              <c:strCache>
                <c:ptCount val="1"/>
                <c:pt idx="0">
                  <c:v>SunE LV Sutton</c:v>
                </c:pt>
              </c:strCache>
            </c:strRef>
          </c:tx>
          <c:spPr>
            <a:ln w="12700" cap="rnd">
              <a:solidFill>
                <a:schemeClr val="accent4">
                  <a:lumMod val="50000"/>
                </a:schemeClr>
              </a:solidFill>
              <a:prstDash val="sysDot"/>
              <a:round/>
            </a:ln>
            <a:effectLst/>
          </c:spPr>
          <c:marker>
            <c:symbol val="circle"/>
            <c:size val="5"/>
            <c:spPr>
              <a:solidFill>
                <a:srgbClr val="00B0F0"/>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PlantData!$BB$38:$BQ$38</c:f>
              <c:numCache>
                <c:formatCode>0.00</c:formatCode>
                <c:ptCount val="16"/>
                <c:pt idx="0">
                  <c:v>0.73858934353616212</c:v>
                </c:pt>
                <c:pt idx="1">
                  <c:v>1.012182397477694</c:v>
                </c:pt>
                <c:pt idx="2">
                  <c:v>0.99487763332364265</c:v>
                </c:pt>
                <c:pt idx="3">
                  <c:v>0.95384687434543236</c:v>
                </c:pt>
                <c:pt idx="4">
                  <c:v>0.86508913981347091</c:v>
                </c:pt>
                <c:pt idx="5">
                  <c:v>0.99187031320707153</c:v>
                </c:pt>
                <c:pt idx="6">
                  <c:v>0.94649266173392566</c:v>
                </c:pt>
                <c:pt idx="7">
                  <c:v>0.63451380692185755</c:v>
                </c:pt>
                <c:pt idx="8">
                  <c:v>0.79660347189425884</c:v>
                </c:pt>
                <c:pt idx="9">
                  <c:v>0.49332961694120786</c:v>
                </c:pt>
                <c:pt idx="10">
                  <c:v>0.91957674591970195</c:v>
                </c:pt>
                <c:pt idx="11">
                  <c:v>0.77300409598418784</c:v>
                </c:pt>
                <c:pt idx="12">
                  <c:v>0.71161277991816496</c:v>
                </c:pt>
                <c:pt idx="13">
                  <c:v>0.17960378470749772</c:v>
                </c:pt>
                <c:pt idx="14">
                  <c:v>0.62312509784775627</c:v>
                </c:pt>
                <c:pt idx="15">
                  <c:v>0.60941861064662661</c:v>
                </c:pt>
              </c:numCache>
            </c:numRef>
          </c:yVal>
          <c:smooth val="0"/>
          <c:extLst>
            <c:ext xmlns:c16="http://schemas.microsoft.com/office/drawing/2014/chart" uri="{C3380CC4-5D6E-409C-BE32-E72D297353CC}">
              <c16:uniqueId val="{00000022-AEB0-4878-9E76-843E6A2A2DA4}"/>
            </c:ext>
          </c:extLst>
        </c:ser>
        <c:ser>
          <c:idx val="34"/>
          <c:order val="35"/>
          <c:tx>
            <c:strRef>
              <c:f>PlantData!$C$39</c:f>
              <c:strCache>
                <c:ptCount val="1"/>
                <c:pt idx="0">
                  <c:v>SunE Oxnard</c:v>
                </c:pt>
              </c:strCache>
            </c:strRef>
          </c:tx>
          <c:spPr>
            <a:ln w="12700" cap="rnd">
              <a:solidFill>
                <a:srgbClr val="7030A0"/>
              </a:solidFill>
              <a:prstDash val="sysDot"/>
              <a:round/>
            </a:ln>
            <a:effectLst/>
          </c:spPr>
          <c:marker>
            <c:symbol val="circle"/>
            <c:size val="5"/>
            <c:spPr>
              <a:solidFill>
                <a:schemeClr val="accent1">
                  <a:lumMod val="20000"/>
                  <a:lumOff val="80000"/>
                </a:schemeClr>
              </a:solidFill>
              <a:ln w="9525">
                <a:solidFill>
                  <a:srgbClr val="7030A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PlantData!$BB$39:$BP$39</c:f>
              <c:numCache>
                <c:formatCode>0.00</c:formatCode>
                <c:ptCount val="15"/>
                <c:pt idx="0">
                  <c:v>0.91854737575688739</c:v>
                </c:pt>
                <c:pt idx="1">
                  <c:v>0.90430174171446775</c:v>
                </c:pt>
                <c:pt idx="2">
                  <c:v>0.90042097994709336</c:v>
                </c:pt>
                <c:pt idx="3">
                  <c:v>0.97268433462209158</c:v>
                </c:pt>
                <c:pt idx="4">
                  <c:v>1.0403325433045592</c:v>
                </c:pt>
                <c:pt idx="5">
                  <c:v>1.0279205232577342</c:v>
                </c:pt>
                <c:pt idx="6">
                  <c:v>0.98795895351482999</c:v>
                </c:pt>
                <c:pt idx="7">
                  <c:v>0.89249737002577545</c:v>
                </c:pt>
                <c:pt idx="8">
                  <c:v>0.88395894522338747</c:v>
                </c:pt>
                <c:pt idx="9">
                  <c:v>0.92221363192435368</c:v>
                </c:pt>
                <c:pt idx="10">
                  <c:v>0.97288880634142183</c:v>
                </c:pt>
                <c:pt idx="11">
                  <c:v>0.96951478471846708</c:v>
                </c:pt>
                <c:pt idx="12">
                  <c:v>1.1499999999999999</c:v>
                </c:pt>
                <c:pt idx="13">
                  <c:v>0.82070603557975963</c:v>
                </c:pt>
                <c:pt idx="14">
                  <c:v>0.91374408458381895</c:v>
                </c:pt>
              </c:numCache>
            </c:numRef>
          </c:yVal>
          <c:smooth val="0"/>
          <c:extLst>
            <c:ext xmlns:c16="http://schemas.microsoft.com/office/drawing/2014/chart" uri="{C3380CC4-5D6E-409C-BE32-E72D297353CC}">
              <c16:uniqueId val="{00000023-AEB0-4878-9E76-843E6A2A2DA4}"/>
            </c:ext>
          </c:extLst>
        </c:ser>
        <c:ser>
          <c:idx val="35"/>
          <c:order val="36"/>
          <c:tx>
            <c:strRef>
              <c:f>PlantData!$C$40</c:f>
              <c:strCache>
                <c:ptCount val="1"/>
                <c:pt idx="0">
                  <c:v>SunE Moreno Valley</c:v>
                </c:pt>
              </c:strCache>
            </c:strRef>
          </c:tx>
          <c:spPr>
            <a:ln w="12700" cap="rnd">
              <a:solidFill>
                <a:schemeClr val="accent2"/>
              </a:solidFill>
              <a:prstDash val="sysDot"/>
              <a:round/>
            </a:ln>
            <a:effectLst/>
          </c:spPr>
          <c:marker>
            <c:symbol val="circle"/>
            <c:size val="5"/>
            <c:spPr>
              <a:solidFill>
                <a:schemeClr val="bg1">
                  <a:lumMod val="85000"/>
                </a:schemeClr>
              </a:solidFill>
              <a:ln w="9525">
                <a:solidFill>
                  <a:schemeClr val="accent6">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PlantData!$BB$40:$BQ$40</c:f>
              <c:numCache>
                <c:formatCode>0.00</c:formatCode>
                <c:ptCount val="16"/>
                <c:pt idx="0">
                  <c:v>0.98211698311534656</c:v>
                </c:pt>
                <c:pt idx="1">
                  <c:v>0.96738984903151315</c:v>
                </c:pt>
                <c:pt idx="2">
                  <c:v>0.96484065406225494</c:v>
                </c:pt>
                <c:pt idx="3">
                  <c:v>0.96869607436849359</c:v>
                </c:pt>
                <c:pt idx="4">
                  <c:v>0.92565916097842127</c:v>
                </c:pt>
                <c:pt idx="5">
                  <c:v>0.92228647119116702</c:v>
                </c:pt>
                <c:pt idx="6">
                  <c:v>0.8971829887448538</c:v>
                </c:pt>
                <c:pt idx="7">
                  <c:v>0.47668070261922391</c:v>
                </c:pt>
                <c:pt idx="8">
                  <c:v>0.60635453229964453</c:v>
                </c:pt>
                <c:pt idx="9">
                  <c:v>0.86012089734626318</c:v>
                </c:pt>
                <c:pt idx="10">
                  <c:v>0.45613387338006839</c:v>
                </c:pt>
                <c:pt idx="11">
                  <c:v>0.75405134042424038</c:v>
                </c:pt>
                <c:pt idx="12">
                  <c:v>0.69239303907165195</c:v>
                </c:pt>
                <c:pt idx="13">
                  <c:v>0.56066538541390676</c:v>
                </c:pt>
                <c:pt idx="14">
                  <c:v>0.66054454791284978</c:v>
                </c:pt>
                <c:pt idx="15">
                  <c:v>0.47456511558712133</c:v>
                </c:pt>
              </c:numCache>
            </c:numRef>
          </c:yVal>
          <c:smooth val="0"/>
          <c:extLst>
            <c:ext xmlns:c16="http://schemas.microsoft.com/office/drawing/2014/chart" uri="{C3380CC4-5D6E-409C-BE32-E72D297353CC}">
              <c16:uniqueId val="{00000024-AEB0-4878-9E76-843E6A2A2DA4}"/>
            </c:ext>
          </c:extLst>
        </c:ser>
        <c:ser>
          <c:idx val="36"/>
          <c:order val="37"/>
          <c:tx>
            <c:strRef>
              <c:f>PlantData!$C$41</c:f>
              <c:strCache>
                <c:ptCount val="1"/>
                <c:pt idx="0">
                  <c:v>SunE Apple Valley</c:v>
                </c:pt>
              </c:strCache>
            </c:strRef>
          </c:tx>
          <c:spPr>
            <a:ln w="12700" cap="rnd">
              <a:solidFill>
                <a:srgbClr val="C00000"/>
              </a:solidFill>
              <a:prstDash val="sysDot"/>
              <a:round/>
            </a:ln>
            <a:effectLst/>
          </c:spPr>
          <c:marker>
            <c:symbol val="circle"/>
            <c:size val="5"/>
            <c:spPr>
              <a:solidFill>
                <a:srgbClr val="C00000"/>
              </a:solidFill>
              <a:ln w="9525">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PlantData!$BB$41:$BP$41</c:f>
              <c:numCache>
                <c:formatCode>0.00</c:formatCode>
                <c:ptCount val="15"/>
                <c:pt idx="0">
                  <c:v>0.93977223691069589</c:v>
                </c:pt>
                <c:pt idx="1">
                  <c:v>0.99042071870393844</c:v>
                </c:pt>
                <c:pt idx="2">
                  <c:v>0.9250275158503003</c:v>
                </c:pt>
                <c:pt idx="3">
                  <c:v>0.99583687928885189</c:v>
                </c:pt>
                <c:pt idx="4">
                  <c:v>0.98899455030001049</c:v>
                </c:pt>
                <c:pt idx="5">
                  <c:v>0.92252798374431078</c:v>
                </c:pt>
                <c:pt idx="6">
                  <c:v>0.92561981640879554</c:v>
                </c:pt>
                <c:pt idx="7">
                  <c:v>0.63156024539441125</c:v>
                </c:pt>
                <c:pt idx="8">
                  <c:v>0.90843367437246325</c:v>
                </c:pt>
                <c:pt idx="9">
                  <c:v>0.87616524506516613</c:v>
                </c:pt>
                <c:pt idx="10">
                  <c:v>0.90774125092151614</c:v>
                </c:pt>
                <c:pt idx="11">
                  <c:v>0.71598945831850047</c:v>
                </c:pt>
                <c:pt idx="12">
                  <c:v>0.86239108512963314</c:v>
                </c:pt>
                <c:pt idx="13">
                  <c:v>0.38738756582294059</c:v>
                </c:pt>
                <c:pt idx="14">
                  <c:v>0.28768143828453463</c:v>
                </c:pt>
              </c:numCache>
            </c:numRef>
          </c:yVal>
          <c:smooth val="0"/>
          <c:extLst>
            <c:ext xmlns:c16="http://schemas.microsoft.com/office/drawing/2014/chart" uri="{C3380CC4-5D6E-409C-BE32-E72D297353CC}">
              <c16:uniqueId val="{00000025-AEB0-4878-9E76-843E6A2A2DA4}"/>
            </c:ext>
          </c:extLst>
        </c:ser>
        <c:ser>
          <c:idx val="37"/>
          <c:order val="38"/>
          <c:tx>
            <c:strRef>
              <c:f>PlantData!$C$42</c:f>
              <c:strCache>
                <c:ptCount val="1"/>
                <c:pt idx="0">
                  <c:v>PG&amp;E Vaca-Dixon</c:v>
                </c:pt>
              </c:strCache>
            </c:strRef>
          </c:tx>
          <c:spPr>
            <a:ln w="12700" cap="rnd">
              <a:solidFill>
                <a:schemeClr val="accent1">
                  <a:lumMod val="40000"/>
                  <a:lumOff val="60000"/>
                </a:schemeClr>
              </a:solidFill>
              <a:prstDash val="sysDot"/>
              <a:round/>
            </a:ln>
            <a:effectLst/>
          </c:spPr>
          <c:marker>
            <c:symbol val="circle"/>
            <c:size val="5"/>
            <c:spPr>
              <a:solidFill>
                <a:srgbClr val="92D050"/>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PlantData!$BB$42:$BP$42</c:f>
              <c:numCache>
                <c:formatCode>0.00</c:formatCode>
                <c:ptCount val="15"/>
                <c:pt idx="0">
                  <c:v>1.0062694940557826</c:v>
                </c:pt>
                <c:pt idx="1">
                  <c:v>1.0489883054979781</c:v>
                </c:pt>
                <c:pt idx="2">
                  <c:v>1.0241725630469876</c:v>
                </c:pt>
                <c:pt idx="3">
                  <c:v>1.1478335182813311</c:v>
                </c:pt>
                <c:pt idx="4">
                  <c:v>0.9940530675790421</c:v>
                </c:pt>
                <c:pt idx="5">
                  <c:v>1.0899380591411845</c:v>
                </c:pt>
                <c:pt idx="6">
                  <c:v>0.99713721198550742</c:v>
                </c:pt>
                <c:pt idx="7">
                  <c:v>0.8543634722665544</c:v>
                </c:pt>
                <c:pt idx="8">
                  <c:v>1.0174357426774554</c:v>
                </c:pt>
                <c:pt idx="9">
                  <c:v>0.77250283686569932</c:v>
                </c:pt>
                <c:pt idx="10">
                  <c:v>0.90393007756490251</c:v>
                </c:pt>
                <c:pt idx="11">
                  <c:v>0.78510904056697117</c:v>
                </c:pt>
                <c:pt idx="12">
                  <c:v>1.0053873404768534</c:v>
                </c:pt>
                <c:pt idx="13">
                  <c:v>0.95223863099589123</c:v>
                </c:pt>
                <c:pt idx="14">
                  <c:v>0.83539876054712958</c:v>
                </c:pt>
              </c:numCache>
            </c:numRef>
          </c:yVal>
          <c:smooth val="0"/>
          <c:extLst>
            <c:ext xmlns:c16="http://schemas.microsoft.com/office/drawing/2014/chart" uri="{C3380CC4-5D6E-409C-BE32-E72D297353CC}">
              <c16:uniqueId val="{00000026-AEB0-4878-9E76-843E6A2A2DA4}"/>
            </c:ext>
          </c:extLst>
        </c:ser>
        <c:ser>
          <c:idx val="38"/>
          <c:order val="39"/>
          <c:tx>
            <c:strRef>
              <c:f>PlantData!$C$43</c:f>
              <c:strCache>
                <c:ptCount val="1"/>
                <c:pt idx="0">
                  <c:v>WWRF Rifle SunE</c:v>
                </c:pt>
              </c:strCache>
            </c:strRef>
          </c:tx>
          <c:spPr>
            <a:ln w="12700" cap="rnd">
              <a:solidFill>
                <a:schemeClr val="accent3">
                  <a:lumMod val="70000"/>
                  <a:lumOff val="30000"/>
                </a:schemeClr>
              </a:solidFill>
              <a:prstDash val="sysDot"/>
              <a:round/>
            </a:ln>
            <a:effectLst/>
          </c:spPr>
          <c:marker>
            <c:symbol val="circle"/>
            <c:size val="5"/>
            <c:spPr>
              <a:solidFill>
                <a:schemeClr val="accent3">
                  <a:lumMod val="70000"/>
                  <a:lumOff val="30000"/>
                </a:schemeClr>
              </a:solidFill>
              <a:ln w="9525">
                <a:solidFill>
                  <a:schemeClr val="tx2">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PlantData!$BB$43:$BP$43</c:f>
              <c:numCache>
                <c:formatCode>0.00</c:formatCode>
                <c:ptCount val="15"/>
                <c:pt idx="0">
                  <c:v>0.72795568268795274</c:v>
                </c:pt>
                <c:pt idx="1">
                  <c:v>0.6982624985703102</c:v>
                </c:pt>
                <c:pt idx="2">
                  <c:v>0.7492170473836266</c:v>
                </c:pt>
                <c:pt idx="3">
                  <c:v>0.69319889062671813</c:v>
                </c:pt>
                <c:pt idx="4">
                  <c:v>0.70884205484411533</c:v>
                </c:pt>
                <c:pt idx="5">
                  <c:v>0</c:v>
                </c:pt>
                <c:pt idx="6">
                  <c:v>0.71791062552299512</c:v>
                </c:pt>
                <c:pt idx="7">
                  <c:v>0.67988751105210499</c:v>
                </c:pt>
                <c:pt idx="8">
                  <c:v>0.72003557578359256</c:v>
                </c:pt>
                <c:pt idx="9">
                  <c:v>0.69725025877183422</c:v>
                </c:pt>
                <c:pt idx="10">
                  <c:v>0.67421776134174127</c:v>
                </c:pt>
                <c:pt idx="11">
                  <c:v>0.49165930337965585</c:v>
                </c:pt>
                <c:pt idx="12">
                  <c:v>0.51721086004770356</c:v>
                </c:pt>
                <c:pt idx="13">
                  <c:v>0.24992779722402747</c:v>
                </c:pt>
                <c:pt idx="14">
                  <c:v>0.42590931452032882</c:v>
                </c:pt>
              </c:numCache>
            </c:numRef>
          </c:yVal>
          <c:smooth val="0"/>
          <c:extLst>
            <c:ext xmlns:c16="http://schemas.microsoft.com/office/drawing/2014/chart" uri="{C3380CC4-5D6E-409C-BE32-E72D297353CC}">
              <c16:uniqueId val="{00000027-AEB0-4878-9E76-843E6A2A2DA4}"/>
            </c:ext>
          </c:extLst>
        </c:ser>
        <c:ser>
          <c:idx val="39"/>
          <c:order val="40"/>
          <c:tx>
            <c:strRef>
              <c:f>PlantData!$C$44</c:f>
              <c:strCache>
                <c:ptCount val="1"/>
                <c:pt idx="0">
                  <c:v>Woodland Walgreens SunE</c:v>
                </c:pt>
              </c:strCache>
            </c:strRef>
          </c:tx>
          <c:spPr>
            <a:ln w="12700" cap="rnd">
              <a:solidFill>
                <a:srgbClr val="0070C0"/>
              </a:solidFill>
              <a:prstDash val="sysDot"/>
              <a:round/>
            </a:ln>
            <a:effectLst/>
          </c:spPr>
          <c:marker>
            <c:symbol val="circle"/>
            <c:size val="5"/>
            <c:spPr>
              <a:solidFill>
                <a:schemeClr val="accent4">
                  <a:lumMod val="70000"/>
                  <a:lumOff val="30000"/>
                </a:schemeClr>
              </a:solidFill>
              <a:ln w="9525">
                <a:solidFill>
                  <a:schemeClr val="tx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PlantData!$BB$44:$BQ$44</c:f>
              <c:numCache>
                <c:formatCode>0.00</c:formatCode>
                <c:ptCount val="16"/>
                <c:pt idx="0">
                  <c:v>1.0082735992674154</c:v>
                </c:pt>
                <c:pt idx="1">
                  <c:v>0.94634724755361543</c:v>
                </c:pt>
                <c:pt idx="2">
                  <c:v>0.98052414362736684</c:v>
                </c:pt>
                <c:pt idx="3">
                  <c:v>0.9416661970248934</c:v>
                </c:pt>
                <c:pt idx="4">
                  <c:v>0.88239058104922885</c:v>
                </c:pt>
                <c:pt idx="5">
                  <c:v>0.91094817451511245</c:v>
                </c:pt>
                <c:pt idx="6">
                  <c:v>0.84856426935257312</c:v>
                </c:pt>
                <c:pt idx="7">
                  <c:v>0.26687147567920122</c:v>
                </c:pt>
                <c:pt idx="8">
                  <c:v>0.38482668548890714</c:v>
                </c:pt>
                <c:pt idx="9">
                  <c:v>0.4875526150856872</c:v>
                </c:pt>
                <c:pt idx="10">
                  <c:v>0.92405543712485883</c:v>
                </c:pt>
                <c:pt idx="11">
                  <c:v>0.79670411866218294</c:v>
                </c:pt>
                <c:pt idx="12">
                  <c:v>0.70612183417235574</c:v>
                </c:pt>
                <c:pt idx="13">
                  <c:v>0.60444528823413757</c:v>
                </c:pt>
                <c:pt idx="14">
                  <c:v>0.46567665069308617</c:v>
                </c:pt>
                <c:pt idx="15">
                  <c:v>0.54833444490753414</c:v>
                </c:pt>
              </c:numCache>
            </c:numRef>
          </c:yVal>
          <c:smooth val="0"/>
          <c:extLst>
            <c:ext xmlns:c16="http://schemas.microsoft.com/office/drawing/2014/chart" uri="{C3380CC4-5D6E-409C-BE32-E72D297353CC}">
              <c16:uniqueId val="{00000028-AEB0-4878-9E76-843E6A2A2DA4}"/>
            </c:ext>
          </c:extLst>
        </c:ser>
        <c:ser>
          <c:idx val="40"/>
          <c:order val="41"/>
          <c:tx>
            <c:strRef>
              <c:f>PlantData!$C$45</c:f>
              <c:strCache>
                <c:ptCount val="1"/>
                <c:pt idx="0">
                  <c:v>Bayville Central</c:v>
                </c:pt>
              </c:strCache>
            </c:strRef>
          </c:tx>
          <c:spPr>
            <a:ln w="12700" cap="rnd">
              <a:solidFill>
                <a:schemeClr val="accent5">
                  <a:lumMod val="70000"/>
                  <a:lumOff val="30000"/>
                </a:schemeClr>
              </a:solidFill>
              <a:prstDash val="sysDot"/>
              <a:round/>
            </a:ln>
            <a:effectLst/>
          </c:spPr>
          <c:marker>
            <c:symbol val="circle"/>
            <c:size val="5"/>
            <c:spPr>
              <a:solidFill>
                <a:schemeClr val="accent5">
                  <a:lumMod val="70000"/>
                  <a:lumOff val="30000"/>
                </a:schemeClr>
              </a:solidFill>
              <a:ln w="9525">
                <a:solidFill>
                  <a:schemeClr val="tx1"/>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PlantData!$BB$45:$BP$45</c:f>
              <c:numCache>
                <c:formatCode>0.00</c:formatCode>
                <c:ptCount val="15"/>
                <c:pt idx="0">
                  <c:v>0.60088389615911775</c:v>
                </c:pt>
                <c:pt idx="1">
                  <c:v>0.63729899368009613</c:v>
                </c:pt>
                <c:pt idx="2">
                  <c:v>0.69084659734912002</c:v>
                </c:pt>
                <c:pt idx="3">
                  <c:v>0.67464115461432184</c:v>
                </c:pt>
                <c:pt idx="4">
                  <c:v>0.70345748533905417</c:v>
                </c:pt>
                <c:pt idx="5">
                  <c:v>0.78933293343931321</c:v>
                </c:pt>
                <c:pt idx="6">
                  <c:v>0.83895695177744145</c:v>
                </c:pt>
                <c:pt idx="7">
                  <c:v>0.66822879624019371</c:v>
                </c:pt>
                <c:pt idx="8">
                  <c:v>0.62546918620623304</c:v>
                </c:pt>
                <c:pt idx="9">
                  <c:v>0.26361158763757592</c:v>
                </c:pt>
                <c:pt idx="10">
                  <c:v>0.27949320683866907</c:v>
                </c:pt>
                <c:pt idx="11">
                  <c:v>0.6993182206285794</c:v>
                </c:pt>
                <c:pt idx="12">
                  <c:v>0.64107723595816024</c:v>
                </c:pt>
                <c:pt idx="13">
                  <c:v>0.54676727053736407</c:v>
                </c:pt>
                <c:pt idx="14">
                  <c:v>0.51387063861449944</c:v>
                </c:pt>
              </c:numCache>
            </c:numRef>
          </c:yVal>
          <c:smooth val="0"/>
          <c:extLst>
            <c:ext xmlns:c16="http://schemas.microsoft.com/office/drawing/2014/chart" uri="{C3380CC4-5D6E-409C-BE32-E72D297353CC}">
              <c16:uniqueId val="{00000029-AEB0-4878-9E76-843E6A2A2DA4}"/>
            </c:ext>
          </c:extLst>
        </c:ser>
        <c:ser>
          <c:idx val="41"/>
          <c:order val="42"/>
          <c:tx>
            <c:strRef>
              <c:f>PlantData!$C$46</c:f>
              <c:strCache>
                <c:ptCount val="1"/>
                <c:pt idx="0">
                  <c:v>Blue Wing</c:v>
                </c:pt>
              </c:strCache>
            </c:strRef>
          </c:tx>
          <c:spPr>
            <a:ln w="12700" cap="rnd">
              <a:solidFill>
                <a:schemeClr val="accent6">
                  <a:lumMod val="70000"/>
                  <a:lumOff val="30000"/>
                </a:schemeClr>
              </a:solidFill>
              <a:prstDash val="sysDot"/>
              <a:round/>
            </a:ln>
            <a:effectLst/>
          </c:spPr>
          <c:marker>
            <c:symbol val="circle"/>
            <c:size val="5"/>
            <c:spPr>
              <a:solidFill>
                <a:schemeClr val="accent6">
                  <a:lumMod val="70000"/>
                  <a:lumOff val="3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PlantData!$BB$46:$BO$46</c:f>
              <c:numCache>
                <c:formatCode>0.00</c:formatCode>
                <c:ptCount val="14"/>
                <c:pt idx="0">
                  <c:v>1.1083968567034146</c:v>
                </c:pt>
                <c:pt idx="1">
                  <c:v>0.97992816875779154</c:v>
                </c:pt>
                <c:pt idx="2">
                  <c:v>0.92601851242217381</c:v>
                </c:pt>
                <c:pt idx="3">
                  <c:v>0.90918092641362525</c:v>
                </c:pt>
                <c:pt idx="4">
                  <c:v>0.86747187266790426</c:v>
                </c:pt>
                <c:pt idx="5">
                  <c:v>0.91996845039011599</c:v>
                </c:pt>
                <c:pt idx="6">
                  <c:v>0.90113960225223599</c:v>
                </c:pt>
                <c:pt idx="7">
                  <c:v>0.87364047070296547</c:v>
                </c:pt>
                <c:pt idx="8">
                  <c:v>0.8748883256501041</c:v>
                </c:pt>
                <c:pt idx="9">
                  <c:v>0.82766214703574648</c:v>
                </c:pt>
                <c:pt idx="10">
                  <c:v>0.80756895573019305</c:v>
                </c:pt>
                <c:pt idx="11">
                  <c:v>0.87186727587407886</c:v>
                </c:pt>
                <c:pt idx="12">
                  <c:v>0.73107708607167554</c:v>
                </c:pt>
                <c:pt idx="13">
                  <c:v>0.7881211717304405</c:v>
                </c:pt>
              </c:numCache>
            </c:numRef>
          </c:yVal>
          <c:smooth val="0"/>
          <c:extLst>
            <c:ext xmlns:c16="http://schemas.microsoft.com/office/drawing/2014/chart" uri="{C3380CC4-5D6E-409C-BE32-E72D297353CC}">
              <c16:uniqueId val="{0000002A-AEB0-4878-9E76-843E6A2A2DA4}"/>
            </c:ext>
          </c:extLst>
        </c:ser>
        <c:ser>
          <c:idx val="42"/>
          <c:order val="43"/>
          <c:tx>
            <c:strRef>
              <c:f>PlantData!$C$47</c:f>
              <c:strCache>
                <c:ptCount val="1"/>
                <c:pt idx="0">
                  <c:v>Copper Mtn 48 (FS)</c:v>
                </c:pt>
              </c:strCache>
            </c:strRef>
          </c:tx>
          <c:spPr>
            <a:ln w="12700" cap="rnd">
              <a:solidFill>
                <a:schemeClr val="accent1">
                  <a:lumMod val="70000"/>
                </a:schemeClr>
              </a:solidFill>
              <a:prstDash val="sysDot"/>
              <a:round/>
            </a:ln>
            <a:effectLst/>
          </c:spPr>
          <c:marker>
            <c:symbol val="circle"/>
            <c:size val="5"/>
            <c:spPr>
              <a:solidFill>
                <a:srgbClr val="FFFF00"/>
              </a:solidFill>
              <a:ln w="9525">
                <a:solidFill>
                  <a:schemeClr val="accent1">
                    <a:lumMod val="7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PlantData!$BB$47:$BO$47</c:f>
              <c:numCache>
                <c:formatCode>0.00</c:formatCode>
                <c:ptCount val="14"/>
                <c:pt idx="0">
                  <c:v>0.97165879043566761</c:v>
                </c:pt>
                <c:pt idx="1">
                  <c:v>0.96148357582371002</c:v>
                </c:pt>
                <c:pt idx="2">
                  <c:v>0.95607772301713589</c:v>
                </c:pt>
                <c:pt idx="3">
                  <c:v>0.94449479836366101</c:v>
                </c:pt>
                <c:pt idx="4">
                  <c:v>0.93529453024088649</c:v>
                </c:pt>
                <c:pt idx="5">
                  <c:v>0.90638243280350661</c:v>
                </c:pt>
                <c:pt idx="6">
                  <c:v>0.93793409498424662</c:v>
                </c:pt>
                <c:pt idx="7">
                  <c:v>0.93334231717355631</c:v>
                </c:pt>
                <c:pt idx="8">
                  <c:v>0.91714778856873069</c:v>
                </c:pt>
                <c:pt idx="9">
                  <c:v>0.94358353823039987</c:v>
                </c:pt>
                <c:pt idx="10">
                  <c:v>0.8920746764747528</c:v>
                </c:pt>
                <c:pt idx="11">
                  <c:v>0.9322411065574655</c:v>
                </c:pt>
                <c:pt idx="12">
                  <c:v>0.89080530327192908</c:v>
                </c:pt>
                <c:pt idx="13">
                  <c:v>0.90560033005345164</c:v>
                </c:pt>
              </c:numCache>
            </c:numRef>
          </c:yVal>
          <c:smooth val="0"/>
          <c:extLst>
            <c:ext xmlns:c16="http://schemas.microsoft.com/office/drawing/2014/chart" uri="{C3380CC4-5D6E-409C-BE32-E72D297353CC}">
              <c16:uniqueId val="{0000002B-AEB0-4878-9E76-843E6A2A2DA4}"/>
            </c:ext>
          </c:extLst>
        </c:ser>
        <c:ser>
          <c:idx val="43"/>
          <c:order val="44"/>
          <c:tx>
            <c:strRef>
              <c:f>PlantData!$C$48</c:f>
              <c:strCache>
                <c:ptCount val="1"/>
                <c:pt idx="0">
                  <c:v>CalRenew-1</c:v>
                </c:pt>
              </c:strCache>
            </c:strRef>
          </c:tx>
          <c:spPr>
            <a:ln w="12700" cap="rnd">
              <a:solidFill>
                <a:schemeClr val="accent2">
                  <a:lumMod val="70000"/>
                </a:schemeClr>
              </a:solidFill>
              <a:prstDash val="sysDot"/>
              <a:round/>
            </a:ln>
            <a:effectLst/>
          </c:spPr>
          <c:marker>
            <c:symbol val="circle"/>
            <c:size val="5"/>
            <c:spPr>
              <a:solidFill>
                <a:srgbClr val="00B0F0"/>
              </a:solidFill>
              <a:ln w="9525">
                <a:solidFill>
                  <a:srgbClr val="FF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PlantData!$BB$48:$BO$48</c:f>
              <c:numCache>
                <c:formatCode>0.00</c:formatCode>
                <c:ptCount val="14"/>
                <c:pt idx="0">
                  <c:v>0.95321386182506673</c:v>
                </c:pt>
                <c:pt idx="1">
                  <c:v>1.0152690065278398</c:v>
                </c:pt>
                <c:pt idx="2">
                  <c:v>1.0503645834065614</c:v>
                </c:pt>
                <c:pt idx="3">
                  <c:v>1.0198218013017404</c:v>
                </c:pt>
                <c:pt idx="4">
                  <c:v>1.0018311370922006</c:v>
                </c:pt>
                <c:pt idx="5">
                  <c:v>0.9251101635727792</c:v>
                </c:pt>
                <c:pt idx="6">
                  <c:v>0.9761574872763642</c:v>
                </c:pt>
                <c:pt idx="7">
                  <c:v>0.98405841288974849</c:v>
                </c:pt>
                <c:pt idx="8">
                  <c:v>0.89958668157058308</c:v>
                </c:pt>
                <c:pt idx="9">
                  <c:v>0.92589293374704318</c:v>
                </c:pt>
                <c:pt idx="10">
                  <c:v>0.53399940606950036</c:v>
                </c:pt>
                <c:pt idx="11">
                  <c:v>0.86380668796970694</c:v>
                </c:pt>
                <c:pt idx="12">
                  <c:v>0.64770616949547422</c:v>
                </c:pt>
                <c:pt idx="13">
                  <c:v>0.13727188425640097</c:v>
                </c:pt>
              </c:numCache>
            </c:numRef>
          </c:yVal>
          <c:smooth val="0"/>
          <c:extLst>
            <c:ext xmlns:c16="http://schemas.microsoft.com/office/drawing/2014/chart" uri="{C3380CC4-5D6E-409C-BE32-E72D297353CC}">
              <c16:uniqueId val="{0000002C-AEB0-4878-9E76-843E6A2A2DA4}"/>
            </c:ext>
          </c:extLst>
        </c:ser>
        <c:ser>
          <c:idx val="44"/>
          <c:order val="45"/>
          <c:tx>
            <c:strRef>
              <c:f>PlantData!$C$49</c:f>
              <c:strCache>
                <c:ptCount val="1"/>
                <c:pt idx="0">
                  <c:v>Carson</c:v>
                </c:pt>
              </c:strCache>
            </c:strRef>
          </c:tx>
          <c:spPr>
            <a:ln w="12700" cap="rnd">
              <a:solidFill>
                <a:schemeClr val="accent3">
                  <a:lumMod val="70000"/>
                </a:schemeClr>
              </a:solidFill>
              <a:prstDash val="sysDot"/>
              <a:round/>
            </a:ln>
            <a:effectLst/>
          </c:spPr>
          <c:marker>
            <c:symbol val="circle"/>
            <c:size val="5"/>
            <c:spPr>
              <a:solidFill>
                <a:srgbClr val="C00000"/>
              </a:solidFill>
              <a:ln w="9525">
                <a:solidFill>
                  <a:srgbClr val="00B05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PlantData!$BB$49:$BP$49</c:f>
              <c:numCache>
                <c:formatCode>0.00</c:formatCode>
                <c:ptCount val="15"/>
                <c:pt idx="0">
                  <c:v>0.92319639436578449</c:v>
                </c:pt>
                <c:pt idx="1">
                  <c:v>0.95502601211107963</c:v>
                </c:pt>
                <c:pt idx="2">
                  <c:v>0.95552649674787249</c:v>
                </c:pt>
                <c:pt idx="3">
                  <c:v>0.77178042150548021</c:v>
                </c:pt>
                <c:pt idx="4">
                  <c:v>0.65439419784912689</c:v>
                </c:pt>
                <c:pt idx="5">
                  <c:v>0.75150368478136886</c:v>
                </c:pt>
                <c:pt idx="6">
                  <c:v>0.84424712966982951</c:v>
                </c:pt>
                <c:pt idx="7">
                  <c:v>0.68918133034271789</c:v>
                </c:pt>
                <c:pt idx="8">
                  <c:v>0.52051178157290379</c:v>
                </c:pt>
                <c:pt idx="9">
                  <c:v>0</c:v>
                </c:pt>
                <c:pt idx="10">
                  <c:v>0.73094494141814204</c:v>
                </c:pt>
                <c:pt idx="11">
                  <c:v>1.0683601106348271</c:v>
                </c:pt>
                <c:pt idx="12">
                  <c:v>0.95621905308271904</c:v>
                </c:pt>
                <c:pt idx="13">
                  <c:v>0.97724672921839095</c:v>
                </c:pt>
                <c:pt idx="14">
                  <c:v>1.0268306840673196</c:v>
                </c:pt>
              </c:numCache>
            </c:numRef>
          </c:yVal>
          <c:smooth val="0"/>
          <c:extLst>
            <c:ext xmlns:c16="http://schemas.microsoft.com/office/drawing/2014/chart" uri="{C3380CC4-5D6E-409C-BE32-E72D297353CC}">
              <c16:uniqueId val="{0000002D-AEB0-4878-9E76-843E6A2A2DA4}"/>
            </c:ext>
          </c:extLst>
        </c:ser>
        <c:ser>
          <c:idx val="51"/>
          <c:order val="46"/>
          <c:tx>
            <c:strRef>
              <c:f>PlantData!$C$50</c:f>
              <c:strCache>
                <c:ptCount val="1"/>
                <c:pt idx="0">
                  <c:v>Cimarron</c:v>
                </c:pt>
              </c:strCache>
            </c:strRef>
          </c:tx>
          <c:spPr>
            <a:ln w="12700" cap="rnd">
              <a:solidFill>
                <a:schemeClr val="accent2"/>
              </a:solidFill>
              <a:prstDash val="sysDot"/>
              <a:round/>
            </a:ln>
            <a:effectLst/>
          </c:spPr>
          <c:marker>
            <c:symbol val="circle"/>
            <c:size val="5"/>
            <c:spPr>
              <a:solidFill>
                <a:schemeClr val="accent4">
                  <a:lumMod val="50000"/>
                  <a:lumOff val="50000"/>
                </a:schemeClr>
              </a:solidFill>
              <a:ln w="9525">
                <a:solidFill>
                  <a:srgbClr val="00B0F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PlantData!$BB$50:$BO$50</c:f>
              <c:numCache>
                <c:formatCode>0.00</c:formatCode>
                <c:ptCount val="14"/>
                <c:pt idx="0">
                  <c:v>0.99890622147082586</c:v>
                </c:pt>
                <c:pt idx="1">
                  <c:v>1.0325913024331796</c:v>
                </c:pt>
                <c:pt idx="2">
                  <c:v>0.98839885164506291</c:v>
                </c:pt>
                <c:pt idx="3">
                  <c:v>0.93147424854438976</c:v>
                </c:pt>
                <c:pt idx="4">
                  <c:v>0.91129803362006012</c:v>
                </c:pt>
                <c:pt idx="5">
                  <c:v>0.95970875109934994</c:v>
                </c:pt>
                <c:pt idx="6">
                  <c:v>0.92329645627071621</c:v>
                </c:pt>
                <c:pt idx="7">
                  <c:v>0.96286443785777287</c:v>
                </c:pt>
                <c:pt idx="8">
                  <c:v>0.94390271561714545</c:v>
                </c:pt>
                <c:pt idx="9">
                  <c:v>0.96117465131461921</c:v>
                </c:pt>
                <c:pt idx="10">
                  <c:v>0.97740669707782013</c:v>
                </c:pt>
                <c:pt idx="11">
                  <c:v>0.94217961700902875</c:v>
                </c:pt>
                <c:pt idx="12">
                  <c:v>0.88993828728953905</c:v>
                </c:pt>
                <c:pt idx="13">
                  <c:v>0.69989761651816829</c:v>
                </c:pt>
              </c:numCache>
            </c:numRef>
          </c:yVal>
          <c:smooth val="0"/>
          <c:extLst>
            <c:ext xmlns:c16="http://schemas.microsoft.com/office/drawing/2014/chart" uri="{C3380CC4-5D6E-409C-BE32-E72D297353CC}">
              <c16:uniqueId val="{00000002-97FA-4801-8379-CCE04F773ABA}"/>
            </c:ext>
          </c:extLst>
        </c:ser>
        <c:ser>
          <c:idx val="45"/>
          <c:order val="47"/>
          <c:tx>
            <c:strRef>
              <c:f>PlantData!$C$51</c:f>
              <c:strCache>
                <c:ptCount val="1"/>
                <c:pt idx="0">
                  <c:v>Crayola</c:v>
                </c:pt>
              </c:strCache>
            </c:strRef>
          </c:tx>
          <c:spPr>
            <a:ln w="12700" cap="rnd">
              <a:solidFill>
                <a:srgbClr val="7030A0"/>
              </a:solidFill>
              <a:prstDash val="sysDot"/>
              <a:round/>
            </a:ln>
            <a:effectLst/>
          </c:spPr>
          <c:marker>
            <c:symbol val="circle"/>
            <c:size val="5"/>
            <c:spPr>
              <a:solidFill>
                <a:srgbClr val="7030A0"/>
              </a:solidFill>
              <a:ln w="9525">
                <a:solidFill>
                  <a:schemeClr val="accent4"/>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PlantData!$BB$51:$BN$51</c:f>
              <c:numCache>
                <c:formatCode>0.00</c:formatCode>
                <c:ptCount val="13"/>
                <c:pt idx="0">
                  <c:v>0.61298497621163872</c:v>
                </c:pt>
                <c:pt idx="1">
                  <c:v>0.732174628169311</c:v>
                </c:pt>
                <c:pt idx="2">
                  <c:v>0.76441162670687357</c:v>
                </c:pt>
                <c:pt idx="3">
                  <c:v>1.0889149674740692</c:v>
                </c:pt>
                <c:pt idx="4">
                  <c:v>0.66021295722960494</c:v>
                </c:pt>
                <c:pt idx="5">
                  <c:v>0.63978846038394932</c:v>
                </c:pt>
                <c:pt idx="6">
                  <c:v>0.66636258848877894</c:v>
                </c:pt>
                <c:pt idx="7">
                  <c:v>0.67299280454707944</c:v>
                </c:pt>
                <c:pt idx="8">
                  <c:v>0.63552834517314027</c:v>
                </c:pt>
                <c:pt idx="9">
                  <c:v>0.71241083517939152</c:v>
                </c:pt>
                <c:pt idx="10">
                  <c:v>0.69420867850381884</c:v>
                </c:pt>
                <c:pt idx="11">
                  <c:v>0.67683578731903749</c:v>
                </c:pt>
                <c:pt idx="12">
                  <c:v>0.60569045468076588</c:v>
                </c:pt>
              </c:numCache>
            </c:numRef>
          </c:yVal>
          <c:smooth val="0"/>
          <c:extLst>
            <c:ext xmlns:c16="http://schemas.microsoft.com/office/drawing/2014/chart" uri="{C3380CC4-5D6E-409C-BE32-E72D297353CC}">
              <c16:uniqueId val="{0000002E-AEB0-4878-9E76-843E6A2A2DA4}"/>
            </c:ext>
          </c:extLst>
        </c:ser>
        <c:ser>
          <c:idx val="46"/>
          <c:order val="48"/>
          <c:tx>
            <c:strRef>
              <c:f>PlantData!$C$52</c:f>
              <c:strCache>
                <c:ptCount val="1"/>
                <c:pt idx="0">
                  <c:v>Duke Egy 10240</c:v>
                </c:pt>
              </c:strCache>
            </c:strRef>
          </c:tx>
          <c:spPr>
            <a:ln w="12700" cap="rnd">
              <a:solidFill>
                <a:srgbClr val="00B0F0"/>
              </a:solidFill>
              <a:prstDash val="sysDot"/>
              <a:round/>
            </a:ln>
            <a:effectLst/>
          </c:spPr>
          <c:marker>
            <c:symbol val="circle"/>
            <c:size val="5"/>
            <c:spPr>
              <a:solidFill>
                <a:srgbClr val="00B0F0"/>
              </a:solidFill>
              <a:ln w="9525">
                <a:solidFill>
                  <a:schemeClr val="bg2">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PlantData!$BB$52:$BO$52</c:f>
              <c:numCache>
                <c:formatCode>0.00</c:formatCode>
                <c:ptCount val="14"/>
                <c:pt idx="0">
                  <c:v>0.87200367460427863</c:v>
                </c:pt>
                <c:pt idx="1">
                  <c:v>0.97539867500064092</c:v>
                </c:pt>
                <c:pt idx="2">
                  <c:v>0.9341603010757118</c:v>
                </c:pt>
                <c:pt idx="3">
                  <c:v>0.93850851623296372</c:v>
                </c:pt>
                <c:pt idx="4">
                  <c:v>0.86149241588067593</c:v>
                </c:pt>
                <c:pt idx="5">
                  <c:v>0.88819236625306475</c:v>
                </c:pt>
                <c:pt idx="6">
                  <c:v>0.69487322501866366</c:v>
                </c:pt>
                <c:pt idx="7">
                  <c:v>0.58644304777476886</c:v>
                </c:pt>
                <c:pt idx="8">
                  <c:v>0.71322931698061975</c:v>
                </c:pt>
                <c:pt idx="9">
                  <c:v>0.71431701888156274</c:v>
                </c:pt>
                <c:pt idx="10">
                  <c:v>0.7408451533896091</c:v>
                </c:pt>
                <c:pt idx="11">
                  <c:v>0.52123361702307602</c:v>
                </c:pt>
                <c:pt idx="12">
                  <c:v>0.55534921915270785</c:v>
                </c:pt>
              </c:numCache>
            </c:numRef>
          </c:yVal>
          <c:smooth val="0"/>
          <c:extLst>
            <c:ext xmlns:c16="http://schemas.microsoft.com/office/drawing/2014/chart" uri="{C3380CC4-5D6E-409C-BE32-E72D297353CC}">
              <c16:uniqueId val="{0000002F-AEB0-4878-9E76-843E6A2A2DA4}"/>
            </c:ext>
          </c:extLst>
        </c:ser>
        <c:ser>
          <c:idx val="47"/>
          <c:order val="49"/>
          <c:tx>
            <c:strRef>
              <c:f>PlantData!$C$53</c:f>
              <c:strCache>
                <c:ptCount val="1"/>
                <c:pt idx="0">
                  <c:v>Duke Egy 1725</c:v>
                </c:pt>
              </c:strCache>
            </c:strRef>
          </c:tx>
          <c:spPr>
            <a:ln w="12700" cap="rnd">
              <a:solidFill>
                <a:schemeClr val="accent6">
                  <a:lumMod val="70000"/>
                </a:schemeClr>
              </a:solidFill>
              <a:prstDash val="sysDot"/>
              <a:round/>
            </a:ln>
            <a:effectLst/>
          </c:spPr>
          <c:marker>
            <c:symbol val="circle"/>
            <c:size val="5"/>
            <c:spPr>
              <a:solidFill>
                <a:srgbClr val="FFC000"/>
              </a:solidFill>
              <a:ln w="9525">
                <a:solidFill>
                  <a:schemeClr val="accent6">
                    <a:lumMod val="7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PlantData!$BB$53:$BP$53</c:f>
              <c:numCache>
                <c:formatCode>0.00</c:formatCode>
                <c:ptCount val="15"/>
                <c:pt idx="0">
                  <c:v>0.94088885461924987</c:v>
                </c:pt>
                <c:pt idx="1">
                  <c:v>0.23257892358577023</c:v>
                </c:pt>
                <c:pt idx="2">
                  <c:v>0.28787869938677724</c:v>
                </c:pt>
                <c:pt idx="3">
                  <c:v>0.95390807274362688</c:v>
                </c:pt>
                <c:pt idx="4">
                  <c:v>0.95994422689526926</c:v>
                </c:pt>
                <c:pt idx="5">
                  <c:v>0.96476806723142627</c:v>
                </c:pt>
                <c:pt idx="6">
                  <c:v>1.0455537233140173</c:v>
                </c:pt>
                <c:pt idx="7">
                  <c:v>0.97511932787796796</c:v>
                </c:pt>
                <c:pt idx="8">
                  <c:v>0.87479094857963535</c:v>
                </c:pt>
                <c:pt idx="9">
                  <c:v>0.81930024023990322</c:v>
                </c:pt>
                <c:pt idx="10">
                  <c:v>0.84326642262318785</c:v>
                </c:pt>
                <c:pt idx="11">
                  <c:v>0.52381792639375691</c:v>
                </c:pt>
                <c:pt idx="12">
                  <c:v>0.6305760722950291</c:v>
                </c:pt>
                <c:pt idx="13">
                  <c:v>0.5173957516266906</c:v>
                </c:pt>
                <c:pt idx="14">
                  <c:v>0.58924139285280019</c:v>
                </c:pt>
              </c:numCache>
            </c:numRef>
          </c:yVal>
          <c:smooth val="0"/>
          <c:extLst>
            <c:ext xmlns:c16="http://schemas.microsoft.com/office/drawing/2014/chart" uri="{C3380CC4-5D6E-409C-BE32-E72D297353CC}">
              <c16:uniqueId val="{00000030-AEB0-4878-9E76-843E6A2A2DA4}"/>
            </c:ext>
          </c:extLst>
        </c:ser>
        <c:ser>
          <c:idx val="48"/>
          <c:order val="50"/>
          <c:tx>
            <c:strRef>
              <c:f>PlantData!$C$54</c:f>
              <c:strCache>
                <c:ptCount val="1"/>
                <c:pt idx="0">
                  <c:v>Duke Egy 657</c:v>
                </c:pt>
              </c:strCache>
            </c:strRef>
          </c:tx>
          <c:spPr>
            <a:ln w="12700" cap="rnd">
              <a:solidFill>
                <a:schemeClr val="tx2">
                  <a:lumMod val="60000"/>
                  <a:lumOff val="40000"/>
                </a:schemeClr>
              </a:solidFill>
              <a:prstDash val="sysDot"/>
              <a:round/>
            </a:ln>
            <a:effectLst/>
          </c:spPr>
          <c:marker>
            <c:symbol val="circle"/>
            <c:size val="5"/>
            <c:spPr>
              <a:solidFill>
                <a:schemeClr val="accent1">
                  <a:lumMod val="50000"/>
                  <a:lumOff val="50000"/>
                </a:schemeClr>
              </a:solidFill>
              <a:ln w="9525">
                <a:solidFill>
                  <a:schemeClr val="accent2">
                    <a:lumMod val="75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PlantData!$BB$54:$BP$54</c:f>
              <c:numCache>
                <c:formatCode>0.00</c:formatCode>
                <c:ptCount val="15"/>
                <c:pt idx="0">
                  <c:v>1.0054821415569357</c:v>
                </c:pt>
                <c:pt idx="1">
                  <c:v>0.9862247799759648</c:v>
                </c:pt>
                <c:pt idx="2">
                  <c:v>0.81680186814158751</c:v>
                </c:pt>
                <c:pt idx="3">
                  <c:v>0.91238570573000377</c:v>
                </c:pt>
                <c:pt idx="4">
                  <c:v>0.99971565905420912</c:v>
                </c:pt>
                <c:pt idx="5">
                  <c:v>0.97264216440791484</c:v>
                </c:pt>
                <c:pt idx="6">
                  <c:v>0.90128248802421862</c:v>
                </c:pt>
                <c:pt idx="7">
                  <c:v>0.74174372781290954</c:v>
                </c:pt>
                <c:pt idx="8">
                  <c:v>0.66697445923341259</c:v>
                </c:pt>
                <c:pt idx="9">
                  <c:v>0.42422561560174504</c:v>
                </c:pt>
                <c:pt idx="10">
                  <c:v>0.40391753931930235</c:v>
                </c:pt>
                <c:pt idx="11">
                  <c:v>0.21450053580080825</c:v>
                </c:pt>
              </c:numCache>
            </c:numRef>
          </c:yVal>
          <c:smooth val="0"/>
          <c:extLst>
            <c:ext xmlns:c16="http://schemas.microsoft.com/office/drawing/2014/chart" uri="{C3380CC4-5D6E-409C-BE32-E72D297353CC}">
              <c16:uniqueId val="{00000031-AEB0-4878-9E76-843E6A2A2DA4}"/>
            </c:ext>
          </c:extLst>
        </c:ser>
        <c:ser>
          <c:idx val="49"/>
          <c:order val="51"/>
          <c:tx>
            <c:strRef>
              <c:f>PlantData!$C$55</c:f>
              <c:strCache>
                <c:ptCount val="1"/>
                <c:pt idx="0">
                  <c:v>Dow Jones</c:v>
                </c:pt>
              </c:strCache>
            </c:strRef>
          </c:tx>
          <c:spPr>
            <a:ln w="12700" cap="rnd">
              <a:solidFill>
                <a:schemeClr val="accent2">
                  <a:lumMod val="75000"/>
                </a:schemeClr>
              </a:solidFill>
              <a:prstDash val="sysDot"/>
              <a:round/>
            </a:ln>
            <a:effectLst/>
          </c:spPr>
          <c:marker>
            <c:symbol val="circle"/>
            <c:size val="5"/>
            <c:spPr>
              <a:solidFill>
                <a:schemeClr val="accent2">
                  <a:lumMod val="50000"/>
                  <a:lumOff val="5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PlantData!$BB$55:$BO$55</c:f>
              <c:numCache>
                <c:formatCode>0.00</c:formatCode>
                <c:ptCount val="14"/>
                <c:pt idx="0">
                  <c:v>0.90361177026642492</c:v>
                </c:pt>
                <c:pt idx="1">
                  <c:v>1.0137516646672524</c:v>
                </c:pt>
                <c:pt idx="2">
                  <c:v>0.99504108352724252</c:v>
                </c:pt>
                <c:pt idx="3">
                  <c:v>0.96016723535284088</c:v>
                </c:pt>
                <c:pt idx="4">
                  <c:v>0.99404615573411981</c:v>
                </c:pt>
                <c:pt idx="5">
                  <c:v>1.0364978619287759</c:v>
                </c:pt>
                <c:pt idx="6">
                  <c:v>0.92431962326275241</c:v>
                </c:pt>
                <c:pt idx="7">
                  <c:v>0.81505595206464754</c:v>
                </c:pt>
                <c:pt idx="8">
                  <c:v>0.98494458241982852</c:v>
                </c:pt>
                <c:pt idx="9">
                  <c:v>0.96400641245117979</c:v>
                </c:pt>
                <c:pt idx="10">
                  <c:v>0.96079755922308474</c:v>
                </c:pt>
                <c:pt idx="11">
                  <c:v>0.70746141612673208</c:v>
                </c:pt>
                <c:pt idx="12">
                  <c:v>0.86932143333747613</c:v>
                </c:pt>
                <c:pt idx="13">
                  <c:v>0</c:v>
                </c:pt>
              </c:numCache>
            </c:numRef>
          </c:yVal>
          <c:smooth val="0"/>
          <c:extLst>
            <c:ext xmlns:c16="http://schemas.microsoft.com/office/drawing/2014/chart" uri="{C3380CC4-5D6E-409C-BE32-E72D297353CC}">
              <c16:uniqueId val="{00000032-AEB0-4878-9E76-843E6A2A2DA4}"/>
            </c:ext>
          </c:extLst>
        </c:ser>
        <c:ser>
          <c:idx val="52"/>
          <c:order val="52"/>
          <c:tx>
            <c:strRef>
              <c:f>PlantData!$C$56</c:f>
              <c:strCache>
                <c:ptCount val="1"/>
                <c:pt idx="0">
                  <c:v>Long Island Solar Farm LLC</c:v>
                </c:pt>
              </c:strCache>
            </c:strRef>
          </c:tx>
          <c:spPr>
            <a:ln w="12700" cap="rnd">
              <a:solidFill>
                <a:schemeClr val="accent5">
                  <a:lumMod val="50000"/>
                  <a:lumOff val="50000"/>
                </a:schemeClr>
              </a:solidFill>
              <a:prstDash val="sysDot"/>
              <a:round/>
            </a:ln>
            <a:effectLst/>
          </c:spPr>
          <c:marker>
            <c:symbol val="circle"/>
            <c:size val="5"/>
            <c:spPr>
              <a:solidFill>
                <a:schemeClr val="accent5">
                  <a:lumMod val="50000"/>
                  <a:lumOff val="50000"/>
                </a:schemeClr>
              </a:solidFill>
              <a:ln w="9525">
                <a:solidFill>
                  <a:srgbClr val="0070C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PlantData!$BB$56:$BO$56</c:f>
              <c:numCache>
                <c:formatCode>0.00</c:formatCode>
                <c:ptCount val="14"/>
                <c:pt idx="0">
                  <c:v>1.0572740057745469</c:v>
                </c:pt>
                <c:pt idx="1">
                  <c:v>1.0445254016028904</c:v>
                </c:pt>
                <c:pt idx="2">
                  <c:v>1.0296163054743794</c:v>
                </c:pt>
                <c:pt idx="3">
                  <c:v>1.0646192230749369</c:v>
                </c:pt>
                <c:pt idx="4">
                  <c:v>1.0990680034350764</c:v>
                </c:pt>
                <c:pt idx="5">
                  <c:v>0.97300830074363887</c:v>
                </c:pt>
                <c:pt idx="6">
                  <c:v>1.0078479893763981</c:v>
                </c:pt>
                <c:pt idx="7">
                  <c:v>1.0516757765482361</c:v>
                </c:pt>
                <c:pt idx="8">
                  <c:v>1.0124281866836971</c:v>
                </c:pt>
                <c:pt idx="9">
                  <c:v>1.0503747284294194</c:v>
                </c:pt>
                <c:pt idx="10">
                  <c:v>1.0586896907145475</c:v>
                </c:pt>
                <c:pt idx="11">
                  <c:v>0.96721607210302252</c:v>
                </c:pt>
                <c:pt idx="12">
                  <c:v>1.0198325112315125</c:v>
                </c:pt>
                <c:pt idx="13">
                  <c:v>0.9154783800430869</c:v>
                </c:pt>
              </c:numCache>
            </c:numRef>
          </c:yVal>
          <c:smooth val="0"/>
          <c:extLst>
            <c:ext xmlns:c16="http://schemas.microsoft.com/office/drawing/2014/chart" uri="{C3380CC4-5D6E-409C-BE32-E72D297353CC}">
              <c16:uniqueId val="{00000003-97FA-4801-8379-CCE04F773ABA}"/>
            </c:ext>
          </c:extLst>
        </c:ser>
        <c:ser>
          <c:idx val="53"/>
          <c:order val="53"/>
          <c:tx>
            <c:strRef>
              <c:f>PlantData!$C$57</c:f>
              <c:strCache>
                <c:ptCount val="1"/>
                <c:pt idx="0">
                  <c:v>Greater Sandhill</c:v>
                </c:pt>
              </c:strCache>
            </c:strRef>
          </c:tx>
          <c:spPr>
            <a:ln w="12700" cap="rnd">
              <a:solidFill>
                <a:schemeClr val="accent6">
                  <a:lumMod val="50000"/>
                  <a:lumOff val="50000"/>
                </a:schemeClr>
              </a:solidFill>
              <a:prstDash val="sysDot"/>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PlantData!$BB$57:$BN$57</c:f>
              <c:numCache>
                <c:formatCode>0.00</c:formatCode>
                <c:ptCount val="13"/>
                <c:pt idx="0">
                  <c:v>1.0343628489513146</c:v>
                </c:pt>
                <c:pt idx="1">
                  <c:v>1.0452837461390503</c:v>
                </c:pt>
                <c:pt idx="2">
                  <c:v>1.0197030739912987</c:v>
                </c:pt>
                <c:pt idx="3">
                  <c:v>0.99665407845215837</c:v>
                </c:pt>
                <c:pt idx="4">
                  <c:v>0.98600399131316552</c:v>
                </c:pt>
                <c:pt idx="5">
                  <c:v>1.0267742189599272</c:v>
                </c:pt>
                <c:pt idx="6">
                  <c:v>1.0299050561582868</c:v>
                </c:pt>
                <c:pt idx="7">
                  <c:v>1.0401012893123309</c:v>
                </c:pt>
                <c:pt idx="8">
                  <c:v>1.0319966319858682</c:v>
                </c:pt>
                <c:pt idx="9">
                  <c:v>1.0576896770577286</c:v>
                </c:pt>
                <c:pt idx="10">
                  <c:v>1.0245664861998103</c:v>
                </c:pt>
                <c:pt idx="11">
                  <c:v>0.96437502947243814</c:v>
                </c:pt>
                <c:pt idx="12">
                  <c:v>0.97457172501098444</c:v>
                </c:pt>
              </c:numCache>
            </c:numRef>
          </c:yVal>
          <c:smooth val="0"/>
          <c:extLst>
            <c:ext xmlns:c16="http://schemas.microsoft.com/office/drawing/2014/chart" uri="{C3380CC4-5D6E-409C-BE32-E72D297353CC}">
              <c16:uniqueId val="{00000004-97FA-4801-8379-CCE04F773ABA}"/>
            </c:ext>
          </c:extLst>
        </c:ser>
        <c:ser>
          <c:idx val="54"/>
          <c:order val="54"/>
          <c:tx>
            <c:strRef>
              <c:f>PlantData!$C$58</c:f>
              <c:strCache>
                <c:ptCount val="1"/>
                <c:pt idx="0">
                  <c:v>Haleon York RDC Solar Facility</c:v>
                </c:pt>
              </c:strCache>
            </c:strRef>
          </c:tx>
          <c:spPr>
            <a:ln w="12700" cap="rnd">
              <a:solidFill>
                <a:schemeClr val="accent1"/>
              </a:solidFill>
              <a:prstDash val="sysDot"/>
              <a:round/>
            </a:ln>
            <a:effectLst/>
          </c:spPr>
          <c:marker>
            <c:symbol val="circle"/>
            <c:size val="5"/>
            <c:spPr>
              <a:solidFill>
                <a:schemeClr val="accent1"/>
              </a:solidFill>
              <a:ln w="9525">
                <a:solidFill>
                  <a:schemeClr val="accent1"/>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PlantData!$BB$58:$BO$58</c:f>
              <c:numCache>
                <c:formatCode>0.00</c:formatCode>
                <c:ptCount val="14"/>
                <c:pt idx="0">
                  <c:v>0.82381159716062602</c:v>
                </c:pt>
                <c:pt idx="1">
                  <c:v>1.0068331514683908</c:v>
                </c:pt>
                <c:pt idx="2">
                  <c:v>0.98628917104885727</c:v>
                </c:pt>
                <c:pt idx="3">
                  <c:v>0.84720155492671856</c:v>
                </c:pt>
                <c:pt idx="4">
                  <c:v>0.93691394661347438</c:v>
                </c:pt>
                <c:pt idx="5">
                  <c:v>0.93427667031550177</c:v>
                </c:pt>
                <c:pt idx="6">
                  <c:v>0.8219904969551044</c:v>
                </c:pt>
                <c:pt idx="7">
                  <c:v>0.76733666477891216</c:v>
                </c:pt>
                <c:pt idx="8">
                  <c:v>0.53401289445305156</c:v>
                </c:pt>
                <c:pt idx="9">
                  <c:v>0.71569124728202071</c:v>
                </c:pt>
                <c:pt idx="10">
                  <c:v>0.65845385002824564</c:v>
                </c:pt>
                <c:pt idx="11">
                  <c:v>0.32607751119505801</c:v>
                </c:pt>
                <c:pt idx="12">
                  <c:v>0.48074780230929676</c:v>
                </c:pt>
                <c:pt idx="13">
                  <c:v>0.23467107065627518</c:v>
                </c:pt>
              </c:numCache>
            </c:numRef>
          </c:yVal>
          <c:smooth val="0"/>
          <c:extLst>
            <c:ext xmlns:c16="http://schemas.microsoft.com/office/drawing/2014/chart" uri="{C3380CC4-5D6E-409C-BE32-E72D297353CC}">
              <c16:uniqueId val="{00000005-97FA-4801-8379-CCE04F773ABA}"/>
            </c:ext>
          </c:extLst>
        </c:ser>
        <c:ser>
          <c:idx val="55"/>
          <c:order val="55"/>
          <c:tx>
            <c:strRef>
              <c:f>PlantData!$C$59</c:f>
              <c:strCache>
                <c:ptCount val="1"/>
                <c:pt idx="0">
                  <c:v>Haverhill</c:v>
                </c:pt>
              </c:strCache>
            </c:strRef>
          </c:tx>
          <c:spPr>
            <a:ln w="12700" cap="rnd">
              <a:solidFill>
                <a:schemeClr val="accent2"/>
              </a:solidFill>
              <a:prstDash val="sysDot"/>
              <a:round/>
            </a:ln>
            <a:effectLst/>
          </c:spPr>
          <c:marker>
            <c:symbol val="circle"/>
            <c:size val="5"/>
            <c:spPr>
              <a:solidFill>
                <a:schemeClr val="accent2"/>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PlantData!$BB$59:$BO$59</c:f>
              <c:numCache>
                <c:formatCode>0.00</c:formatCode>
                <c:ptCount val="14"/>
                <c:pt idx="0">
                  <c:v>0.73142263242870498</c:v>
                </c:pt>
                <c:pt idx="1">
                  <c:v>0.93503886631876343</c:v>
                </c:pt>
                <c:pt idx="2">
                  <c:v>0.91807428773898125</c:v>
                </c:pt>
                <c:pt idx="3">
                  <c:v>0.84160532242612418</c:v>
                </c:pt>
                <c:pt idx="4">
                  <c:v>0.90846095616445599</c:v>
                </c:pt>
                <c:pt idx="5">
                  <c:v>0.95549241620662662</c:v>
                </c:pt>
                <c:pt idx="6">
                  <c:v>0.83682752891032619</c:v>
                </c:pt>
                <c:pt idx="7">
                  <c:v>0.88928866652468985</c:v>
                </c:pt>
                <c:pt idx="8">
                  <c:v>0.6905257847139632</c:v>
                </c:pt>
                <c:pt idx="9">
                  <c:v>0.93461190897012092</c:v>
                </c:pt>
                <c:pt idx="10">
                  <c:v>0.92142426713833514</c:v>
                </c:pt>
                <c:pt idx="11">
                  <c:v>0.81899169430356455</c:v>
                </c:pt>
                <c:pt idx="12">
                  <c:v>0.78776388563665178</c:v>
                </c:pt>
                <c:pt idx="13">
                  <c:v>0.91722985326411666</c:v>
                </c:pt>
              </c:numCache>
            </c:numRef>
          </c:yVal>
          <c:smooth val="0"/>
          <c:extLst>
            <c:ext xmlns:c16="http://schemas.microsoft.com/office/drawing/2014/chart" uri="{C3380CC4-5D6E-409C-BE32-E72D297353CC}">
              <c16:uniqueId val="{00000006-97FA-4801-8379-CCE04F773ABA}"/>
            </c:ext>
          </c:extLst>
        </c:ser>
        <c:ser>
          <c:idx val="56"/>
          <c:order val="56"/>
          <c:tx>
            <c:strRef>
              <c:f>PlantData!$C$60</c:f>
              <c:strCache>
                <c:ptCount val="1"/>
                <c:pt idx="0">
                  <c:v>Jacksonville</c:v>
                </c:pt>
              </c:strCache>
            </c:strRef>
          </c:tx>
          <c:spPr>
            <a:ln w="12700" cap="rnd">
              <a:solidFill>
                <a:schemeClr val="accent3"/>
              </a:solidFill>
              <a:prstDash val="sysDot"/>
              <a:round/>
            </a:ln>
            <a:effectLst/>
          </c:spPr>
          <c:marker>
            <c:symbol val="circle"/>
            <c:size val="5"/>
            <c:spPr>
              <a:solidFill>
                <a:schemeClr val="accent3"/>
              </a:solidFill>
              <a:ln w="9525">
                <a:solidFill>
                  <a:schemeClr val="accent3"/>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PlantData!$BB$60:$BO$60</c:f>
              <c:numCache>
                <c:formatCode>0.00</c:formatCode>
                <c:ptCount val="14"/>
                <c:pt idx="0">
                  <c:v>1.0857106194491977</c:v>
                </c:pt>
                <c:pt idx="1">
                  <c:v>0.99165207131199073</c:v>
                </c:pt>
                <c:pt idx="2">
                  <c:v>1.0147032923402064</c:v>
                </c:pt>
                <c:pt idx="3">
                  <c:v>1.0031686167049043</c:v>
                </c:pt>
                <c:pt idx="4">
                  <c:v>0.95824944645221599</c:v>
                </c:pt>
                <c:pt idx="5">
                  <c:v>0.99108295057450557</c:v>
                </c:pt>
                <c:pt idx="6">
                  <c:v>0.98387072096932771</c:v>
                </c:pt>
                <c:pt idx="7">
                  <c:v>0.85922583853756218</c:v>
                </c:pt>
                <c:pt idx="8">
                  <c:v>0.89501622469887154</c:v>
                </c:pt>
                <c:pt idx="9">
                  <c:v>0.79995528871124877</c:v>
                </c:pt>
                <c:pt idx="10">
                  <c:v>0.79597835869769951</c:v>
                </c:pt>
                <c:pt idx="11">
                  <c:v>0.91090856727348135</c:v>
                </c:pt>
                <c:pt idx="12">
                  <c:v>0.7540880247566536</c:v>
                </c:pt>
                <c:pt idx="13">
                  <c:v>0.59125863409242418</c:v>
                </c:pt>
              </c:numCache>
            </c:numRef>
          </c:yVal>
          <c:smooth val="0"/>
          <c:extLst>
            <c:ext xmlns:c16="http://schemas.microsoft.com/office/drawing/2014/chart" uri="{C3380CC4-5D6E-409C-BE32-E72D297353CC}">
              <c16:uniqueId val="{00000008-97FA-4801-8379-CCE04F773ABA}"/>
            </c:ext>
          </c:extLst>
        </c:ser>
        <c:ser>
          <c:idx val="57"/>
          <c:order val="57"/>
          <c:tx>
            <c:strRef>
              <c:f>PlantData!$C$61</c:f>
              <c:strCache>
                <c:ptCount val="1"/>
                <c:pt idx="0">
                  <c:v>Kapaa</c:v>
                </c:pt>
              </c:strCache>
            </c:strRef>
          </c:tx>
          <c:spPr>
            <a:ln w="12700" cap="rnd">
              <a:solidFill>
                <a:schemeClr val="accent4"/>
              </a:solidFill>
              <a:prstDash val="sysDot"/>
              <a:round/>
            </a:ln>
            <a:effectLst/>
          </c:spPr>
          <c:marker>
            <c:symbol val="circle"/>
            <c:size val="5"/>
            <c:spPr>
              <a:solidFill>
                <a:schemeClr val="accent4"/>
              </a:solidFill>
              <a:ln w="9525">
                <a:solidFill>
                  <a:srgbClr val="0070C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PlantData!$BB$61:$BO$61</c:f>
              <c:numCache>
                <c:formatCode>0.00</c:formatCode>
                <c:ptCount val="14"/>
                <c:pt idx="0">
                  <c:v>1.0024543738586402</c:v>
                </c:pt>
                <c:pt idx="1">
                  <c:v>1.1499999999999999</c:v>
                </c:pt>
                <c:pt idx="2">
                  <c:v>1.0801728536569579</c:v>
                </c:pt>
                <c:pt idx="3">
                  <c:v>1.0406794431351043</c:v>
                </c:pt>
                <c:pt idx="4">
                  <c:v>1.0748494692065134</c:v>
                </c:pt>
                <c:pt idx="5">
                  <c:v>1.0878130595985742</c:v>
                </c:pt>
                <c:pt idx="6">
                  <c:v>1.1160804722939179</c:v>
                </c:pt>
                <c:pt idx="7">
                  <c:v>0.94835301825122664</c:v>
                </c:pt>
                <c:pt idx="8">
                  <c:v>1.0623670271020258</c:v>
                </c:pt>
                <c:pt idx="9">
                  <c:v>1.0605835611807344</c:v>
                </c:pt>
                <c:pt idx="10">
                  <c:v>1.0348960688437003</c:v>
                </c:pt>
                <c:pt idx="11">
                  <c:v>1.0922512490019098</c:v>
                </c:pt>
                <c:pt idx="12">
                  <c:v>0.93446468743385536</c:v>
                </c:pt>
                <c:pt idx="13">
                  <c:v>0.90646244574807067</c:v>
                </c:pt>
              </c:numCache>
            </c:numRef>
          </c:yVal>
          <c:smooth val="0"/>
          <c:extLst>
            <c:ext xmlns:c16="http://schemas.microsoft.com/office/drawing/2014/chart" uri="{C3380CC4-5D6E-409C-BE32-E72D297353CC}">
              <c16:uniqueId val="{00000002-DF27-44A0-941E-1A51F1560D3A}"/>
            </c:ext>
          </c:extLst>
        </c:ser>
        <c:ser>
          <c:idx val="58"/>
          <c:order val="58"/>
          <c:tx>
            <c:strRef>
              <c:f>PlantData!$C$62</c:f>
              <c:strCache>
                <c:ptCount val="1"/>
                <c:pt idx="0">
                  <c:v>Knouse</c:v>
                </c:pt>
              </c:strCache>
            </c:strRef>
          </c:tx>
          <c:spPr>
            <a:ln w="12700" cap="rnd">
              <a:solidFill>
                <a:schemeClr val="accent5"/>
              </a:solidFill>
              <a:prstDash val="sysDot"/>
              <a:round/>
            </a:ln>
            <a:effectLst/>
          </c:spPr>
          <c:marker>
            <c:symbol val="circle"/>
            <c:size val="5"/>
            <c:spPr>
              <a:solidFill>
                <a:schemeClr val="accent5"/>
              </a:solidFill>
              <a:ln w="9525">
                <a:solidFill>
                  <a:srgbClr val="FFC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PlantData!$BB$62:$BO$62</c:f>
              <c:numCache>
                <c:formatCode>0.00</c:formatCode>
                <c:ptCount val="14"/>
                <c:pt idx="0">
                  <c:v>0.9826608062060973</c:v>
                </c:pt>
                <c:pt idx="1">
                  <c:v>1.0454049136013668</c:v>
                </c:pt>
                <c:pt idx="2">
                  <c:v>1.0178617389282956</c:v>
                </c:pt>
                <c:pt idx="3">
                  <c:v>0.9968430420508535</c:v>
                </c:pt>
                <c:pt idx="4">
                  <c:v>1.0456271444190059</c:v>
                </c:pt>
                <c:pt idx="5">
                  <c:v>0.99523405654512442</c:v>
                </c:pt>
                <c:pt idx="6">
                  <c:v>0.96079943500330811</c:v>
                </c:pt>
                <c:pt idx="7">
                  <c:v>0.90317404825431602</c:v>
                </c:pt>
                <c:pt idx="8">
                  <c:v>0.99027583287159304</c:v>
                </c:pt>
                <c:pt idx="9">
                  <c:v>1.000347240573805</c:v>
                </c:pt>
                <c:pt idx="10">
                  <c:v>1.0070810281262761</c:v>
                </c:pt>
                <c:pt idx="11">
                  <c:v>0.98297833083443709</c:v>
                </c:pt>
                <c:pt idx="12">
                  <c:v>1.0357005373811987</c:v>
                </c:pt>
                <c:pt idx="13">
                  <c:v>1.0215969545162689</c:v>
                </c:pt>
              </c:numCache>
            </c:numRef>
          </c:yVal>
          <c:smooth val="0"/>
          <c:extLst>
            <c:ext xmlns:c16="http://schemas.microsoft.com/office/drawing/2014/chart" uri="{C3380CC4-5D6E-409C-BE32-E72D297353CC}">
              <c16:uniqueId val="{00000003-DF27-44A0-941E-1A51F1560D3A}"/>
            </c:ext>
          </c:extLst>
        </c:ser>
        <c:ser>
          <c:idx val="59"/>
          <c:order val="59"/>
          <c:tx>
            <c:strRef>
              <c:f>PlantData!$C$63</c:f>
              <c:strCache>
                <c:ptCount val="1"/>
                <c:pt idx="0">
                  <c:v>Linden</c:v>
                </c:pt>
              </c:strCache>
            </c:strRef>
          </c:tx>
          <c:spPr>
            <a:ln w="12700" cap="rnd">
              <a:solidFill>
                <a:schemeClr val="accent6"/>
              </a:solidFill>
              <a:prstDash val="sysDot"/>
              <a:round/>
            </a:ln>
            <a:effectLst/>
          </c:spPr>
          <c:marker>
            <c:symbol val="circle"/>
            <c:size val="5"/>
            <c:spPr>
              <a:solidFill>
                <a:schemeClr val="accent6"/>
              </a:solidFill>
              <a:ln w="9525">
                <a:solidFill>
                  <a:schemeClr val="accent6"/>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PlantData!$BB$63:$BO$63</c:f>
              <c:numCache>
                <c:formatCode>0.00</c:formatCode>
                <c:ptCount val="14"/>
                <c:pt idx="0">
                  <c:v>0.91711438098675624</c:v>
                </c:pt>
                <c:pt idx="1">
                  <c:v>0.9312893996611048</c:v>
                </c:pt>
                <c:pt idx="2">
                  <c:v>0.66123559205057103</c:v>
                </c:pt>
                <c:pt idx="3">
                  <c:v>0.9179650523764481</c:v>
                </c:pt>
                <c:pt idx="4">
                  <c:v>0.9468563089839056</c:v>
                </c:pt>
                <c:pt idx="5">
                  <c:v>1.0145673322394226</c:v>
                </c:pt>
                <c:pt idx="6">
                  <c:v>0.94438010070893585</c:v>
                </c:pt>
                <c:pt idx="7">
                  <c:v>0.9545478965969052</c:v>
                </c:pt>
                <c:pt idx="8">
                  <c:v>0.94051937025132093</c:v>
                </c:pt>
                <c:pt idx="9">
                  <c:v>1.0039967073247664</c:v>
                </c:pt>
                <c:pt idx="10">
                  <c:v>0.71856394380449962</c:v>
                </c:pt>
                <c:pt idx="11">
                  <c:v>0.93616185481171599</c:v>
                </c:pt>
                <c:pt idx="12">
                  <c:v>0.95350204641380532</c:v>
                </c:pt>
                <c:pt idx="13">
                  <c:v>1.0459190804624898</c:v>
                </c:pt>
              </c:numCache>
            </c:numRef>
          </c:yVal>
          <c:smooth val="0"/>
          <c:extLst>
            <c:ext xmlns:c16="http://schemas.microsoft.com/office/drawing/2014/chart" uri="{C3380CC4-5D6E-409C-BE32-E72D297353CC}">
              <c16:uniqueId val="{00000004-DF27-44A0-941E-1A51F1560D3A}"/>
            </c:ext>
          </c:extLst>
        </c:ser>
        <c:ser>
          <c:idx val="60"/>
          <c:order val="60"/>
          <c:tx>
            <c:strRef>
              <c:f>PlantData!$C$64</c:f>
              <c:strCache>
                <c:ptCount val="1"/>
                <c:pt idx="0">
                  <c:v>LA Harbor College</c:v>
                </c:pt>
              </c:strCache>
            </c:strRef>
          </c:tx>
          <c:spPr>
            <a:ln w="12700" cap="rnd">
              <a:solidFill>
                <a:schemeClr val="accent1">
                  <a:lumMod val="60000"/>
                </a:schemeClr>
              </a:solid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PlantData!$BB$64:$BN$64</c:f>
              <c:numCache>
                <c:formatCode>0.00</c:formatCode>
                <c:ptCount val="13"/>
                <c:pt idx="0">
                  <c:v>0.90903025708827612</c:v>
                </c:pt>
                <c:pt idx="1">
                  <c:v>0.89784187057103915</c:v>
                </c:pt>
                <c:pt idx="2">
                  <c:v>0.84529103346929413</c:v>
                </c:pt>
                <c:pt idx="3">
                  <c:v>0.86929544168865125</c:v>
                </c:pt>
                <c:pt idx="4">
                  <c:v>0.70461202905769504</c:v>
                </c:pt>
                <c:pt idx="5">
                  <c:v>0.76136818881943491</c:v>
                </c:pt>
                <c:pt idx="6">
                  <c:v>0.77828630577770586</c:v>
                </c:pt>
                <c:pt idx="7">
                  <c:v>0</c:v>
                </c:pt>
                <c:pt idx="8">
                  <c:v>0.76221208572396026</c:v>
                </c:pt>
                <c:pt idx="9">
                  <c:v>0.90601680334472989</c:v>
                </c:pt>
                <c:pt idx="10">
                  <c:v>0.88214987471127204</c:v>
                </c:pt>
                <c:pt idx="11">
                  <c:v>0.64522890450084303</c:v>
                </c:pt>
                <c:pt idx="12">
                  <c:v>0.71765301107223034</c:v>
                </c:pt>
              </c:numCache>
            </c:numRef>
          </c:yVal>
          <c:smooth val="0"/>
          <c:extLst>
            <c:ext xmlns:c16="http://schemas.microsoft.com/office/drawing/2014/chart" uri="{C3380CC4-5D6E-409C-BE32-E72D297353CC}">
              <c16:uniqueId val="{00000005-DF27-44A0-941E-1A51F1560D3A}"/>
            </c:ext>
          </c:extLst>
        </c:ser>
        <c:ser>
          <c:idx val="61"/>
          <c:order val="61"/>
          <c:tx>
            <c:strRef>
              <c:f>PlantData!$C$65</c:f>
              <c:strCache>
                <c:ptCount val="1"/>
                <c:pt idx="0">
                  <c:v>Metro Support Services</c:v>
                </c:pt>
              </c:strCache>
            </c:strRef>
          </c:tx>
          <c:spPr>
            <a:ln w="12700" cap="rnd">
              <a:solidFill>
                <a:schemeClr val="accent2">
                  <a:lumMod val="60000"/>
                </a:schemeClr>
              </a:solid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PlantData!$BB$65:$BO$65</c:f>
              <c:numCache>
                <c:formatCode>0.00</c:formatCode>
                <c:ptCount val="14"/>
                <c:pt idx="0">
                  <c:v>0.8337620225698732</c:v>
                </c:pt>
                <c:pt idx="1">
                  <c:v>0.75763145436081247</c:v>
                </c:pt>
                <c:pt idx="2">
                  <c:v>0.75857609629204403</c:v>
                </c:pt>
                <c:pt idx="3">
                  <c:v>0.95917045796441625</c:v>
                </c:pt>
                <c:pt idx="4">
                  <c:v>0.94722033089606028</c:v>
                </c:pt>
                <c:pt idx="5">
                  <c:v>0.91594679225933762</c:v>
                </c:pt>
                <c:pt idx="6">
                  <c:v>0.85805030088830381</c:v>
                </c:pt>
                <c:pt idx="7">
                  <c:v>0.8741029162303583</c:v>
                </c:pt>
                <c:pt idx="8">
                  <c:v>0.64249931711941866</c:v>
                </c:pt>
                <c:pt idx="9">
                  <c:v>0.66707433564456442</c:v>
                </c:pt>
                <c:pt idx="10">
                  <c:v>5.9593463820843261E-4</c:v>
                </c:pt>
                <c:pt idx="11">
                  <c:v>0.70254405087285587</c:v>
                </c:pt>
                <c:pt idx="12">
                  <c:v>0.2883287711945044</c:v>
                </c:pt>
                <c:pt idx="13">
                  <c:v>6.1101343650706449E-2</c:v>
                </c:pt>
              </c:numCache>
            </c:numRef>
          </c:yVal>
          <c:smooth val="0"/>
          <c:extLst>
            <c:ext xmlns:c16="http://schemas.microsoft.com/office/drawing/2014/chart" uri="{C3380CC4-5D6E-409C-BE32-E72D297353CC}">
              <c16:uniqueId val="{00000006-DF27-44A0-941E-1A51F1560D3A}"/>
            </c:ext>
          </c:extLst>
        </c:ser>
        <c:ser>
          <c:idx val="62"/>
          <c:order val="62"/>
          <c:tx>
            <c:strRef>
              <c:f>PlantData!$C$66</c:f>
              <c:strCache>
                <c:ptCount val="1"/>
                <c:pt idx="0">
                  <c:v>NEDC Solar Site</c:v>
                </c:pt>
              </c:strCache>
            </c:strRef>
          </c:tx>
          <c:spPr>
            <a:ln w="12700" cap="rnd">
              <a:solidFill>
                <a:schemeClr val="accent3">
                  <a:lumMod val="60000"/>
                </a:schemeClr>
              </a:solid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PlantData!$BB$66:$BO$66</c:f>
              <c:numCache>
                <c:formatCode>0.00</c:formatCode>
                <c:ptCount val="14"/>
                <c:pt idx="0">
                  <c:v>0.82752964866121748</c:v>
                </c:pt>
                <c:pt idx="1">
                  <c:v>0.86964210904614658</c:v>
                </c:pt>
                <c:pt idx="2">
                  <c:v>0.8209412221979776</c:v>
                </c:pt>
                <c:pt idx="3">
                  <c:v>0.86423638132003733</c:v>
                </c:pt>
                <c:pt idx="4">
                  <c:v>0.86355374669001572</c:v>
                </c:pt>
                <c:pt idx="5">
                  <c:v>0.92850263207315653</c:v>
                </c:pt>
                <c:pt idx="6">
                  <c:v>0.83164515900254943</c:v>
                </c:pt>
                <c:pt idx="7">
                  <c:v>0.84517734966647495</c:v>
                </c:pt>
                <c:pt idx="8">
                  <c:v>0.87420647372557336</c:v>
                </c:pt>
                <c:pt idx="9">
                  <c:v>0.9395775379888468</c:v>
                </c:pt>
                <c:pt idx="10">
                  <c:v>0.86229866007446543</c:v>
                </c:pt>
                <c:pt idx="11">
                  <c:v>0.95858674693013057</c:v>
                </c:pt>
                <c:pt idx="12">
                  <c:v>0.7654918609378607</c:v>
                </c:pt>
                <c:pt idx="13">
                  <c:v>0.85783877457694591</c:v>
                </c:pt>
              </c:numCache>
            </c:numRef>
          </c:yVal>
          <c:smooth val="0"/>
          <c:extLst>
            <c:ext xmlns:c16="http://schemas.microsoft.com/office/drawing/2014/chart" uri="{C3380CC4-5D6E-409C-BE32-E72D297353CC}">
              <c16:uniqueId val="{00000007-DF27-44A0-941E-1A51F1560D3A}"/>
            </c:ext>
          </c:extLst>
        </c:ser>
        <c:ser>
          <c:idx val="63"/>
          <c:order val="63"/>
          <c:tx>
            <c:strRef>
              <c:f>PlantData!$C$67</c:f>
              <c:strCache>
                <c:ptCount val="1"/>
                <c:pt idx="0">
                  <c:v>Pacific Cruise</c:v>
                </c:pt>
              </c:strCache>
            </c:strRef>
          </c:tx>
          <c:spPr>
            <a:ln w="12700" cap="rnd">
              <a:solidFill>
                <a:schemeClr val="accent4">
                  <a:lumMod val="60000"/>
                </a:schemeClr>
              </a:solid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PlantData!$BB$67:$BO$67</c:f>
              <c:numCache>
                <c:formatCode>0.00</c:formatCode>
                <c:ptCount val="14"/>
                <c:pt idx="0">
                  <c:v>1.0152033693961295</c:v>
                </c:pt>
                <c:pt idx="1">
                  <c:v>0.87301843787254074</c:v>
                </c:pt>
                <c:pt idx="2">
                  <c:v>1.0153105779694638</c:v>
                </c:pt>
                <c:pt idx="3">
                  <c:v>1.010240303319387</c:v>
                </c:pt>
                <c:pt idx="4">
                  <c:v>0</c:v>
                </c:pt>
                <c:pt idx="5">
                  <c:v>0</c:v>
                </c:pt>
                <c:pt idx="6">
                  <c:v>0.19749357783093555</c:v>
                </c:pt>
                <c:pt idx="7">
                  <c:v>1.6864824198128962E-2</c:v>
                </c:pt>
                <c:pt idx="8">
                  <c:v>0</c:v>
                </c:pt>
                <c:pt idx="9">
                  <c:v>0.26731447235546174</c:v>
                </c:pt>
                <c:pt idx="10">
                  <c:v>0.3601857729294452</c:v>
                </c:pt>
                <c:pt idx="11">
                  <c:v>0</c:v>
                </c:pt>
                <c:pt idx="12">
                  <c:v>0</c:v>
                </c:pt>
                <c:pt idx="13">
                  <c:v>0</c:v>
                </c:pt>
              </c:numCache>
            </c:numRef>
          </c:yVal>
          <c:smooth val="0"/>
          <c:extLst>
            <c:ext xmlns:c16="http://schemas.microsoft.com/office/drawing/2014/chart" uri="{C3380CC4-5D6E-409C-BE32-E72D297353CC}">
              <c16:uniqueId val="{00000008-DF27-44A0-941E-1A51F1560D3A}"/>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64"/>
        <c:delete val="1"/>
      </c:legendEntry>
      <c:legendEntry>
        <c:idx val="65"/>
        <c:delete val="1"/>
      </c:legendEntry>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p50</c:v>
                </c:pt>
              </c:strCache>
            </c:strRef>
          </c:tx>
          <c:spPr>
            <a:ln w="63500" cap="rnd">
              <a:solidFill>
                <a:srgbClr val="FF0000"/>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0.22740330853138771"/>
                  <c:y val="1.0805020193314935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1"/>
          <c:extLst>
            <c:ext xmlns:c16="http://schemas.microsoft.com/office/drawing/2014/chart" uri="{C3380CC4-5D6E-409C-BE32-E72D297353CC}">
              <c16:uniqueId val="{00000001-9048-4DA8-9BD1-4D6F28CC8976}"/>
            </c:ext>
          </c:extLst>
        </c:ser>
        <c:ser>
          <c:idx val="28"/>
          <c:order val="1"/>
          <c:tx>
            <c:strRef>
              <c:f>PlantData!$BA$2</c:f>
              <c:strCache>
                <c:ptCount val="1"/>
                <c:pt idx="0">
                  <c:v>p90</c:v>
                </c:pt>
              </c:strCache>
            </c:strRef>
          </c:tx>
          <c:spPr>
            <a:ln w="25400" cap="rnd">
              <a:solidFill>
                <a:srgbClr val="FF0000"/>
              </a:solidFill>
              <a:prstDash val="sysDash"/>
              <a:round/>
            </a:ln>
            <a:effectLst/>
          </c:spPr>
          <c:marker>
            <c:symbol val="none"/>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0.75089982994610061</c:v>
                </c:pt>
                <c:pt idx="1">
                  <c:v>0.69731657041896011</c:v>
                </c:pt>
                <c:pt idx="2">
                  <c:v>0.67702937701064758</c:v>
                </c:pt>
                <c:pt idx="3">
                  <c:v>0.69665630738710349</c:v>
                </c:pt>
                <c:pt idx="4">
                  <c:v>0.6757682994044617</c:v>
                </c:pt>
                <c:pt idx="5">
                  <c:v>0.67349319544597153</c:v>
                </c:pt>
                <c:pt idx="6">
                  <c:v>0.6987243105368437</c:v>
                </c:pt>
                <c:pt idx="7">
                  <c:v>0.57219693528298488</c:v>
                </c:pt>
                <c:pt idx="8">
                  <c:v>0.49377774688560766</c:v>
                </c:pt>
                <c:pt idx="9">
                  <c:v>0.50667682262689961</c:v>
                </c:pt>
                <c:pt idx="10">
                  <c:v>0.54405795730211437</c:v>
                </c:pt>
                <c:pt idx="11">
                  <c:v>0.48452895719234063</c:v>
                </c:pt>
                <c:pt idx="12">
                  <c:v>0.43411526807861434</c:v>
                </c:pt>
                <c:pt idx="13">
                  <c:v>0.22955766805195427</c:v>
                </c:pt>
                <c:pt idx="14">
                  <c:v>0.24583535712504645</c:v>
                </c:pt>
                <c:pt idx="15">
                  <c:v>0.29769870360831013</c:v>
                </c:pt>
              </c:numCache>
            </c:numRef>
          </c:yVal>
          <c:smooth val="1"/>
          <c:extLst>
            <c:ext xmlns:c16="http://schemas.microsoft.com/office/drawing/2014/chart" uri="{C3380CC4-5D6E-409C-BE32-E72D297353CC}">
              <c16:uniqueId val="{00000002-9048-4DA8-9BD1-4D6F28CC8976}"/>
            </c:ext>
          </c:extLst>
        </c:ser>
        <c:ser>
          <c:idx val="50"/>
          <c:order val="2"/>
          <c:tx>
            <c:strRef>
              <c:f>PlantData!$BA$113</c:f>
              <c:strCache>
                <c:ptCount val="1"/>
                <c:pt idx="0">
                  <c:v>p90 (obs.rank)</c:v>
                </c:pt>
              </c:strCache>
            </c:strRef>
          </c:tx>
          <c:spPr>
            <a:ln w="28575" cap="rnd">
              <a:solidFill>
                <a:srgbClr val="FF0000"/>
              </a:solidFill>
              <a:round/>
            </a:ln>
            <a:effectLst/>
          </c:spPr>
          <c:marker>
            <c:symbol val="none"/>
          </c:marker>
          <c:trendline>
            <c:spPr>
              <a:ln w="50800" cap="rnd">
                <a:solidFill>
                  <a:srgbClr val="FF0000"/>
                </a:solidFill>
                <a:prstDash val="sysDot"/>
              </a:ln>
              <a:effectLst/>
            </c:spPr>
            <c:trendlineType val="linear"/>
            <c:dispRSqr val="1"/>
            <c:dispEq val="1"/>
            <c:trendlineLbl>
              <c:layout>
                <c:manualLayout>
                  <c:x val="0.23591706999927761"/>
                  <c:y val="8.4106825080834946E-3"/>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0.73858934353616212</c:v>
                </c:pt>
                <c:pt idx="1">
                  <c:v>0.70760804400333988</c:v>
                </c:pt>
                <c:pt idx="2">
                  <c:v>0.7492170473836266</c:v>
                </c:pt>
                <c:pt idx="3">
                  <c:v>0.77178042150548021</c:v>
                </c:pt>
                <c:pt idx="4">
                  <c:v>0.70461202905769504</c:v>
                </c:pt>
                <c:pt idx="5">
                  <c:v>0.76136818881943491</c:v>
                </c:pt>
                <c:pt idx="6">
                  <c:v>0.71399938901986071</c:v>
                </c:pt>
                <c:pt idx="7">
                  <c:v>0.63156024539441125</c:v>
                </c:pt>
                <c:pt idx="8">
                  <c:v>0.56151689265538174</c:v>
                </c:pt>
                <c:pt idx="9">
                  <c:v>0.48225330819182721</c:v>
                </c:pt>
                <c:pt idx="10">
                  <c:v>0.53513038371745969</c:v>
                </c:pt>
                <c:pt idx="11">
                  <c:v>0.52123361702307602</c:v>
                </c:pt>
                <c:pt idx="12">
                  <c:v>0.48074780230929676</c:v>
                </c:pt>
                <c:pt idx="13">
                  <c:v>0.13727188425640097</c:v>
                </c:pt>
                <c:pt idx="14">
                  <c:v>0.28768143828453463</c:v>
                </c:pt>
                <c:pt idx="15">
                  <c:v>0.40219352703657463</c:v>
                </c:pt>
              </c:numCache>
            </c:numRef>
          </c:yVal>
          <c:smooth val="1"/>
          <c:extLst>
            <c:ext xmlns:c16="http://schemas.microsoft.com/office/drawing/2014/chart" uri="{C3380CC4-5D6E-409C-BE32-E72D297353CC}">
              <c16:uniqueId val="{00000004-9048-4DA8-9BD1-4D6F28CC8976}"/>
            </c:ext>
          </c:extLst>
        </c:ser>
        <c:ser>
          <c:idx val="0"/>
          <c:order val="3"/>
          <c:tx>
            <c:strRef>
              <c:f>PlantData!$C$7</c:f>
              <c:strCache>
                <c:ptCount val="1"/>
                <c:pt idx="0">
                  <c:v>Agua Fria PV-3</c:v>
                </c:pt>
              </c:strCache>
            </c:strRef>
          </c:tx>
          <c:spPr>
            <a:ln w="12700" cap="rnd">
              <a:noFill/>
              <a:prstDash val="sysDot"/>
              <a:round/>
            </a:ln>
            <a:effectLst/>
          </c:spPr>
          <c:marker>
            <c:symbol val="circle"/>
            <c:size val="5"/>
            <c:spPr>
              <a:solidFill>
                <a:schemeClr val="accent1"/>
              </a:solidFill>
              <a:ln w="9525">
                <a:solidFill>
                  <a:schemeClr val="accent1"/>
                </a:solidFill>
              </a:ln>
              <a:effectLst/>
            </c:spPr>
          </c:marker>
          <c:xVal>
            <c:numRef>
              <c:f>PlantData!$BB$6:$BX$6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PlantData!$BB$7:$BX$7</c:f>
              <c:numCache>
                <c:formatCode>0.00</c:formatCode>
                <c:ptCount val="23"/>
                <c:pt idx="0">
                  <c:v>0.72908004236912194</c:v>
                </c:pt>
                <c:pt idx="1">
                  <c:v>0.55094910650373186</c:v>
                </c:pt>
                <c:pt idx="2">
                  <c:v>0.20694499711322348</c:v>
                </c:pt>
                <c:pt idx="3">
                  <c:v>0.53401533955605685</c:v>
                </c:pt>
                <c:pt idx="4">
                  <c:v>0.74949521341200953</c:v>
                </c:pt>
                <c:pt idx="5">
                  <c:v>0.82707357960922245</c:v>
                </c:pt>
                <c:pt idx="6">
                  <c:v>0.38232763244472634</c:v>
                </c:pt>
                <c:pt idx="7">
                  <c:v>0.8373184480151511</c:v>
                </c:pt>
                <c:pt idx="8">
                  <c:v>0.85881771015527997</c:v>
                </c:pt>
                <c:pt idx="9">
                  <c:v>0.84382390551832398</c:v>
                </c:pt>
                <c:pt idx="10">
                  <c:v>0.76655690967362655</c:v>
                </c:pt>
                <c:pt idx="11">
                  <c:v>0.49735261616124876</c:v>
                </c:pt>
                <c:pt idx="12">
                  <c:v>0</c:v>
                </c:pt>
                <c:pt idx="13">
                  <c:v>0.30141821640539301</c:v>
                </c:pt>
                <c:pt idx="14">
                  <c:v>0.42964990284737592</c:v>
                </c:pt>
                <c:pt idx="15">
                  <c:v>0.55916273857820276</c:v>
                </c:pt>
                <c:pt idx="16">
                  <c:v>0.27198673955770158</c:v>
                </c:pt>
                <c:pt idx="17">
                  <c:v>0</c:v>
                </c:pt>
                <c:pt idx="18">
                  <c:v>0</c:v>
                </c:pt>
                <c:pt idx="19">
                  <c:v>0</c:v>
                </c:pt>
                <c:pt idx="20">
                  <c:v>0</c:v>
                </c:pt>
                <c:pt idx="21">
                  <c:v>4.3063836069786303E-2</c:v>
                </c:pt>
                <c:pt idx="22">
                  <c:v>0.16281613062996497</c:v>
                </c:pt>
              </c:numCache>
            </c:numRef>
          </c:yVal>
          <c:smooth val="0"/>
          <c:extLst>
            <c:ext xmlns:c16="http://schemas.microsoft.com/office/drawing/2014/chart" uri="{C3380CC4-5D6E-409C-BE32-E72D297353CC}">
              <c16:uniqueId val="{00000005-9048-4DA8-9BD1-4D6F28CC8976}"/>
            </c:ext>
          </c:extLst>
        </c:ser>
        <c:ser>
          <c:idx val="1"/>
          <c:order val="4"/>
          <c:tx>
            <c:strRef>
              <c:f>PlantData!$C$8</c:f>
              <c:strCache>
                <c:ptCount val="1"/>
                <c:pt idx="0">
                  <c:v>Nellis Sunpower</c:v>
                </c:pt>
              </c:strCache>
            </c:strRef>
          </c:tx>
          <c:spPr>
            <a:ln w="12700" cap="rnd">
              <a:noFill/>
              <a:prstDash val="sysDot"/>
              <a:round/>
            </a:ln>
            <a:effectLst/>
          </c:spPr>
          <c:marker>
            <c:symbol val="circle"/>
            <c:size val="5"/>
            <c:spPr>
              <a:solidFill>
                <a:schemeClr val="accent2"/>
              </a:solidFill>
              <a:ln w="9525">
                <a:solidFill>
                  <a:schemeClr val="accent2"/>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PlantData!$BB$8:$BR$8</c:f>
              <c:numCache>
                <c:formatCode>0.00</c:formatCode>
                <c:ptCount val="17"/>
                <c:pt idx="0">
                  <c:v>1.015625</c:v>
                </c:pt>
                <c:pt idx="1">
                  <c:v>1.0050251256281406</c:v>
                </c:pt>
                <c:pt idx="2">
                  <c:v>0.98801166637206117</c:v>
                </c:pt>
                <c:pt idx="3">
                  <c:v>1.019116694048257</c:v>
                </c:pt>
                <c:pt idx="4">
                  <c:v>1.0253219017702644</c:v>
                </c:pt>
                <c:pt idx="5">
                  <c:v>1.0176249872897576</c:v>
                </c:pt>
                <c:pt idx="6">
                  <c:v>1.004833185811133</c:v>
                </c:pt>
                <c:pt idx="7">
                  <c:v>0.98483134787652638</c:v>
                </c:pt>
                <c:pt idx="8">
                  <c:v>0.64162664039483874</c:v>
                </c:pt>
                <c:pt idx="9">
                  <c:v>0.92234110504153655</c:v>
                </c:pt>
                <c:pt idx="10">
                  <c:v>0.88416417096533406</c:v>
                </c:pt>
                <c:pt idx="11">
                  <c:v>0.87420985500285731</c:v>
                </c:pt>
                <c:pt idx="12">
                  <c:v>0.82832397885082709</c:v>
                </c:pt>
                <c:pt idx="13">
                  <c:v>0.63973273613384696</c:v>
                </c:pt>
                <c:pt idx="14">
                  <c:v>0.66959727753855791</c:v>
                </c:pt>
                <c:pt idx="15">
                  <c:v>0.731852587592284</c:v>
                </c:pt>
                <c:pt idx="16">
                  <c:v>0.80463750837893555</c:v>
                </c:pt>
              </c:numCache>
            </c:numRef>
          </c:yVal>
          <c:smooth val="0"/>
          <c:extLst>
            <c:ext xmlns:c16="http://schemas.microsoft.com/office/drawing/2014/chart" uri="{C3380CC4-5D6E-409C-BE32-E72D297353CC}">
              <c16:uniqueId val="{00000006-9048-4DA8-9BD1-4D6F28CC8976}"/>
            </c:ext>
          </c:extLst>
        </c:ser>
        <c:ser>
          <c:idx val="2"/>
          <c:order val="5"/>
          <c:tx>
            <c:strRef>
              <c:f>PlantData!$C$9</c:f>
              <c:strCache>
                <c:ptCount val="1"/>
                <c:pt idx="0">
                  <c:v>SunE Alamosa1</c:v>
                </c:pt>
              </c:strCache>
            </c:strRef>
          </c:tx>
          <c:spPr>
            <a:ln w="12700" cap="rnd">
              <a:noFill/>
              <a:prstDash val="sysDot"/>
              <a:round/>
            </a:ln>
            <a:effectLst/>
          </c:spPr>
          <c:marker>
            <c:symbol val="circle"/>
            <c:size val="5"/>
            <c:spPr>
              <a:solidFill>
                <a:schemeClr val="accent3"/>
              </a:solidFill>
              <a:ln w="9525">
                <a:solidFill>
                  <a:schemeClr val="accent3"/>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PlantData!$BB$9:$BR$9</c:f>
              <c:numCache>
                <c:formatCode>0.00</c:formatCode>
                <c:ptCount val="17"/>
                <c:pt idx="0">
                  <c:v>0.86156351293016908</c:v>
                </c:pt>
                <c:pt idx="1">
                  <c:v>0.86213917790401451</c:v>
                </c:pt>
                <c:pt idx="2">
                  <c:v>0.87406650235041639</c:v>
                </c:pt>
                <c:pt idx="3">
                  <c:v>0.88788795992287439</c:v>
                </c:pt>
                <c:pt idx="4">
                  <c:v>0.88111824615715939</c:v>
                </c:pt>
                <c:pt idx="5">
                  <c:v>0.85198462509892503</c:v>
                </c:pt>
                <c:pt idx="6">
                  <c:v>0.84076838687239086</c:v>
                </c:pt>
                <c:pt idx="7">
                  <c:v>0.13427458989843302</c:v>
                </c:pt>
                <c:pt idx="8">
                  <c:v>0.13484702472646379</c:v>
                </c:pt>
                <c:pt idx="9">
                  <c:v>1.1499999999999999</c:v>
                </c:pt>
                <c:pt idx="10">
                  <c:v>0.82358963403313246</c:v>
                </c:pt>
                <c:pt idx="11">
                  <c:v>0.80581339165191135</c:v>
                </c:pt>
                <c:pt idx="12">
                  <c:v>0.74415302251885529</c:v>
                </c:pt>
                <c:pt idx="13">
                  <c:v>0.64628863143426585</c:v>
                </c:pt>
                <c:pt idx="14">
                  <c:v>0.7237630095906884</c:v>
                </c:pt>
                <c:pt idx="15">
                  <c:v>0.60172495516561963</c:v>
                </c:pt>
                <c:pt idx="16">
                  <c:v>0.71540008510015962</c:v>
                </c:pt>
              </c:numCache>
            </c:numRef>
          </c:yVal>
          <c:smooth val="0"/>
          <c:extLst>
            <c:ext xmlns:c16="http://schemas.microsoft.com/office/drawing/2014/chart" uri="{C3380CC4-5D6E-409C-BE32-E72D297353CC}">
              <c16:uniqueId val="{00000007-9048-4DA8-9BD1-4D6F28CC8976}"/>
            </c:ext>
          </c:extLst>
        </c:ser>
        <c:ser>
          <c:idx val="3"/>
          <c:order val="6"/>
          <c:tx>
            <c:strRef>
              <c:f>PlantData!$C$10</c:f>
              <c:strCache>
                <c:ptCount val="1"/>
                <c:pt idx="0">
                  <c:v>Atlantic Cty ConvCtr</c:v>
                </c:pt>
              </c:strCache>
            </c:strRef>
          </c:tx>
          <c:spPr>
            <a:ln w="12700" cap="rnd">
              <a:noFill/>
              <a:prstDash val="sysDot"/>
              <a:round/>
            </a:ln>
            <a:effectLst/>
          </c:spPr>
          <c:marker>
            <c:symbol val="circle"/>
            <c:size val="5"/>
            <c:spPr>
              <a:solidFill>
                <a:schemeClr val="accent4"/>
              </a:solidFill>
              <a:ln w="9525">
                <a:solidFill>
                  <a:schemeClr val="accent4"/>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PlantData!$BB$10:$BQ$10</c:f>
              <c:numCache>
                <c:formatCode>0.00</c:formatCode>
                <c:ptCount val="16"/>
                <c:pt idx="0">
                  <c:v>0.89389555950122512</c:v>
                </c:pt>
                <c:pt idx="1">
                  <c:v>0.9831287823903434</c:v>
                </c:pt>
                <c:pt idx="2">
                  <c:v>1.0014478711775401</c:v>
                </c:pt>
                <c:pt idx="3">
                  <c:v>1.0054964208564288</c:v>
                </c:pt>
                <c:pt idx="4">
                  <c:v>0.93935587901701012</c:v>
                </c:pt>
                <c:pt idx="5">
                  <c:v>0.98680813315407667</c:v>
                </c:pt>
                <c:pt idx="6">
                  <c:v>0.99276572626997239</c:v>
                </c:pt>
                <c:pt idx="7">
                  <c:v>1.0245218897433699</c:v>
                </c:pt>
                <c:pt idx="8">
                  <c:v>1.0054585305143209</c:v>
                </c:pt>
                <c:pt idx="9">
                  <c:v>0.97975640071965719</c:v>
                </c:pt>
                <c:pt idx="10">
                  <c:v>1.0587260902800208</c:v>
                </c:pt>
                <c:pt idx="11">
                  <c:v>1.0425400920918948</c:v>
                </c:pt>
                <c:pt idx="12">
                  <c:v>1.0244492649845158</c:v>
                </c:pt>
                <c:pt idx="13">
                  <c:v>1.0668365356124532</c:v>
                </c:pt>
                <c:pt idx="14">
                  <c:v>0.97620569584193784</c:v>
                </c:pt>
                <c:pt idx="15">
                  <c:v>0.72268578207759449</c:v>
                </c:pt>
              </c:numCache>
            </c:numRef>
          </c:yVal>
          <c:smooth val="0"/>
          <c:extLst>
            <c:ext xmlns:c16="http://schemas.microsoft.com/office/drawing/2014/chart" uri="{C3380CC4-5D6E-409C-BE32-E72D297353CC}">
              <c16:uniqueId val="{00000008-9048-4DA8-9BD1-4D6F28CC8976}"/>
            </c:ext>
          </c:extLst>
        </c:ser>
        <c:ser>
          <c:idx val="4"/>
          <c:order val="7"/>
          <c:tx>
            <c:strRef>
              <c:f>PlantData!$C$11</c:f>
              <c:strCache>
                <c:ptCount val="1"/>
                <c:pt idx="0">
                  <c:v>MMA Bolthouse</c:v>
                </c:pt>
              </c:strCache>
            </c:strRef>
          </c:tx>
          <c:spPr>
            <a:ln w="12700" cap="rnd">
              <a:noFill/>
              <a:prstDash val="sysDot"/>
              <a:round/>
            </a:ln>
            <a:effectLst/>
          </c:spPr>
          <c:marker>
            <c:symbol val="circle"/>
            <c:size val="5"/>
            <c:spPr>
              <a:solidFill>
                <a:schemeClr val="accent5"/>
              </a:solidFill>
              <a:ln w="9525">
                <a:solidFill>
                  <a:schemeClr val="accent5"/>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PlantData!$BB$11:$BQ$11</c:f>
              <c:numCache>
                <c:formatCode>0.00</c:formatCode>
                <c:ptCount val="16"/>
                <c:pt idx="0">
                  <c:v>0.58633487313494093</c:v>
                </c:pt>
                <c:pt idx="1">
                  <c:v>0.60348141867953564</c:v>
                </c:pt>
                <c:pt idx="2">
                  <c:v>1.0078391651739538</c:v>
                </c:pt>
                <c:pt idx="3">
                  <c:v>0.996979347895674</c:v>
                </c:pt>
                <c:pt idx="4">
                  <c:v>0.95983517137119456</c:v>
                </c:pt>
                <c:pt idx="5">
                  <c:v>0.97322685862989111</c:v>
                </c:pt>
                <c:pt idx="6">
                  <c:v>0.54036862562873644</c:v>
                </c:pt>
                <c:pt idx="7">
                  <c:v>0.90826539409102469</c:v>
                </c:pt>
                <c:pt idx="8">
                  <c:v>0.7900880364441718</c:v>
                </c:pt>
                <c:pt idx="9">
                  <c:v>0.45797981858334735</c:v>
                </c:pt>
                <c:pt idx="10">
                  <c:v>0.81147140623031899</c:v>
                </c:pt>
                <c:pt idx="11">
                  <c:v>0.68162739650555237</c:v>
                </c:pt>
                <c:pt idx="12">
                  <c:v>0.38159824302896089</c:v>
                </c:pt>
                <c:pt idx="13">
                  <c:v>0.21232109791581905</c:v>
                </c:pt>
                <c:pt idx="14">
                  <c:v>2.3156461544796531E-2</c:v>
                </c:pt>
                <c:pt idx="15">
                  <c:v>1.6766444302170721E-2</c:v>
                </c:pt>
              </c:numCache>
            </c:numRef>
          </c:yVal>
          <c:smooth val="0"/>
          <c:extLst>
            <c:ext xmlns:c16="http://schemas.microsoft.com/office/drawing/2014/chart" uri="{C3380CC4-5D6E-409C-BE32-E72D297353CC}">
              <c16:uniqueId val="{00000009-9048-4DA8-9BD1-4D6F28CC8976}"/>
            </c:ext>
          </c:extLst>
        </c:ser>
        <c:ser>
          <c:idx val="5"/>
          <c:order val="8"/>
          <c:tx>
            <c:strRef>
              <c:f>PlantData!$C$12</c:f>
              <c:strCache>
                <c:ptCount val="1"/>
                <c:pt idx="0">
                  <c:v>Copper Mtn10 (FS)</c:v>
                </c:pt>
              </c:strCache>
            </c:strRef>
          </c:tx>
          <c:spPr>
            <a:ln w="12700" cap="rnd">
              <a:noFill/>
              <a:prstDash val="sysDot"/>
              <a:round/>
            </a:ln>
            <a:effectLst/>
          </c:spPr>
          <c:marker>
            <c:symbol val="circle"/>
            <c:size val="5"/>
            <c:spPr>
              <a:solidFill>
                <a:schemeClr val="accent6"/>
              </a:solidFill>
              <a:ln w="9525">
                <a:solidFill>
                  <a:schemeClr val="accent6"/>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PlantData!$BB$12:$BQ$12</c:f>
              <c:numCache>
                <c:formatCode>0.00</c:formatCode>
                <c:ptCount val="16"/>
                <c:pt idx="0">
                  <c:v>0.95044134804953506</c:v>
                </c:pt>
                <c:pt idx="1">
                  <c:v>0.93250671184533862</c:v>
                </c:pt>
                <c:pt idx="2">
                  <c:v>0.95492071220662389</c:v>
                </c:pt>
                <c:pt idx="3">
                  <c:v>0.94631192399525366</c:v>
                </c:pt>
                <c:pt idx="4">
                  <c:v>0.91212028376305121</c:v>
                </c:pt>
                <c:pt idx="5">
                  <c:v>0.8939380543496902</c:v>
                </c:pt>
                <c:pt idx="6">
                  <c:v>0.89915368835437881</c:v>
                </c:pt>
                <c:pt idx="7">
                  <c:v>0.86622544220841791</c:v>
                </c:pt>
                <c:pt idx="8">
                  <c:v>0.88245338591118561</c:v>
                </c:pt>
                <c:pt idx="9">
                  <c:v>0.89946518977214518</c:v>
                </c:pt>
                <c:pt idx="10">
                  <c:v>1.040863086118992</c:v>
                </c:pt>
                <c:pt idx="11">
                  <c:v>1.017857095492988</c:v>
                </c:pt>
                <c:pt idx="12">
                  <c:v>0.87073538724378385</c:v>
                </c:pt>
                <c:pt idx="13">
                  <c:v>0.88738104078646562</c:v>
                </c:pt>
                <c:pt idx="14">
                  <c:v>0.90374838962285176</c:v>
                </c:pt>
                <c:pt idx="15">
                  <c:v>0.85090972452679814</c:v>
                </c:pt>
              </c:numCache>
            </c:numRef>
          </c:yVal>
          <c:smooth val="0"/>
          <c:extLst>
            <c:ext xmlns:c16="http://schemas.microsoft.com/office/drawing/2014/chart" uri="{C3380CC4-5D6E-409C-BE32-E72D297353CC}">
              <c16:uniqueId val="{0000000A-9048-4DA8-9BD1-4D6F28CC8976}"/>
            </c:ext>
          </c:extLst>
        </c:ser>
        <c:ser>
          <c:idx val="6"/>
          <c:order val="9"/>
          <c:tx>
            <c:strRef>
              <c:f>PlantData!$C$13</c:f>
              <c:strCache>
                <c:ptCount val="1"/>
                <c:pt idx="0">
                  <c:v>CSU Fresno MMA</c:v>
                </c:pt>
              </c:strCache>
            </c:strRef>
          </c:tx>
          <c:spPr>
            <a:ln w="12700" cap="rnd">
              <a:no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PlantData!$BB$13:$BR$13</c:f>
              <c:numCache>
                <c:formatCode>0.00</c:formatCode>
                <c:ptCount val="17"/>
                <c:pt idx="0">
                  <c:v>0.9321266968325792</c:v>
                </c:pt>
                <c:pt idx="1">
                  <c:v>1.0751884828148499</c:v>
                </c:pt>
                <c:pt idx="2">
                  <c:v>0.73323515839079167</c:v>
                </c:pt>
                <c:pt idx="3">
                  <c:v>0.64373845217303494</c:v>
                </c:pt>
                <c:pt idx="4">
                  <c:v>1.0261880570858803</c:v>
                </c:pt>
                <c:pt idx="5">
                  <c:v>1.0366473248519699</c:v>
                </c:pt>
                <c:pt idx="6">
                  <c:v>0.96791409927509175</c:v>
                </c:pt>
                <c:pt idx="7">
                  <c:v>0.98148143991622561</c:v>
                </c:pt>
                <c:pt idx="8">
                  <c:v>0.97228343674645135</c:v>
                </c:pt>
                <c:pt idx="9">
                  <c:v>0.98190297519142233</c:v>
                </c:pt>
                <c:pt idx="10">
                  <c:v>0.87945405394583143</c:v>
                </c:pt>
                <c:pt idx="11">
                  <c:v>1.0143369631073136</c:v>
                </c:pt>
                <c:pt idx="12">
                  <c:v>0.7887742893662274</c:v>
                </c:pt>
                <c:pt idx="13">
                  <c:v>0.73064362057356824</c:v>
                </c:pt>
                <c:pt idx="14">
                  <c:v>0.41049536955746851</c:v>
                </c:pt>
                <c:pt idx="15">
                  <c:v>0.76239633012337116</c:v>
                </c:pt>
                <c:pt idx="16">
                  <c:v>1.0071618813605576</c:v>
                </c:pt>
              </c:numCache>
            </c:numRef>
          </c:yVal>
          <c:smooth val="0"/>
          <c:extLst>
            <c:ext xmlns:c16="http://schemas.microsoft.com/office/drawing/2014/chart" uri="{C3380CC4-5D6E-409C-BE32-E72D297353CC}">
              <c16:uniqueId val="{0000000B-9048-4DA8-9BD1-4D6F28CC8976}"/>
            </c:ext>
          </c:extLst>
        </c:ser>
        <c:ser>
          <c:idx val="7"/>
          <c:order val="10"/>
          <c:tx>
            <c:strRef>
              <c:f>PlantData!$C$14</c:f>
              <c:strCache>
                <c:ptCount val="1"/>
                <c:pt idx="0">
                  <c:v>Deer Island</c:v>
                </c:pt>
              </c:strCache>
            </c:strRef>
          </c:tx>
          <c:spPr>
            <a:ln w="12700" cap="rnd">
              <a:no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PlantData!$BB$14:$BP$14</c:f>
              <c:numCache>
                <c:formatCode>0.00</c:formatCode>
                <c:ptCount val="15"/>
                <c:pt idx="0">
                  <c:v>0.69329211806078583</c:v>
                </c:pt>
                <c:pt idx="1">
                  <c:v>0.94808994162053417</c:v>
                </c:pt>
                <c:pt idx="2">
                  <c:v>0.95502225412350783</c:v>
                </c:pt>
                <c:pt idx="3">
                  <c:v>0</c:v>
                </c:pt>
                <c:pt idx="4">
                  <c:v>0.91427721624581937</c:v>
                </c:pt>
                <c:pt idx="5">
                  <c:v>0.95958803907724788</c:v>
                </c:pt>
                <c:pt idx="6">
                  <c:v>0.91353524535268849</c:v>
                </c:pt>
                <c:pt idx="7">
                  <c:v>0.88811449625463668</c:v>
                </c:pt>
                <c:pt idx="8">
                  <c:v>0.90263144631008152</c:v>
                </c:pt>
                <c:pt idx="9">
                  <c:v>1.1499999999999999</c:v>
                </c:pt>
                <c:pt idx="10">
                  <c:v>0.85756397690185082</c:v>
                </c:pt>
                <c:pt idx="11">
                  <c:v>0.90043083530821166</c:v>
                </c:pt>
                <c:pt idx="12">
                  <c:v>0.71575834408004357</c:v>
                </c:pt>
                <c:pt idx="13">
                  <c:v>0.71591870987105466</c:v>
                </c:pt>
                <c:pt idx="14">
                  <c:v>0.7149113870631959</c:v>
                </c:pt>
              </c:numCache>
            </c:numRef>
          </c:yVal>
          <c:smooth val="0"/>
          <c:extLst>
            <c:ext xmlns:c16="http://schemas.microsoft.com/office/drawing/2014/chart" uri="{C3380CC4-5D6E-409C-BE32-E72D297353CC}">
              <c16:uniqueId val="{0000000C-9048-4DA8-9BD1-4D6F28CC8976}"/>
            </c:ext>
          </c:extLst>
        </c:ser>
        <c:ser>
          <c:idx val="8"/>
          <c:order val="11"/>
          <c:tx>
            <c:strRef>
              <c:f>PlantData!$C$15</c:f>
              <c:strCache>
                <c:ptCount val="1"/>
                <c:pt idx="0">
                  <c:v>Denver airport MMA</c:v>
                </c:pt>
              </c:strCache>
            </c:strRef>
          </c:tx>
          <c:spPr>
            <a:ln w="12700" cap="rnd">
              <a:no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PlantData!$BB$15:$BQ$15</c:f>
              <c:numCache>
                <c:formatCode>0.00</c:formatCode>
                <c:ptCount val="16"/>
                <c:pt idx="0">
                  <c:v>0.90417327136101655</c:v>
                </c:pt>
                <c:pt idx="1">
                  <c:v>0.96287693858668033</c:v>
                </c:pt>
                <c:pt idx="2">
                  <c:v>0.92226178650119783</c:v>
                </c:pt>
                <c:pt idx="3">
                  <c:v>0.9779361901035919</c:v>
                </c:pt>
                <c:pt idx="4">
                  <c:v>0.41632275079613068</c:v>
                </c:pt>
                <c:pt idx="5">
                  <c:v>0.76533739588972993</c:v>
                </c:pt>
                <c:pt idx="6">
                  <c:v>0.86651205314185831</c:v>
                </c:pt>
                <c:pt idx="7">
                  <c:v>0.92207689598293952</c:v>
                </c:pt>
                <c:pt idx="8">
                  <c:v>0.81307637454167114</c:v>
                </c:pt>
                <c:pt idx="9">
                  <c:v>0.73782887229937133</c:v>
                </c:pt>
                <c:pt idx="10">
                  <c:v>0.61098640142432714</c:v>
                </c:pt>
                <c:pt idx="11">
                  <c:v>0.67041370372568543</c:v>
                </c:pt>
                <c:pt idx="12">
                  <c:v>0.43158667617891461</c:v>
                </c:pt>
                <c:pt idx="13">
                  <c:v>8.1532979971079944E-2</c:v>
                </c:pt>
                <c:pt idx="14">
                  <c:v>0.47526762194197353</c:v>
                </c:pt>
                <c:pt idx="15">
                  <c:v>0.46148447908040591</c:v>
                </c:pt>
              </c:numCache>
            </c:numRef>
          </c:yVal>
          <c:smooth val="0"/>
          <c:extLst>
            <c:ext xmlns:c16="http://schemas.microsoft.com/office/drawing/2014/chart" uri="{C3380CC4-5D6E-409C-BE32-E72D297353CC}">
              <c16:uniqueId val="{0000000D-9048-4DA8-9BD1-4D6F28CC8976}"/>
            </c:ext>
          </c:extLst>
        </c:ser>
        <c:ser>
          <c:idx val="9"/>
          <c:order val="12"/>
          <c:tx>
            <c:strRef>
              <c:f>PlantData!$C$16</c:f>
              <c:strCache>
                <c:ptCount val="1"/>
                <c:pt idx="0">
                  <c:v>Lanai Sunpower</c:v>
                </c:pt>
              </c:strCache>
            </c:strRef>
          </c:tx>
          <c:spPr>
            <a:ln w="12700" cap="rnd">
              <a:no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PlantData!$BB$16:$BQ$16</c:f>
              <c:numCache>
                <c:formatCode>0.00</c:formatCode>
                <c:ptCount val="16"/>
                <c:pt idx="0">
                  <c:v>0.47746905133110534</c:v>
                </c:pt>
                <c:pt idx="1">
                  <c:v>0.61105543606959722</c:v>
                </c:pt>
                <c:pt idx="2">
                  <c:v>0.63355604364368989</c:v>
                </c:pt>
                <c:pt idx="3">
                  <c:v>0.8194624285516694</c:v>
                </c:pt>
                <c:pt idx="4">
                  <c:v>0.61400542064472341</c:v>
                </c:pt>
                <c:pt idx="5">
                  <c:v>0.62237418730595118</c:v>
                </c:pt>
                <c:pt idx="6">
                  <c:v>0.71399938901986071</c:v>
                </c:pt>
                <c:pt idx="7">
                  <c:v>0.83427976135091597</c:v>
                </c:pt>
                <c:pt idx="8">
                  <c:v>0.73335024398355475</c:v>
                </c:pt>
                <c:pt idx="9">
                  <c:v>0.48225330819182721</c:v>
                </c:pt>
                <c:pt idx="10">
                  <c:v>0.52946052903056162</c:v>
                </c:pt>
                <c:pt idx="11">
                  <c:v>0.31542514737915917</c:v>
                </c:pt>
                <c:pt idx="12">
                  <c:v>0</c:v>
                </c:pt>
                <c:pt idx="13">
                  <c:v>5.3161641075107478E-2</c:v>
                </c:pt>
                <c:pt idx="14">
                  <c:v>0</c:v>
                </c:pt>
                <c:pt idx="15">
                  <c:v>0</c:v>
                </c:pt>
              </c:numCache>
            </c:numRef>
          </c:yVal>
          <c:smooth val="0"/>
          <c:extLst>
            <c:ext xmlns:c16="http://schemas.microsoft.com/office/drawing/2014/chart" uri="{C3380CC4-5D6E-409C-BE32-E72D297353CC}">
              <c16:uniqueId val="{0000000E-9048-4DA8-9BD1-4D6F28CC8976}"/>
            </c:ext>
          </c:extLst>
        </c:ser>
        <c:ser>
          <c:idx val="11"/>
          <c:order val="13"/>
          <c:tx>
            <c:strRef>
              <c:f>PlantData!$C$17</c:f>
              <c:strCache>
                <c:ptCount val="1"/>
                <c:pt idx="0">
                  <c:v>MF Mesa Ln</c:v>
                </c:pt>
              </c:strCache>
            </c:strRef>
          </c:tx>
          <c:spPr>
            <a:ln w="12700" cap="rnd">
              <a:noFill/>
              <a:prstDash val="sysDot"/>
              <a:round/>
            </a:ln>
            <a:effectLst/>
          </c:spPr>
          <c:marker>
            <c:symbol val="circle"/>
            <c:size val="5"/>
            <c:spPr>
              <a:solidFill>
                <a:schemeClr val="accent6">
                  <a:lumMod val="60000"/>
                </a:schemeClr>
              </a:solidFill>
              <a:ln w="9525">
                <a:solidFill>
                  <a:schemeClr val="accent6">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PlantData!$BB$17:$BQ$17</c:f>
              <c:numCache>
                <c:formatCode>0.00</c:formatCode>
                <c:ptCount val="16"/>
                <c:pt idx="0">
                  <c:v>0.85543238355545026</c:v>
                </c:pt>
                <c:pt idx="1">
                  <c:v>0.97823972488784183</c:v>
                </c:pt>
                <c:pt idx="2">
                  <c:v>0.93803659703434117</c:v>
                </c:pt>
                <c:pt idx="3">
                  <c:v>0.9729807711336762</c:v>
                </c:pt>
                <c:pt idx="4">
                  <c:v>0.95557340886878306</c:v>
                </c:pt>
                <c:pt idx="5">
                  <c:v>0.91087902059158066</c:v>
                </c:pt>
                <c:pt idx="6">
                  <c:v>0.95975656651849395</c:v>
                </c:pt>
                <c:pt idx="7">
                  <c:v>1.0001480206527387</c:v>
                </c:pt>
                <c:pt idx="8">
                  <c:v>0.89943189669025403</c:v>
                </c:pt>
                <c:pt idx="9">
                  <c:v>0.80973768314409422</c:v>
                </c:pt>
                <c:pt idx="10">
                  <c:v>0.94157159375666022</c:v>
                </c:pt>
                <c:pt idx="11">
                  <c:v>0.89504185210842113</c:v>
                </c:pt>
                <c:pt idx="12">
                  <c:v>0.90999634643955418</c:v>
                </c:pt>
                <c:pt idx="13">
                  <c:v>0.88637339330846454</c:v>
                </c:pt>
                <c:pt idx="14">
                  <c:v>0.79319200920646094</c:v>
                </c:pt>
                <c:pt idx="15">
                  <c:v>0.88080520018748498</c:v>
                </c:pt>
              </c:numCache>
            </c:numRef>
          </c:yVal>
          <c:smooth val="0"/>
          <c:extLst>
            <c:ext xmlns:c16="http://schemas.microsoft.com/office/drawing/2014/chart" uri="{C3380CC4-5D6E-409C-BE32-E72D297353CC}">
              <c16:uniqueId val="{0000000F-9048-4DA8-9BD1-4D6F28CC8976}"/>
            </c:ext>
          </c:extLst>
        </c:ser>
        <c:ser>
          <c:idx val="12"/>
          <c:order val="14"/>
          <c:tx>
            <c:strRef>
              <c:f>PlantData!$C$18</c:f>
              <c:strCache>
                <c:ptCount val="1"/>
                <c:pt idx="0">
                  <c:v>Pennsauken</c:v>
                </c:pt>
              </c:strCache>
            </c:strRef>
          </c:tx>
          <c:spPr>
            <a:ln w="12700" cap="rnd">
              <a:noFill/>
              <a:prstDash val="sysDot"/>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PlantData!$BB$18:$BQ$18</c:f>
              <c:numCache>
                <c:formatCode>0.00</c:formatCode>
                <c:ptCount val="16"/>
                <c:pt idx="0">
                  <c:v>0.82513281803273486</c:v>
                </c:pt>
                <c:pt idx="1">
                  <c:v>0.940888972993839</c:v>
                </c:pt>
                <c:pt idx="2">
                  <c:v>0.81214029657899522</c:v>
                </c:pt>
                <c:pt idx="3">
                  <c:v>0.77276517146102985</c:v>
                </c:pt>
                <c:pt idx="4">
                  <c:v>0.78804178878826248</c:v>
                </c:pt>
                <c:pt idx="5">
                  <c:v>0.80249820714527909</c:v>
                </c:pt>
                <c:pt idx="6">
                  <c:v>0.76785062592509135</c:v>
                </c:pt>
                <c:pt idx="7">
                  <c:v>0.7556452839450436</c:v>
                </c:pt>
                <c:pt idx="8">
                  <c:v>0.74523523884095677</c:v>
                </c:pt>
                <c:pt idx="9">
                  <c:v>0.76877554184014818</c:v>
                </c:pt>
                <c:pt idx="10">
                  <c:v>0.66566300514634902</c:v>
                </c:pt>
                <c:pt idx="11">
                  <c:v>0.75128194022313033</c:v>
                </c:pt>
                <c:pt idx="12">
                  <c:v>0.72079633999325121</c:v>
                </c:pt>
                <c:pt idx="13">
                  <c:v>0.6906475546038795</c:v>
                </c:pt>
                <c:pt idx="14">
                  <c:v>0.71741070054296618</c:v>
                </c:pt>
                <c:pt idx="15">
                  <c:v>0.61901679394422493</c:v>
                </c:pt>
              </c:numCache>
            </c:numRef>
          </c:yVal>
          <c:smooth val="0"/>
          <c:extLst>
            <c:ext xmlns:c16="http://schemas.microsoft.com/office/drawing/2014/chart" uri="{C3380CC4-5D6E-409C-BE32-E72D297353CC}">
              <c16:uniqueId val="{00000010-9048-4DA8-9BD1-4D6F28CC8976}"/>
            </c:ext>
          </c:extLst>
        </c:ser>
        <c:ser>
          <c:idx val="13"/>
          <c:order val="15"/>
          <c:tx>
            <c:strRef>
              <c:f>PlantData!$C$19</c:f>
              <c:strCache>
                <c:ptCount val="1"/>
                <c:pt idx="0">
                  <c:v>SAS Solar Farm</c:v>
                </c:pt>
              </c:strCache>
            </c:strRef>
          </c:tx>
          <c:spPr>
            <a:ln w="12700" cap="rnd">
              <a:noFill/>
              <a:prstDash val="sysDot"/>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PlantData!$BB$19:$BQ$19</c:f>
              <c:numCache>
                <c:formatCode>0.00</c:formatCode>
                <c:ptCount val="16"/>
                <c:pt idx="0">
                  <c:v>0.40511215853817695</c:v>
                </c:pt>
                <c:pt idx="1">
                  <c:v>0.64418786984987375</c:v>
                </c:pt>
                <c:pt idx="2">
                  <c:v>0.95159509506163176</c:v>
                </c:pt>
                <c:pt idx="3">
                  <c:v>0.93526667501118654</c:v>
                </c:pt>
                <c:pt idx="4">
                  <c:v>0.84167286704524291</c:v>
                </c:pt>
                <c:pt idx="5">
                  <c:v>0.9109510302879088</c:v>
                </c:pt>
                <c:pt idx="6">
                  <c:v>0.88162020426151599</c:v>
                </c:pt>
                <c:pt idx="7">
                  <c:v>0.89695569293247401</c:v>
                </c:pt>
                <c:pt idx="8">
                  <c:v>0.83542878763150508</c:v>
                </c:pt>
                <c:pt idx="9">
                  <c:v>0.69945962036618736</c:v>
                </c:pt>
                <c:pt idx="10">
                  <c:v>0.50841108005091851</c:v>
                </c:pt>
                <c:pt idx="11">
                  <c:v>0.54990724184923845</c:v>
                </c:pt>
                <c:pt idx="12">
                  <c:v>0.50878122538113635</c:v>
                </c:pt>
                <c:pt idx="13">
                  <c:v>0.54168104397527794</c:v>
                </c:pt>
                <c:pt idx="14">
                  <c:v>0.48990627999807496</c:v>
                </c:pt>
                <c:pt idx="15">
                  <c:v>0.48016533720866172</c:v>
                </c:pt>
              </c:numCache>
            </c:numRef>
          </c:yVal>
          <c:smooth val="0"/>
          <c:extLst>
            <c:ext xmlns:c16="http://schemas.microsoft.com/office/drawing/2014/chart" uri="{C3380CC4-5D6E-409C-BE32-E72D297353CC}">
              <c16:uniqueId val="{00000011-9048-4DA8-9BD1-4D6F28CC8976}"/>
            </c:ext>
          </c:extLst>
        </c:ser>
        <c:ser>
          <c:idx val="14"/>
          <c:order val="16"/>
          <c:tx>
            <c:strRef>
              <c:f>PlantData!$C$20</c:f>
              <c:strCache>
                <c:ptCount val="1"/>
                <c:pt idx="0">
                  <c:v>Sacramento Soleil</c:v>
                </c:pt>
              </c:strCache>
            </c:strRef>
          </c:tx>
          <c:spPr>
            <a:ln w="12700" cap="rnd">
              <a:noFill/>
              <a:prstDash val="sysDot"/>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PlantData!$BB$6:$BM$6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PlantData!$BB$20:$BM$20</c:f>
              <c:numCache>
                <c:formatCode>0.00</c:formatCode>
                <c:ptCount val="12"/>
                <c:pt idx="0">
                  <c:v>0.85876737435078587</c:v>
                </c:pt>
                <c:pt idx="1">
                  <c:v>0.89277365526789976</c:v>
                </c:pt>
                <c:pt idx="2">
                  <c:v>0.91578137613345478</c:v>
                </c:pt>
                <c:pt idx="3">
                  <c:v>0.88367137474568025</c:v>
                </c:pt>
                <c:pt idx="4">
                  <c:v>0.92396899906073349</c:v>
                </c:pt>
                <c:pt idx="5">
                  <c:v>0.88369606548533497</c:v>
                </c:pt>
                <c:pt idx="6">
                  <c:v>0.90808308284307437</c:v>
                </c:pt>
                <c:pt idx="7">
                  <c:v>0.88785187697150159</c:v>
                </c:pt>
                <c:pt idx="8">
                  <c:v>0.90662863313672803</c:v>
                </c:pt>
                <c:pt idx="9">
                  <c:v>0.81900038739378245</c:v>
                </c:pt>
                <c:pt idx="10">
                  <c:v>0.77438236084221312</c:v>
                </c:pt>
                <c:pt idx="11">
                  <c:v>0.73198635691973701</c:v>
                </c:pt>
              </c:numCache>
            </c:numRef>
          </c:yVal>
          <c:smooth val="0"/>
          <c:extLst>
            <c:ext xmlns:c16="http://schemas.microsoft.com/office/drawing/2014/chart" uri="{C3380CC4-5D6E-409C-BE32-E72D297353CC}">
              <c16:uniqueId val="{00000012-9048-4DA8-9BD1-4D6F28CC8976}"/>
            </c:ext>
          </c:extLst>
        </c:ser>
        <c:ser>
          <c:idx val="15"/>
          <c:order val="17"/>
          <c:tx>
            <c:strRef>
              <c:f>PlantData!$C$21</c:f>
              <c:strCache>
                <c:ptCount val="1"/>
                <c:pt idx="0">
                  <c:v>Western 102</c:v>
                </c:pt>
              </c:strCache>
            </c:strRef>
          </c:tx>
          <c:spPr>
            <a:ln w="12700" cap="rnd">
              <a:noFill/>
              <a:prstDash val="sysDot"/>
              <a:round/>
            </a:ln>
            <a:effectLst/>
          </c:spPr>
          <c:marker>
            <c:symbol val="circle"/>
            <c:size val="5"/>
            <c:spPr>
              <a:solidFill>
                <a:schemeClr val="accent4">
                  <a:lumMod val="80000"/>
                  <a:lumOff val="20000"/>
                </a:schemeClr>
              </a:solidFill>
              <a:ln w="9525">
                <a:solidFill>
                  <a:srgbClr val="00B05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PlantData!$BB$21:$BQ$21</c:f>
              <c:numCache>
                <c:formatCode>0.00</c:formatCode>
                <c:ptCount val="16"/>
                <c:pt idx="0">
                  <c:v>0.62499947353688989</c:v>
                </c:pt>
                <c:pt idx="1">
                  <c:v>0.46239126179925705</c:v>
                </c:pt>
                <c:pt idx="2">
                  <c:v>1.0322855618783104</c:v>
                </c:pt>
                <c:pt idx="3">
                  <c:v>0.99140463410623081</c:v>
                </c:pt>
                <c:pt idx="4">
                  <c:v>0.96363793402674525</c:v>
                </c:pt>
                <c:pt idx="5">
                  <c:v>0.94615989046831406</c:v>
                </c:pt>
                <c:pt idx="6">
                  <c:v>0.96802407926571199</c:v>
                </c:pt>
                <c:pt idx="7">
                  <c:v>0.96104266791667115</c:v>
                </c:pt>
                <c:pt idx="8">
                  <c:v>0.96318371624924271</c:v>
                </c:pt>
                <c:pt idx="9">
                  <c:v>0.94293549838382507</c:v>
                </c:pt>
                <c:pt idx="10">
                  <c:v>0.99771477191244717</c:v>
                </c:pt>
                <c:pt idx="11">
                  <c:v>0.86120803518158295</c:v>
                </c:pt>
                <c:pt idx="12">
                  <c:v>0.56892614593276847</c:v>
                </c:pt>
                <c:pt idx="13">
                  <c:v>0.54067555294772152</c:v>
                </c:pt>
                <c:pt idx="14">
                  <c:v>0.49906625060266868</c:v>
                </c:pt>
                <c:pt idx="15">
                  <c:v>0.53180380654722303</c:v>
                </c:pt>
              </c:numCache>
            </c:numRef>
          </c:yVal>
          <c:smooth val="0"/>
          <c:extLst>
            <c:ext xmlns:c16="http://schemas.microsoft.com/office/drawing/2014/chart" uri="{C3380CC4-5D6E-409C-BE32-E72D297353CC}">
              <c16:uniqueId val="{00000013-9048-4DA8-9BD1-4D6F28CC8976}"/>
            </c:ext>
          </c:extLst>
        </c:ser>
        <c:ser>
          <c:idx val="16"/>
          <c:order val="18"/>
          <c:tx>
            <c:strRef>
              <c:f>PlantData!$C$22</c:f>
              <c:strCache>
                <c:ptCount val="1"/>
                <c:pt idx="0">
                  <c:v>Wild Horse</c:v>
                </c:pt>
              </c:strCache>
            </c:strRef>
          </c:tx>
          <c:spPr>
            <a:ln w="12700" cap="rnd">
              <a:noFill/>
              <a:prstDash val="sysDot"/>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PlantData!$BB$22:$BP$22</c:f>
              <c:numCache>
                <c:formatCode>0.00</c:formatCode>
                <c:ptCount val="15"/>
                <c:pt idx="0">
                  <c:v>1.1499999999999999</c:v>
                </c:pt>
                <c:pt idx="1">
                  <c:v>1.1066117886697027</c:v>
                </c:pt>
                <c:pt idx="2">
                  <c:v>1.067349572758393</c:v>
                </c:pt>
                <c:pt idx="3">
                  <c:v>1.0262570576516028</c:v>
                </c:pt>
                <c:pt idx="4">
                  <c:v>1.1177190141996209</c:v>
                </c:pt>
                <c:pt idx="5">
                  <c:v>1.0337532260328532</c:v>
                </c:pt>
                <c:pt idx="6">
                  <c:v>0.68739198291568215</c:v>
                </c:pt>
                <c:pt idx="7">
                  <c:v>0.7009001089916379</c:v>
                </c:pt>
                <c:pt idx="8">
                  <c:v>0.56151689265538174</c:v>
                </c:pt>
                <c:pt idx="9">
                  <c:v>0.13782047719900598</c:v>
                </c:pt>
                <c:pt idx="10">
                  <c:v>0.70568750028372274</c:v>
                </c:pt>
                <c:pt idx="11">
                  <c:v>0.81473950362919945</c:v>
                </c:pt>
                <c:pt idx="12">
                  <c:v>0.93812418895159255</c:v>
                </c:pt>
                <c:pt idx="13">
                  <c:v>0.98576194921508731</c:v>
                </c:pt>
                <c:pt idx="14">
                  <c:v>1.0055911353605851</c:v>
                </c:pt>
              </c:numCache>
            </c:numRef>
          </c:yVal>
          <c:smooth val="0"/>
          <c:extLst>
            <c:ext xmlns:c16="http://schemas.microsoft.com/office/drawing/2014/chart" uri="{C3380CC4-5D6E-409C-BE32-E72D297353CC}">
              <c16:uniqueId val="{00000014-9048-4DA8-9BD1-4D6F28CC8976}"/>
            </c:ext>
          </c:extLst>
        </c:ser>
        <c:ser>
          <c:idx val="17"/>
          <c:order val="19"/>
          <c:tx>
            <c:strRef>
              <c:f>PlantData!$C$23</c:f>
              <c:strCache>
                <c:ptCount val="1"/>
                <c:pt idx="0">
                  <c:v>Aqua Ingrams Mill</c:v>
                </c:pt>
              </c:strCache>
            </c:strRef>
          </c:tx>
          <c:spPr>
            <a:ln w="12700" cap="rnd">
              <a:noFill/>
              <a:prstDash val="sysDot"/>
              <a:round/>
            </a:ln>
            <a:effectLst/>
          </c:spPr>
          <c:marker>
            <c:symbol val="circle"/>
            <c:size val="5"/>
            <c:spPr>
              <a:solidFill>
                <a:schemeClr val="accent6">
                  <a:lumMod val="80000"/>
                  <a:lumOff val="20000"/>
                </a:schemeClr>
              </a:solidFill>
              <a:ln w="9525">
                <a:solidFill>
                  <a:srgbClr val="C0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PlantData!$BB$23:$BO$23</c:f>
              <c:numCache>
                <c:formatCode>0.00</c:formatCode>
                <c:ptCount val="14"/>
                <c:pt idx="0">
                  <c:v>0.84932844202016089</c:v>
                </c:pt>
                <c:pt idx="1">
                  <c:v>0.81930292280576833</c:v>
                </c:pt>
                <c:pt idx="2">
                  <c:v>0</c:v>
                </c:pt>
                <c:pt idx="3">
                  <c:v>0.8458220254866855</c:v>
                </c:pt>
                <c:pt idx="4">
                  <c:v>0.80133405992445006</c:v>
                </c:pt>
                <c:pt idx="5">
                  <c:v>0.79963555004487974</c:v>
                </c:pt>
                <c:pt idx="6">
                  <c:v>0.68985081213419952</c:v>
                </c:pt>
                <c:pt idx="7">
                  <c:v>0.79098583719077264</c:v>
                </c:pt>
                <c:pt idx="8">
                  <c:v>0.7445894544052194</c:v>
                </c:pt>
                <c:pt idx="9">
                  <c:v>0.87359381960053983</c:v>
                </c:pt>
                <c:pt idx="10">
                  <c:v>0.72404305312341743</c:v>
                </c:pt>
                <c:pt idx="11">
                  <c:v>0.88174014799311551</c:v>
                </c:pt>
                <c:pt idx="12">
                  <c:v>0.53895009699678198</c:v>
                </c:pt>
                <c:pt idx="13">
                  <c:v>0.50921185953056891</c:v>
                </c:pt>
              </c:numCache>
            </c:numRef>
          </c:yVal>
          <c:smooth val="0"/>
          <c:extLst>
            <c:ext xmlns:c16="http://schemas.microsoft.com/office/drawing/2014/chart" uri="{C3380CC4-5D6E-409C-BE32-E72D297353CC}">
              <c16:uniqueId val="{00000015-9048-4DA8-9BD1-4D6F28CC8976}"/>
            </c:ext>
          </c:extLst>
        </c:ser>
        <c:ser>
          <c:idx val="18"/>
          <c:order val="20"/>
          <c:tx>
            <c:strRef>
              <c:f>PlantData!$C$24</c:f>
              <c:strCache>
                <c:ptCount val="1"/>
                <c:pt idx="0">
                  <c:v>Calpine Vineland Solar LLC</c:v>
                </c:pt>
              </c:strCache>
            </c:strRef>
          </c:tx>
          <c:spPr>
            <a:ln w="12700" cap="rnd">
              <a:noFill/>
              <a:prstDash val="sysDot"/>
              <a:round/>
            </a:ln>
            <a:effectLst/>
          </c:spPr>
          <c:marker>
            <c:symbol val="circle"/>
            <c:size val="5"/>
            <c:spPr>
              <a:solidFill>
                <a:schemeClr val="accent1">
                  <a:lumMod val="80000"/>
                </a:schemeClr>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PlantData!$BB$24:$BP$24</c:f>
              <c:numCache>
                <c:formatCode>0.00</c:formatCode>
                <c:ptCount val="15"/>
                <c:pt idx="0">
                  <c:v>1.1499999999999999</c:v>
                </c:pt>
                <c:pt idx="1">
                  <c:v>0.93329526659240214</c:v>
                </c:pt>
                <c:pt idx="2">
                  <c:v>1.1499999999999999</c:v>
                </c:pt>
                <c:pt idx="3">
                  <c:v>0.92210075402621572</c:v>
                </c:pt>
                <c:pt idx="4">
                  <c:v>0.95123112915668306</c:v>
                </c:pt>
                <c:pt idx="5">
                  <c:v>0.93624599191935165</c:v>
                </c:pt>
                <c:pt idx="6">
                  <c:v>0.97667202395458141</c:v>
                </c:pt>
                <c:pt idx="7">
                  <c:v>0.96021458000851179</c:v>
                </c:pt>
                <c:pt idx="8">
                  <c:v>0.89516547793193413</c:v>
                </c:pt>
                <c:pt idx="9">
                  <c:v>0.92230574854949232</c:v>
                </c:pt>
                <c:pt idx="10">
                  <c:v>0.88391789823457056</c:v>
                </c:pt>
                <c:pt idx="11">
                  <c:v>0.98091205450175101</c:v>
                </c:pt>
                <c:pt idx="12">
                  <c:v>0.98997137902044896</c:v>
                </c:pt>
                <c:pt idx="13">
                  <c:v>1.0178661451052344</c:v>
                </c:pt>
                <c:pt idx="14">
                  <c:v>0.97310165517117186</c:v>
                </c:pt>
              </c:numCache>
            </c:numRef>
          </c:yVal>
          <c:smooth val="0"/>
          <c:extLst>
            <c:ext xmlns:c16="http://schemas.microsoft.com/office/drawing/2014/chart" uri="{C3380CC4-5D6E-409C-BE32-E72D297353CC}">
              <c16:uniqueId val="{00000016-9048-4DA8-9BD1-4D6F28CC8976}"/>
            </c:ext>
          </c:extLst>
        </c:ser>
        <c:ser>
          <c:idx val="19"/>
          <c:order val="21"/>
          <c:tx>
            <c:strRef>
              <c:f>PlantData!$C$25</c:f>
              <c:strCache>
                <c:ptCount val="1"/>
                <c:pt idx="0">
                  <c:v>Chuckawalla SunE</c:v>
                </c:pt>
              </c:strCache>
            </c:strRef>
          </c:tx>
          <c:spPr>
            <a:ln w="12700" cap="rnd">
              <a:noFill/>
              <a:prstDash val="sysDot"/>
              <a:round/>
            </a:ln>
            <a:effectLst/>
          </c:spPr>
          <c:marker>
            <c:symbol val="circle"/>
            <c:size val="5"/>
            <c:spPr>
              <a:solidFill>
                <a:schemeClr val="accent2">
                  <a:lumMod val="80000"/>
                </a:schemeClr>
              </a:solidFill>
              <a:ln w="9525">
                <a:solidFill>
                  <a:schemeClr val="accent2">
                    <a:lumMod val="8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PlantData!$BB$25:$BQ$25</c:f>
              <c:numCache>
                <c:formatCode>0.00</c:formatCode>
                <c:ptCount val="16"/>
                <c:pt idx="0">
                  <c:v>0.9397279776459756</c:v>
                </c:pt>
                <c:pt idx="1">
                  <c:v>0.94626822730540161</c:v>
                </c:pt>
                <c:pt idx="2">
                  <c:v>0.97477608844883712</c:v>
                </c:pt>
                <c:pt idx="3">
                  <c:v>0.79604288422915137</c:v>
                </c:pt>
                <c:pt idx="4">
                  <c:v>0.95137766530490397</c:v>
                </c:pt>
                <c:pt idx="5">
                  <c:v>0.92972730721323993</c:v>
                </c:pt>
                <c:pt idx="6">
                  <c:v>0.88965998544847691</c:v>
                </c:pt>
                <c:pt idx="7">
                  <c:v>1.1499999999999999</c:v>
                </c:pt>
                <c:pt idx="8">
                  <c:v>0.83036789319248561</c:v>
                </c:pt>
                <c:pt idx="9">
                  <c:v>0.72336313579878453</c:v>
                </c:pt>
                <c:pt idx="10">
                  <c:v>0.85917960396383719</c:v>
                </c:pt>
                <c:pt idx="11">
                  <c:v>0.78990630259889538</c:v>
                </c:pt>
                <c:pt idx="12">
                  <c:v>0.71030981984560804</c:v>
                </c:pt>
                <c:pt idx="13">
                  <c:v>0.23361564604990759</c:v>
                </c:pt>
                <c:pt idx="14">
                  <c:v>0.55883804196497677</c:v>
                </c:pt>
                <c:pt idx="15">
                  <c:v>0.67719329310559118</c:v>
                </c:pt>
              </c:numCache>
            </c:numRef>
          </c:yVal>
          <c:smooth val="0"/>
          <c:extLst>
            <c:ext xmlns:c16="http://schemas.microsoft.com/office/drawing/2014/chart" uri="{C3380CC4-5D6E-409C-BE32-E72D297353CC}">
              <c16:uniqueId val="{00000017-9048-4DA8-9BD1-4D6F28CC8976}"/>
            </c:ext>
          </c:extLst>
        </c:ser>
        <c:ser>
          <c:idx val="20"/>
          <c:order val="22"/>
          <c:tx>
            <c:strRef>
              <c:f>PlantData!$C$26</c:f>
              <c:strCache>
                <c:ptCount val="1"/>
                <c:pt idx="0">
                  <c:v>DeSoto</c:v>
                </c:pt>
              </c:strCache>
            </c:strRef>
          </c:tx>
          <c:spPr>
            <a:ln w="12700" cap="rnd">
              <a:noFill/>
              <a:prstDash val="sysDot"/>
              <a:round/>
            </a:ln>
            <a:effectLst/>
          </c:spPr>
          <c:marker>
            <c:symbol val="circle"/>
            <c:size val="5"/>
            <c:spPr>
              <a:solidFill>
                <a:schemeClr val="accent3">
                  <a:lumMod val="80000"/>
                </a:schemeClr>
              </a:solidFill>
              <a:ln w="9525">
                <a:solidFill>
                  <a:srgbClr val="C0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PlantData!$BB$26:$BP$26</c:f>
              <c:numCache>
                <c:formatCode>0.00</c:formatCode>
                <c:ptCount val="15"/>
                <c:pt idx="0">
                  <c:v>1.1447120810616873</c:v>
                </c:pt>
                <c:pt idx="1">
                  <c:v>1.1181985147922018</c:v>
                </c:pt>
                <c:pt idx="2">
                  <c:v>1.1282179301930526</c:v>
                </c:pt>
                <c:pt idx="3">
                  <c:v>1.0855019565960997</c:v>
                </c:pt>
                <c:pt idx="4">
                  <c:v>1.0382776322405904</c:v>
                </c:pt>
                <c:pt idx="5">
                  <c:v>1.1010379623553797</c:v>
                </c:pt>
                <c:pt idx="6">
                  <c:v>1.0759187428988659</c:v>
                </c:pt>
                <c:pt idx="7">
                  <c:v>1.0713233879102675</c:v>
                </c:pt>
                <c:pt idx="8">
                  <c:v>1.0472650195377127</c:v>
                </c:pt>
                <c:pt idx="9">
                  <c:v>1.0272034140226431</c:v>
                </c:pt>
                <c:pt idx="10">
                  <c:v>0.91573508927047642</c:v>
                </c:pt>
                <c:pt idx="11">
                  <c:v>0.99192734090234791</c:v>
                </c:pt>
                <c:pt idx="12">
                  <c:v>0.85519917129471823</c:v>
                </c:pt>
                <c:pt idx="13">
                  <c:v>0.7663868075145468</c:v>
                </c:pt>
                <c:pt idx="14">
                  <c:v>0.6459741309634246</c:v>
                </c:pt>
              </c:numCache>
            </c:numRef>
          </c:yVal>
          <c:smooth val="0"/>
          <c:extLst>
            <c:ext xmlns:c16="http://schemas.microsoft.com/office/drawing/2014/chart" uri="{C3380CC4-5D6E-409C-BE32-E72D297353CC}">
              <c16:uniqueId val="{00000018-9048-4DA8-9BD1-4D6F28CC8976}"/>
            </c:ext>
          </c:extLst>
        </c:ser>
        <c:ser>
          <c:idx val="21"/>
          <c:order val="23"/>
          <c:tx>
            <c:strRef>
              <c:f>PlantData!$C$27</c:f>
              <c:strCache>
                <c:ptCount val="1"/>
                <c:pt idx="0">
                  <c:v>Exelon Chicago</c:v>
                </c:pt>
              </c:strCache>
            </c:strRef>
          </c:tx>
          <c:spPr>
            <a:ln w="12700" cap="rnd">
              <a:noFill/>
              <a:prstDash val="sysDot"/>
              <a:round/>
            </a:ln>
            <a:effectLst/>
          </c:spPr>
          <c:marker>
            <c:symbol val="circle"/>
            <c:size val="5"/>
            <c:spPr>
              <a:solidFill>
                <a:schemeClr val="accent4">
                  <a:lumMod val="80000"/>
                </a:schemeClr>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PlantData!$BB$27:$BQ$27</c:f>
              <c:numCache>
                <c:formatCode>0.00</c:formatCode>
                <c:ptCount val="16"/>
                <c:pt idx="0">
                  <c:v>0.97024285279653288</c:v>
                </c:pt>
                <c:pt idx="1">
                  <c:v>0.96939664714700013</c:v>
                </c:pt>
                <c:pt idx="2">
                  <c:v>1.0447988369508445</c:v>
                </c:pt>
                <c:pt idx="3">
                  <c:v>0.99524877547808144</c:v>
                </c:pt>
                <c:pt idx="4">
                  <c:v>1.0166257693962071</c:v>
                </c:pt>
                <c:pt idx="5">
                  <c:v>0.99353071674133187</c:v>
                </c:pt>
                <c:pt idx="6">
                  <c:v>0.99682684749574446</c:v>
                </c:pt>
                <c:pt idx="7">
                  <c:v>1.0178915475775578</c:v>
                </c:pt>
                <c:pt idx="8">
                  <c:v>0.97823933271607333</c:v>
                </c:pt>
                <c:pt idx="9">
                  <c:v>1.0111406926833415</c:v>
                </c:pt>
                <c:pt idx="10">
                  <c:v>0.99711039884967956</c:v>
                </c:pt>
                <c:pt idx="11">
                  <c:v>0.95500841508594458</c:v>
                </c:pt>
                <c:pt idx="12">
                  <c:v>0.98464764218151402</c:v>
                </c:pt>
                <c:pt idx="13">
                  <c:v>0.92143600479995114</c:v>
                </c:pt>
                <c:pt idx="14">
                  <c:v>0.85896221294256359</c:v>
                </c:pt>
                <c:pt idx="15">
                  <c:v>0.95135165888600792</c:v>
                </c:pt>
              </c:numCache>
            </c:numRef>
          </c:yVal>
          <c:smooth val="0"/>
          <c:extLst>
            <c:ext xmlns:c16="http://schemas.microsoft.com/office/drawing/2014/chart" uri="{C3380CC4-5D6E-409C-BE32-E72D297353CC}">
              <c16:uniqueId val="{00000019-9048-4DA8-9BD1-4D6F28CC8976}"/>
            </c:ext>
          </c:extLst>
        </c:ser>
        <c:ser>
          <c:idx val="22"/>
          <c:order val="24"/>
          <c:tx>
            <c:strRef>
              <c:f>PlantData!$C$28</c:f>
              <c:strCache>
                <c:ptCount val="1"/>
                <c:pt idx="0">
                  <c:v>Hall's Warehouse</c:v>
                </c:pt>
              </c:strCache>
            </c:strRef>
          </c:tx>
          <c:spPr>
            <a:ln w="12700" cap="rnd">
              <a:noFill/>
              <a:prstDash val="sysDot"/>
              <a:round/>
            </a:ln>
            <a:effectLst/>
          </c:spPr>
          <c:marker>
            <c:symbol val="circle"/>
            <c:size val="5"/>
            <c:spPr>
              <a:solidFill>
                <a:schemeClr val="accent5">
                  <a:lumMod val="80000"/>
                </a:schemeClr>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PlantData!$BB$28:$BQ$28</c:f>
              <c:numCache>
                <c:formatCode>0.00</c:formatCode>
                <c:ptCount val="16"/>
                <c:pt idx="0">
                  <c:v>0.87523150448372389</c:v>
                </c:pt>
                <c:pt idx="1">
                  <c:v>0.97741851847245964</c:v>
                </c:pt>
                <c:pt idx="2">
                  <c:v>0.90625746260411122</c:v>
                </c:pt>
                <c:pt idx="3">
                  <c:v>0.96874635100024997</c:v>
                </c:pt>
                <c:pt idx="4">
                  <c:v>0.8920026258840611</c:v>
                </c:pt>
                <c:pt idx="5">
                  <c:v>0.61396515005826247</c:v>
                </c:pt>
                <c:pt idx="6">
                  <c:v>0.72696250493707582</c:v>
                </c:pt>
                <c:pt idx="7">
                  <c:v>0.70542194206335551</c:v>
                </c:pt>
                <c:pt idx="8">
                  <c:v>0.86770521616109353</c:v>
                </c:pt>
                <c:pt idx="9">
                  <c:v>0.80648934697814678</c:v>
                </c:pt>
                <c:pt idx="10">
                  <c:v>0.76578518395678297</c:v>
                </c:pt>
                <c:pt idx="11">
                  <c:v>0.71575407310762018</c:v>
                </c:pt>
                <c:pt idx="12">
                  <c:v>0.67463979516376649</c:v>
                </c:pt>
                <c:pt idx="13">
                  <c:v>0.85228064501043443</c:v>
                </c:pt>
                <c:pt idx="14">
                  <c:v>0.79986066721812488</c:v>
                </c:pt>
                <c:pt idx="15">
                  <c:v>0.72016357369500106</c:v>
                </c:pt>
              </c:numCache>
            </c:numRef>
          </c:yVal>
          <c:smooth val="0"/>
          <c:extLst>
            <c:ext xmlns:c16="http://schemas.microsoft.com/office/drawing/2014/chart" uri="{C3380CC4-5D6E-409C-BE32-E72D297353CC}">
              <c16:uniqueId val="{0000001A-9048-4DA8-9BD1-4D6F28CC8976}"/>
            </c:ext>
          </c:extLst>
        </c:ser>
        <c:ser>
          <c:idx val="23"/>
          <c:order val="25"/>
          <c:tx>
            <c:strRef>
              <c:f>PlantData!$C$29</c:f>
              <c:strCache>
                <c:ptCount val="1"/>
                <c:pt idx="0">
                  <c:v>Kohl's San Bernardino SunE</c:v>
                </c:pt>
              </c:strCache>
            </c:strRef>
          </c:tx>
          <c:spPr>
            <a:ln w="12700" cap="rnd">
              <a:noFill/>
              <a:prstDash val="sysDot"/>
              <a:round/>
            </a:ln>
            <a:effectLst/>
          </c:spPr>
          <c:marker>
            <c:symbol val="circle"/>
            <c:size val="5"/>
            <c:spPr>
              <a:solidFill>
                <a:srgbClr val="92D050"/>
              </a:solidFill>
              <a:ln w="9525">
                <a:solidFill>
                  <a:schemeClr val="bg2">
                    <a:lumMod val="1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PlantData!$BB$29:$BQ$29</c:f>
              <c:numCache>
                <c:formatCode>0.00</c:formatCode>
                <c:ptCount val="16"/>
                <c:pt idx="0">
                  <c:v>0.90504472924699808</c:v>
                </c:pt>
                <c:pt idx="1">
                  <c:v>0.89271160561876106</c:v>
                </c:pt>
                <c:pt idx="2">
                  <c:v>1.1499999999999999</c:v>
                </c:pt>
                <c:pt idx="3">
                  <c:v>0.91524676122308857</c:v>
                </c:pt>
                <c:pt idx="4">
                  <c:v>0.88809240353828423</c:v>
                </c:pt>
                <c:pt idx="5">
                  <c:v>0.81555836486441147</c:v>
                </c:pt>
                <c:pt idx="6">
                  <c:v>0.97646052861196742</c:v>
                </c:pt>
                <c:pt idx="7">
                  <c:v>0.43951750099699755</c:v>
                </c:pt>
                <c:pt idx="8">
                  <c:v>0</c:v>
                </c:pt>
                <c:pt idx="9">
                  <c:v>0.52405250641852774</c:v>
                </c:pt>
                <c:pt idx="10">
                  <c:v>0.71055854100933258</c:v>
                </c:pt>
                <c:pt idx="11">
                  <c:v>0.7595452975172492</c:v>
                </c:pt>
                <c:pt idx="12">
                  <c:v>0.76336210805753679</c:v>
                </c:pt>
                <c:pt idx="13">
                  <c:v>0.85736364827681688</c:v>
                </c:pt>
                <c:pt idx="14">
                  <c:v>0.55590033008979767</c:v>
                </c:pt>
                <c:pt idx="15">
                  <c:v>0.50277115951997264</c:v>
                </c:pt>
              </c:numCache>
            </c:numRef>
          </c:yVal>
          <c:smooth val="0"/>
          <c:extLst>
            <c:ext xmlns:c16="http://schemas.microsoft.com/office/drawing/2014/chart" uri="{C3380CC4-5D6E-409C-BE32-E72D297353CC}">
              <c16:uniqueId val="{0000001B-9048-4DA8-9BD1-4D6F28CC8976}"/>
            </c:ext>
          </c:extLst>
        </c:ser>
        <c:ser>
          <c:idx val="24"/>
          <c:order val="26"/>
          <c:tx>
            <c:strRef>
              <c:f>PlantData!$C$30</c:f>
              <c:strCache>
                <c:ptCount val="1"/>
                <c:pt idx="0">
                  <c:v>Mariani Packing SunE</c:v>
                </c:pt>
              </c:strCache>
            </c:strRef>
          </c:tx>
          <c:spPr>
            <a:ln w="12700" cap="rnd">
              <a:noFill/>
              <a:prstDash val="sysDot"/>
              <a:round/>
            </a:ln>
            <a:effectLst/>
          </c:spPr>
          <c:marker>
            <c:symbol val="circle"/>
            <c:size val="5"/>
            <c:spPr>
              <a:solidFill>
                <a:srgbClr val="002060"/>
              </a:solidFill>
              <a:ln w="9525">
                <a:solidFill>
                  <a:schemeClr val="accent1">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PlantData!$BB$30:$BQ$30</c:f>
              <c:numCache>
                <c:formatCode>0.00</c:formatCode>
                <c:ptCount val="16"/>
                <c:pt idx="0">
                  <c:v>0.97508835019461948</c:v>
                </c:pt>
                <c:pt idx="1">
                  <c:v>0.5557849429614552</c:v>
                </c:pt>
                <c:pt idx="2">
                  <c:v>0.97997842278659186</c:v>
                </c:pt>
                <c:pt idx="3">
                  <c:v>0.9958132419172786</c:v>
                </c:pt>
                <c:pt idx="4">
                  <c:v>1.0676049391313194</c:v>
                </c:pt>
                <c:pt idx="5">
                  <c:v>0.99733092812824931</c:v>
                </c:pt>
                <c:pt idx="6">
                  <c:v>1.0119079402728264</c:v>
                </c:pt>
                <c:pt idx="7">
                  <c:v>0.94261581175943177</c:v>
                </c:pt>
                <c:pt idx="8">
                  <c:v>0.85887197990040387</c:v>
                </c:pt>
                <c:pt idx="9">
                  <c:v>0.70833537976558925</c:v>
                </c:pt>
                <c:pt idx="10">
                  <c:v>0.90039803688650888</c:v>
                </c:pt>
                <c:pt idx="11">
                  <c:v>0.91214964220902661</c:v>
                </c:pt>
                <c:pt idx="12">
                  <c:v>0.81245294935306722</c:v>
                </c:pt>
                <c:pt idx="13">
                  <c:v>0.2841710836413367</c:v>
                </c:pt>
                <c:pt idx="14">
                  <c:v>0.46691519159915357</c:v>
                </c:pt>
                <c:pt idx="15">
                  <c:v>0.65991544148772974</c:v>
                </c:pt>
              </c:numCache>
            </c:numRef>
          </c:yVal>
          <c:smooth val="0"/>
          <c:extLst>
            <c:ext xmlns:c16="http://schemas.microsoft.com/office/drawing/2014/chart" uri="{C3380CC4-5D6E-409C-BE32-E72D297353CC}">
              <c16:uniqueId val="{0000001C-9048-4DA8-9BD1-4D6F28CC8976}"/>
            </c:ext>
          </c:extLst>
        </c:ser>
        <c:ser>
          <c:idx val="25"/>
          <c:order val="27"/>
          <c:tx>
            <c:strRef>
              <c:f>PlantData!$C$31</c:f>
              <c:strCache>
                <c:ptCount val="1"/>
                <c:pt idx="0">
                  <c:v>PPL Merck</c:v>
                </c:pt>
              </c:strCache>
            </c:strRef>
          </c:tx>
          <c:spPr>
            <a:ln w="12700" cap="rnd">
              <a:noFill/>
              <a:prstDash val="sysDot"/>
              <a:round/>
            </a:ln>
            <a:effectLst/>
          </c:spPr>
          <c:marker>
            <c:symbol val="circle"/>
            <c:size val="5"/>
            <c:spPr>
              <a:solidFill>
                <a:srgbClr val="00B050"/>
              </a:solidFill>
              <a:ln w="9525">
                <a:solidFill>
                  <a:schemeClr val="accent2">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PlantData!$BB$31:$BQ$31</c:f>
              <c:numCache>
                <c:formatCode>0.00</c:formatCode>
                <c:ptCount val="16"/>
                <c:pt idx="0">
                  <c:v>0.77053649099145882</c:v>
                </c:pt>
                <c:pt idx="1">
                  <c:v>0.70760804400333988</c:v>
                </c:pt>
                <c:pt idx="2">
                  <c:v>0.78069775420422216</c:v>
                </c:pt>
                <c:pt idx="3">
                  <c:v>0.75329385861815168</c:v>
                </c:pt>
                <c:pt idx="4">
                  <c:v>0.3250161100658634</c:v>
                </c:pt>
                <c:pt idx="5">
                  <c:v>0.77451434686815401</c:v>
                </c:pt>
                <c:pt idx="6">
                  <c:v>0.81167579029924442</c:v>
                </c:pt>
                <c:pt idx="7">
                  <c:v>0.71691992346076272</c:v>
                </c:pt>
                <c:pt idx="8">
                  <c:v>0.67654002193256002</c:v>
                </c:pt>
                <c:pt idx="9">
                  <c:v>0.745003346094123</c:v>
                </c:pt>
                <c:pt idx="10">
                  <c:v>0.72828132794058653</c:v>
                </c:pt>
                <c:pt idx="11">
                  <c:v>0.63160641581946642</c:v>
                </c:pt>
                <c:pt idx="12">
                  <c:v>0.5687308959765931</c:v>
                </c:pt>
                <c:pt idx="13">
                  <c:v>0.35014883737822605</c:v>
                </c:pt>
                <c:pt idx="14">
                  <c:v>0</c:v>
                </c:pt>
              </c:numCache>
            </c:numRef>
          </c:yVal>
          <c:smooth val="0"/>
          <c:extLst>
            <c:ext xmlns:c16="http://schemas.microsoft.com/office/drawing/2014/chart" uri="{C3380CC4-5D6E-409C-BE32-E72D297353CC}">
              <c16:uniqueId val="{0000001D-9048-4DA8-9BD1-4D6F28CC8976}"/>
            </c:ext>
          </c:extLst>
        </c:ser>
        <c:ser>
          <c:idx val="26"/>
          <c:order val="28"/>
          <c:tx>
            <c:strRef>
              <c:f>PlantData!$C$32</c:f>
              <c:strCache>
                <c:ptCount val="1"/>
                <c:pt idx="0">
                  <c:v>PSEG Hackettstown</c:v>
                </c:pt>
              </c:strCache>
            </c:strRef>
          </c:tx>
          <c:spPr>
            <a:ln w="12700" cap="rnd">
              <a:noFill/>
              <a:prstDash val="sysDot"/>
              <a:round/>
            </a:ln>
            <a:effectLst/>
          </c:spPr>
          <c:marker>
            <c:symbol val="circle"/>
            <c:size val="5"/>
            <c:spPr>
              <a:solidFill>
                <a:srgbClr val="7030A0"/>
              </a:solidFill>
              <a:ln w="9525">
                <a:solidFill>
                  <a:schemeClr val="accent3">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PlantData!$BB$32:$BP$32</c:f>
              <c:numCache>
                <c:formatCode>0.00</c:formatCode>
                <c:ptCount val="15"/>
                <c:pt idx="0">
                  <c:v>0.94239931350925032</c:v>
                </c:pt>
                <c:pt idx="1">
                  <c:v>0.83253993882836619</c:v>
                </c:pt>
                <c:pt idx="2">
                  <c:v>0.95050685950053893</c:v>
                </c:pt>
                <c:pt idx="3">
                  <c:v>0.92599721924712286</c:v>
                </c:pt>
                <c:pt idx="4">
                  <c:v>0.87949272730757655</c:v>
                </c:pt>
                <c:pt idx="5">
                  <c:v>0.87017819342810521</c:v>
                </c:pt>
                <c:pt idx="6">
                  <c:v>0.93011731759935268</c:v>
                </c:pt>
                <c:pt idx="7">
                  <c:v>0.85653629669628262</c:v>
                </c:pt>
                <c:pt idx="8">
                  <c:v>0.77468495089268785</c:v>
                </c:pt>
                <c:pt idx="9">
                  <c:v>0.8590584290091049</c:v>
                </c:pt>
                <c:pt idx="10">
                  <c:v>0.86012546122485611</c:v>
                </c:pt>
                <c:pt idx="11">
                  <c:v>0.8132776217801444</c:v>
                </c:pt>
                <c:pt idx="12">
                  <c:v>0.87353317419917342</c:v>
                </c:pt>
                <c:pt idx="13">
                  <c:v>0.83760065590797883</c:v>
                </c:pt>
                <c:pt idx="14">
                  <c:v>0.64876450306409528</c:v>
                </c:pt>
              </c:numCache>
            </c:numRef>
          </c:yVal>
          <c:smooth val="0"/>
          <c:extLst>
            <c:ext xmlns:c16="http://schemas.microsoft.com/office/drawing/2014/chart" uri="{C3380CC4-5D6E-409C-BE32-E72D297353CC}">
              <c16:uniqueId val="{0000001E-9048-4DA8-9BD1-4D6F28CC8976}"/>
            </c:ext>
          </c:extLst>
        </c:ser>
        <c:ser>
          <c:idx val="27"/>
          <c:order val="29"/>
          <c:tx>
            <c:strRef>
              <c:f>PlantData!$C$33</c:f>
              <c:strCache>
                <c:ptCount val="1"/>
                <c:pt idx="0">
                  <c:v>RV CSU</c:v>
                </c:pt>
              </c:strCache>
            </c:strRef>
          </c:tx>
          <c:spPr>
            <a:ln w="12700" cap="rnd">
              <a:noFill/>
              <a:prstDash val="sysDot"/>
              <a:round/>
            </a:ln>
            <a:effectLst/>
          </c:spPr>
          <c:marker>
            <c:symbol val="circle"/>
            <c:size val="5"/>
            <c:spPr>
              <a:solidFill>
                <a:srgbClr val="002060"/>
              </a:solidFill>
              <a:ln w="9525">
                <a:solidFill>
                  <a:schemeClr val="accent4">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PlantData!$BB$33:$BP$33</c:f>
              <c:numCache>
                <c:formatCode>0.00</c:formatCode>
                <c:ptCount val="15"/>
                <c:pt idx="0">
                  <c:v>0.96111813176931404</c:v>
                </c:pt>
                <c:pt idx="1">
                  <c:v>0.95533919508368215</c:v>
                </c:pt>
                <c:pt idx="2">
                  <c:v>0.98763659521880631</c:v>
                </c:pt>
                <c:pt idx="3">
                  <c:v>0.95565909696109363</c:v>
                </c:pt>
                <c:pt idx="4">
                  <c:v>0.83037825720399105</c:v>
                </c:pt>
                <c:pt idx="5">
                  <c:v>0.85192562378346937</c:v>
                </c:pt>
                <c:pt idx="6">
                  <c:v>1.1499999999999999</c:v>
                </c:pt>
                <c:pt idx="7">
                  <c:v>0.9637933234143049</c:v>
                </c:pt>
                <c:pt idx="8">
                  <c:v>0.9804914601958773</c:v>
                </c:pt>
                <c:pt idx="9">
                  <c:v>0.87382883773304831</c:v>
                </c:pt>
                <c:pt idx="10">
                  <c:v>0.87559141083658365</c:v>
                </c:pt>
                <c:pt idx="11">
                  <c:v>0.88439425977473307</c:v>
                </c:pt>
                <c:pt idx="12">
                  <c:v>0.67555262368401536</c:v>
                </c:pt>
                <c:pt idx="13">
                  <c:v>0.74535967871743625</c:v>
                </c:pt>
                <c:pt idx="14">
                  <c:v>0.52353931771288242</c:v>
                </c:pt>
              </c:numCache>
            </c:numRef>
          </c:yVal>
          <c:smooth val="0"/>
          <c:extLst>
            <c:ext xmlns:c16="http://schemas.microsoft.com/office/drawing/2014/chart" uri="{C3380CC4-5D6E-409C-BE32-E72D297353CC}">
              <c16:uniqueId val="{0000001F-9048-4DA8-9BD1-4D6F28CC8976}"/>
            </c:ext>
          </c:extLst>
        </c:ser>
        <c:ser>
          <c:idx val="29"/>
          <c:order val="30"/>
          <c:tx>
            <c:strRef>
              <c:f>PlantData!$C$34</c:f>
              <c:strCache>
                <c:ptCount val="1"/>
                <c:pt idx="0">
                  <c:v>Solar Blythe (NRG)</c:v>
                </c:pt>
              </c:strCache>
            </c:strRef>
          </c:tx>
          <c:spPr>
            <a:ln w="12700" cap="rnd">
              <a:noFill/>
              <a:prstDash val="sysDot"/>
              <a:round/>
            </a:ln>
            <a:effectLst/>
          </c:spPr>
          <c:marker>
            <c:symbol val="circle"/>
            <c:size val="5"/>
            <c:spPr>
              <a:solidFill>
                <a:srgbClr val="C00000"/>
              </a:solidFill>
              <a:ln w="12700">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PlantData!$BB$34:$BP$34</c:f>
              <c:numCache>
                <c:formatCode>0.00</c:formatCode>
                <c:ptCount val="15"/>
                <c:pt idx="0">
                  <c:v>1.0131452752749142</c:v>
                </c:pt>
                <c:pt idx="1">
                  <c:v>1.0472384788191529</c:v>
                </c:pt>
                <c:pt idx="2">
                  <c:v>0.97928263153905348</c:v>
                </c:pt>
                <c:pt idx="3">
                  <c:v>0.98247075160357589</c:v>
                </c:pt>
                <c:pt idx="4">
                  <c:v>0.96907945847900556</c:v>
                </c:pt>
                <c:pt idx="5">
                  <c:v>0.95661232520871764</c:v>
                </c:pt>
                <c:pt idx="6">
                  <c:v>0.95224669192526179</c:v>
                </c:pt>
                <c:pt idx="7">
                  <c:v>0.92626034103322674</c:v>
                </c:pt>
                <c:pt idx="8">
                  <c:v>0.89459468042439505</c:v>
                </c:pt>
                <c:pt idx="9">
                  <c:v>0.92096626890772693</c:v>
                </c:pt>
                <c:pt idx="10">
                  <c:v>0.8880106697400677</c:v>
                </c:pt>
                <c:pt idx="11">
                  <c:v>0.88596647035702369</c:v>
                </c:pt>
                <c:pt idx="12">
                  <c:v>0.90671276103016496</c:v>
                </c:pt>
                <c:pt idx="13">
                  <c:v>0.87892906329338694</c:v>
                </c:pt>
                <c:pt idx="14">
                  <c:v>0.91055115104084594</c:v>
                </c:pt>
              </c:numCache>
            </c:numRef>
          </c:yVal>
          <c:smooth val="0"/>
          <c:extLst>
            <c:ext xmlns:c16="http://schemas.microsoft.com/office/drawing/2014/chart" uri="{C3380CC4-5D6E-409C-BE32-E72D297353CC}">
              <c16:uniqueId val="{00000020-9048-4DA8-9BD1-4D6F28CC8976}"/>
            </c:ext>
          </c:extLst>
        </c:ser>
        <c:ser>
          <c:idx val="30"/>
          <c:order val="31"/>
          <c:tx>
            <c:strRef>
              <c:f>PlantData!$C$35</c:f>
              <c:strCache>
                <c:ptCount val="1"/>
                <c:pt idx="0">
                  <c:v>Solar PV #02 (SCE)</c:v>
                </c:pt>
              </c:strCache>
            </c:strRef>
          </c:tx>
          <c:spPr>
            <a:ln w="12700" cap="rnd">
              <a:noFill/>
              <a:prstDash val="sysDot"/>
              <a:round/>
            </a:ln>
            <a:effectLst/>
          </c:spPr>
          <c:marker>
            <c:symbol val="circle"/>
            <c:size val="5"/>
            <c:spPr>
              <a:solidFill>
                <a:srgbClr val="FFC000"/>
              </a:solidFill>
              <a:ln w="9525">
                <a:solidFill>
                  <a:schemeClr val="accent1">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PlantData!$BB$35:$BO$35</c:f>
              <c:numCache>
                <c:formatCode>0.00</c:formatCode>
                <c:ptCount val="14"/>
                <c:pt idx="0">
                  <c:v>0.79023088965567567</c:v>
                </c:pt>
                <c:pt idx="1">
                  <c:v>0.73328141568380012</c:v>
                </c:pt>
                <c:pt idx="2">
                  <c:v>0.49823861357973603</c:v>
                </c:pt>
                <c:pt idx="3">
                  <c:v>0.53687254934687978</c:v>
                </c:pt>
                <c:pt idx="4">
                  <c:v>0.44879094371265577</c:v>
                </c:pt>
                <c:pt idx="5">
                  <c:v>0.40086657488453264</c:v>
                </c:pt>
                <c:pt idx="6">
                  <c:v>0.51520626006446857</c:v>
                </c:pt>
                <c:pt idx="7">
                  <c:v>0.33406144273915944</c:v>
                </c:pt>
                <c:pt idx="8">
                  <c:v>0.21128474545103654</c:v>
                </c:pt>
                <c:pt idx="9">
                  <c:v>0.38455074480108808</c:v>
                </c:pt>
                <c:pt idx="10">
                  <c:v>0.4221495339730203</c:v>
                </c:pt>
                <c:pt idx="11">
                  <c:v>0.69928304323263712</c:v>
                </c:pt>
                <c:pt idx="12">
                  <c:v>0.4193158740721864</c:v>
                </c:pt>
                <c:pt idx="13">
                  <c:v>0</c:v>
                </c:pt>
              </c:numCache>
            </c:numRef>
          </c:yVal>
          <c:smooth val="0"/>
          <c:extLst>
            <c:ext xmlns:c16="http://schemas.microsoft.com/office/drawing/2014/chart" uri="{C3380CC4-5D6E-409C-BE32-E72D297353CC}">
              <c16:uniqueId val="{00000021-9048-4DA8-9BD1-4D6F28CC8976}"/>
            </c:ext>
          </c:extLst>
        </c:ser>
        <c:ser>
          <c:idx val="31"/>
          <c:order val="32"/>
          <c:tx>
            <c:strRef>
              <c:f>PlantData!$C$36</c:f>
              <c:strCache>
                <c:ptCount val="1"/>
                <c:pt idx="0">
                  <c:v>SunE Anheuser</c:v>
                </c:pt>
              </c:strCache>
            </c:strRef>
          </c:tx>
          <c:spPr>
            <a:ln w="12700" cap="rnd">
              <a:noFill/>
              <a:prstDash val="sysDot"/>
              <a:round/>
            </a:ln>
            <a:effectLst/>
          </c:spPr>
          <c:marker>
            <c:symbol val="circle"/>
            <c:size val="5"/>
            <c:spPr>
              <a:solidFill>
                <a:srgbClr val="FFFF00"/>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PlantData!$BB$36:$BQ$36</c:f>
              <c:numCache>
                <c:formatCode>0.00</c:formatCode>
                <c:ptCount val="16"/>
                <c:pt idx="0">
                  <c:v>0.98831913316945474</c:v>
                </c:pt>
                <c:pt idx="1">
                  <c:v>0.93297733026723084</c:v>
                </c:pt>
                <c:pt idx="2">
                  <c:v>0.98425493151308596</c:v>
                </c:pt>
                <c:pt idx="3">
                  <c:v>0.97419926758449593</c:v>
                </c:pt>
                <c:pt idx="4">
                  <c:v>1.0055938056842659</c:v>
                </c:pt>
                <c:pt idx="5">
                  <c:v>0.96013764765937837</c:v>
                </c:pt>
                <c:pt idx="6">
                  <c:v>0.94834904601439651</c:v>
                </c:pt>
                <c:pt idx="7">
                  <c:v>1.1499999999999999</c:v>
                </c:pt>
                <c:pt idx="8">
                  <c:v>0.75886517742532233</c:v>
                </c:pt>
                <c:pt idx="9">
                  <c:v>0.79594035067575142</c:v>
                </c:pt>
                <c:pt idx="10">
                  <c:v>0.74485294913001665</c:v>
                </c:pt>
                <c:pt idx="11">
                  <c:v>0.6530103550619234</c:v>
                </c:pt>
                <c:pt idx="12">
                  <c:v>0.80847542320680921</c:v>
                </c:pt>
                <c:pt idx="13">
                  <c:v>0.79580938790383526</c:v>
                </c:pt>
                <c:pt idx="14">
                  <c:v>0.35883297132157171</c:v>
                </c:pt>
                <c:pt idx="15">
                  <c:v>0.57305905290670989</c:v>
                </c:pt>
              </c:numCache>
            </c:numRef>
          </c:yVal>
          <c:smooth val="0"/>
          <c:extLst>
            <c:ext xmlns:c16="http://schemas.microsoft.com/office/drawing/2014/chart" uri="{C3380CC4-5D6E-409C-BE32-E72D297353CC}">
              <c16:uniqueId val="{00000022-9048-4DA8-9BD1-4D6F28CC8976}"/>
            </c:ext>
          </c:extLst>
        </c:ser>
        <c:ser>
          <c:idx val="32"/>
          <c:order val="33"/>
          <c:tx>
            <c:strRef>
              <c:f>PlantData!$C$37</c:f>
              <c:strCache>
                <c:ptCount val="1"/>
                <c:pt idx="0">
                  <c:v>SunE Ironwood</c:v>
                </c:pt>
              </c:strCache>
            </c:strRef>
          </c:tx>
          <c:spPr>
            <a:ln w="12700" cap="rnd">
              <a:noFill/>
              <a:prstDash val="sysDot"/>
              <a:round/>
            </a:ln>
            <a:effectLst/>
          </c:spPr>
          <c:marker>
            <c:symbol val="circle"/>
            <c:size val="5"/>
            <c:spPr>
              <a:solidFill>
                <a:schemeClr val="accent4">
                  <a:lumMod val="75000"/>
                </a:schemeClr>
              </a:solidFill>
              <a:ln w="9525">
                <a:solidFill>
                  <a:schemeClr val="accent3">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PlantData!$BB$37:$BQ$37</c:f>
              <c:numCache>
                <c:formatCode>0.00</c:formatCode>
                <c:ptCount val="16"/>
                <c:pt idx="0">
                  <c:v>0.9656169098269326</c:v>
                </c:pt>
                <c:pt idx="1">
                  <c:v>0.98439763565594796</c:v>
                </c:pt>
                <c:pt idx="2">
                  <c:v>1.0131794222687542</c:v>
                </c:pt>
                <c:pt idx="3">
                  <c:v>0.93081660194696814</c:v>
                </c:pt>
                <c:pt idx="4">
                  <c:v>0.86594345091956093</c:v>
                </c:pt>
                <c:pt idx="5">
                  <c:v>0.88028065726143223</c:v>
                </c:pt>
                <c:pt idx="6">
                  <c:v>0.8152247924334346</c:v>
                </c:pt>
                <c:pt idx="7">
                  <c:v>1.1499999999999999</c:v>
                </c:pt>
                <c:pt idx="8">
                  <c:v>0.63434402927210198</c:v>
                </c:pt>
                <c:pt idx="9">
                  <c:v>0.86793650170811398</c:v>
                </c:pt>
                <c:pt idx="10">
                  <c:v>0.70847137110967795</c:v>
                </c:pt>
                <c:pt idx="11">
                  <c:v>0.79316908483707849</c:v>
                </c:pt>
                <c:pt idx="12">
                  <c:v>0.68060477244317452</c:v>
                </c:pt>
                <c:pt idx="13">
                  <c:v>0.16990682711532482</c:v>
                </c:pt>
                <c:pt idx="14">
                  <c:v>0.50304072727966109</c:v>
                </c:pt>
                <c:pt idx="15">
                  <c:v>0.40219352703657463</c:v>
                </c:pt>
              </c:numCache>
            </c:numRef>
          </c:yVal>
          <c:smooth val="0"/>
          <c:extLst>
            <c:ext xmlns:c16="http://schemas.microsoft.com/office/drawing/2014/chart" uri="{C3380CC4-5D6E-409C-BE32-E72D297353CC}">
              <c16:uniqueId val="{00000023-9048-4DA8-9BD1-4D6F28CC8976}"/>
            </c:ext>
          </c:extLst>
        </c:ser>
        <c:ser>
          <c:idx val="33"/>
          <c:order val="34"/>
          <c:tx>
            <c:strRef>
              <c:f>PlantData!$C$38</c:f>
              <c:strCache>
                <c:ptCount val="1"/>
                <c:pt idx="0">
                  <c:v>SunE LV Sutton</c:v>
                </c:pt>
              </c:strCache>
            </c:strRef>
          </c:tx>
          <c:spPr>
            <a:ln w="12700" cap="rnd">
              <a:noFill/>
              <a:prstDash val="sysDot"/>
              <a:round/>
            </a:ln>
            <a:effectLst/>
          </c:spPr>
          <c:marker>
            <c:symbol val="circle"/>
            <c:size val="5"/>
            <c:spPr>
              <a:solidFill>
                <a:srgbClr val="00B0F0"/>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PlantData!$BB$38:$BQ$38</c:f>
              <c:numCache>
                <c:formatCode>0.00</c:formatCode>
                <c:ptCount val="16"/>
                <c:pt idx="0">
                  <c:v>0.73858934353616212</c:v>
                </c:pt>
                <c:pt idx="1">
                  <c:v>1.012182397477694</c:v>
                </c:pt>
                <c:pt idx="2">
                  <c:v>0.99487763332364265</c:v>
                </c:pt>
                <c:pt idx="3">
                  <c:v>0.95384687434543236</c:v>
                </c:pt>
                <c:pt idx="4">
                  <c:v>0.86508913981347091</c:v>
                </c:pt>
                <c:pt idx="5">
                  <c:v>0.99187031320707153</c:v>
                </c:pt>
                <c:pt idx="6">
                  <c:v>0.94649266173392566</c:v>
                </c:pt>
                <c:pt idx="7">
                  <c:v>0.63451380692185755</c:v>
                </c:pt>
                <c:pt idx="8">
                  <c:v>0.79660347189425884</c:v>
                </c:pt>
                <c:pt idx="9">
                  <c:v>0.49332961694120786</c:v>
                </c:pt>
                <c:pt idx="10">
                  <c:v>0.91957674591970195</c:v>
                </c:pt>
                <c:pt idx="11">
                  <c:v>0.77300409598418784</c:v>
                </c:pt>
                <c:pt idx="12">
                  <c:v>0.71161277991816496</c:v>
                </c:pt>
                <c:pt idx="13">
                  <c:v>0.17960378470749772</c:v>
                </c:pt>
                <c:pt idx="14">
                  <c:v>0.62312509784775627</c:v>
                </c:pt>
                <c:pt idx="15">
                  <c:v>0.60941861064662661</c:v>
                </c:pt>
              </c:numCache>
            </c:numRef>
          </c:yVal>
          <c:smooth val="0"/>
          <c:extLst>
            <c:ext xmlns:c16="http://schemas.microsoft.com/office/drawing/2014/chart" uri="{C3380CC4-5D6E-409C-BE32-E72D297353CC}">
              <c16:uniqueId val="{00000024-9048-4DA8-9BD1-4D6F28CC8976}"/>
            </c:ext>
          </c:extLst>
        </c:ser>
        <c:ser>
          <c:idx val="34"/>
          <c:order val="35"/>
          <c:tx>
            <c:strRef>
              <c:f>PlantData!$C$39</c:f>
              <c:strCache>
                <c:ptCount val="1"/>
                <c:pt idx="0">
                  <c:v>SunE Oxnard</c:v>
                </c:pt>
              </c:strCache>
            </c:strRef>
          </c:tx>
          <c:spPr>
            <a:ln w="12700" cap="rnd">
              <a:noFill/>
              <a:prstDash val="sysDot"/>
              <a:round/>
            </a:ln>
            <a:effectLst/>
          </c:spPr>
          <c:marker>
            <c:symbol val="circle"/>
            <c:size val="5"/>
            <c:spPr>
              <a:solidFill>
                <a:schemeClr val="accent1">
                  <a:lumMod val="20000"/>
                  <a:lumOff val="80000"/>
                </a:schemeClr>
              </a:solidFill>
              <a:ln w="9525">
                <a:solidFill>
                  <a:srgbClr val="7030A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PlantData!$BB$39:$BP$39</c:f>
              <c:numCache>
                <c:formatCode>0.00</c:formatCode>
                <c:ptCount val="15"/>
                <c:pt idx="0">
                  <c:v>0.91854737575688739</c:v>
                </c:pt>
                <c:pt idx="1">
                  <c:v>0.90430174171446775</c:v>
                </c:pt>
                <c:pt idx="2">
                  <c:v>0.90042097994709336</c:v>
                </c:pt>
                <c:pt idx="3">
                  <c:v>0.97268433462209158</c:v>
                </c:pt>
                <c:pt idx="4">
                  <c:v>1.0403325433045592</c:v>
                </c:pt>
                <c:pt idx="5">
                  <c:v>1.0279205232577342</c:v>
                </c:pt>
                <c:pt idx="6">
                  <c:v>0.98795895351482999</c:v>
                </c:pt>
                <c:pt idx="7">
                  <c:v>0.89249737002577545</c:v>
                </c:pt>
                <c:pt idx="8">
                  <c:v>0.88395894522338747</c:v>
                </c:pt>
                <c:pt idx="9">
                  <c:v>0.92221363192435368</c:v>
                </c:pt>
                <c:pt idx="10">
                  <c:v>0.97288880634142183</c:v>
                </c:pt>
                <c:pt idx="11">
                  <c:v>0.96951478471846708</c:v>
                </c:pt>
                <c:pt idx="12">
                  <c:v>1.1499999999999999</c:v>
                </c:pt>
                <c:pt idx="13">
                  <c:v>0.82070603557975963</c:v>
                </c:pt>
                <c:pt idx="14">
                  <c:v>0.91374408458381895</c:v>
                </c:pt>
              </c:numCache>
            </c:numRef>
          </c:yVal>
          <c:smooth val="0"/>
          <c:extLst>
            <c:ext xmlns:c16="http://schemas.microsoft.com/office/drawing/2014/chart" uri="{C3380CC4-5D6E-409C-BE32-E72D297353CC}">
              <c16:uniqueId val="{00000025-9048-4DA8-9BD1-4D6F28CC8976}"/>
            </c:ext>
          </c:extLst>
        </c:ser>
        <c:ser>
          <c:idx val="35"/>
          <c:order val="36"/>
          <c:tx>
            <c:strRef>
              <c:f>PlantData!$C$40</c:f>
              <c:strCache>
                <c:ptCount val="1"/>
                <c:pt idx="0">
                  <c:v>SunE Moreno Valley</c:v>
                </c:pt>
              </c:strCache>
            </c:strRef>
          </c:tx>
          <c:spPr>
            <a:ln w="12700" cap="rnd">
              <a:noFill/>
              <a:prstDash val="sysDot"/>
              <a:round/>
            </a:ln>
            <a:effectLst/>
          </c:spPr>
          <c:marker>
            <c:symbol val="circle"/>
            <c:size val="5"/>
            <c:spPr>
              <a:solidFill>
                <a:schemeClr val="bg1">
                  <a:lumMod val="85000"/>
                </a:schemeClr>
              </a:solidFill>
              <a:ln w="9525">
                <a:solidFill>
                  <a:schemeClr val="accent6">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PlantData!$BB$40:$BQ$40</c:f>
              <c:numCache>
                <c:formatCode>0.00</c:formatCode>
                <c:ptCount val="16"/>
                <c:pt idx="0">
                  <c:v>0.98211698311534656</c:v>
                </c:pt>
                <c:pt idx="1">
                  <c:v>0.96738984903151315</c:v>
                </c:pt>
                <c:pt idx="2">
                  <c:v>0.96484065406225494</c:v>
                </c:pt>
                <c:pt idx="3">
                  <c:v>0.96869607436849359</c:v>
                </c:pt>
                <c:pt idx="4">
                  <c:v>0.92565916097842127</c:v>
                </c:pt>
                <c:pt idx="5">
                  <c:v>0.92228647119116702</c:v>
                </c:pt>
                <c:pt idx="6">
                  <c:v>0.8971829887448538</c:v>
                </c:pt>
                <c:pt idx="7">
                  <c:v>0.47668070261922391</c:v>
                </c:pt>
                <c:pt idx="8">
                  <c:v>0.60635453229964453</c:v>
                </c:pt>
                <c:pt idx="9">
                  <c:v>0.86012089734626318</c:v>
                </c:pt>
                <c:pt idx="10">
                  <c:v>0.45613387338006839</c:v>
                </c:pt>
                <c:pt idx="11">
                  <c:v>0.75405134042424038</c:v>
                </c:pt>
                <c:pt idx="12">
                  <c:v>0.69239303907165195</c:v>
                </c:pt>
                <c:pt idx="13">
                  <c:v>0.56066538541390676</c:v>
                </c:pt>
                <c:pt idx="14">
                  <c:v>0.66054454791284978</c:v>
                </c:pt>
                <c:pt idx="15">
                  <c:v>0.47456511558712133</c:v>
                </c:pt>
              </c:numCache>
            </c:numRef>
          </c:yVal>
          <c:smooth val="0"/>
          <c:extLst>
            <c:ext xmlns:c16="http://schemas.microsoft.com/office/drawing/2014/chart" uri="{C3380CC4-5D6E-409C-BE32-E72D297353CC}">
              <c16:uniqueId val="{00000026-9048-4DA8-9BD1-4D6F28CC8976}"/>
            </c:ext>
          </c:extLst>
        </c:ser>
        <c:ser>
          <c:idx val="36"/>
          <c:order val="37"/>
          <c:tx>
            <c:strRef>
              <c:f>PlantData!$C$41</c:f>
              <c:strCache>
                <c:ptCount val="1"/>
                <c:pt idx="0">
                  <c:v>SunE Apple Valley</c:v>
                </c:pt>
              </c:strCache>
            </c:strRef>
          </c:tx>
          <c:spPr>
            <a:ln w="12700" cap="rnd">
              <a:noFill/>
              <a:prstDash val="sysDot"/>
              <a:round/>
            </a:ln>
            <a:effectLst/>
          </c:spPr>
          <c:marker>
            <c:symbol val="circle"/>
            <c:size val="5"/>
            <c:spPr>
              <a:solidFill>
                <a:srgbClr val="C00000"/>
              </a:solidFill>
              <a:ln w="9525">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PlantData!$BB$41:$BP$41</c:f>
              <c:numCache>
                <c:formatCode>0.00</c:formatCode>
                <c:ptCount val="15"/>
                <c:pt idx="0">
                  <c:v>0.93977223691069589</c:v>
                </c:pt>
                <c:pt idx="1">
                  <c:v>0.99042071870393844</c:v>
                </c:pt>
                <c:pt idx="2">
                  <c:v>0.9250275158503003</c:v>
                </c:pt>
                <c:pt idx="3">
                  <c:v>0.99583687928885189</c:v>
                </c:pt>
                <c:pt idx="4">
                  <c:v>0.98899455030001049</c:v>
                </c:pt>
                <c:pt idx="5">
                  <c:v>0.92252798374431078</c:v>
                </c:pt>
                <c:pt idx="6">
                  <c:v>0.92561981640879554</c:v>
                </c:pt>
                <c:pt idx="7">
                  <c:v>0.63156024539441125</c:v>
                </c:pt>
                <c:pt idx="8">
                  <c:v>0.90843367437246325</c:v>
                </c:pt>
                <c:pt idx="9">
                  <c:v>0.87616524506516613</c:v>
                </c:pt>
                <c:pt idx="10">
                  <c:v>0.90774125092151614</c:v>
                </c:pt>
                <c:pt idx="11">
                  <c:v>0.71598945831850047</c:v>
                </c:pt>
                <c:pt idx="12">
                  <c:v>0.86239108512963314</c:v>
                </c:pt>
                <c:pt idx="13">
                  <c:v>0.38738756582294059</c:v>
                </c:pt>
                <c:pt idx="14">
                  <c:v>0.28768143828453463</c:v>
                </c:pt>
              </c:numCache>
            </c:numRef>
          </c:yVal>
          <c:smooth val="0"/>
          <c:extLst>
            <c:ext xmlns:c16="http://schemas.microsoft.com/office/drawing/2014/chart" uri="{C3380CC4-5D6E-409C-BE32-E72D297353CC}">
              <c16:uniqueId val="{00000027-9048-4DA8-9BD1-4D6F28CC8976}"/>
            </c:ext>
          </c:extLst>
        </c:ser>
        <c:ser>
          <c:idx val="37"/>
          <c:order val="38"/>
          <c:tx>
            <c:strRef>
              <c:f>PlantData!$C$42</c:f>
              <c:strCache>
                <c:ptCount val="1"/>
                <c:pt idx="0">
                  <c:v>PG&amp;E Vaca-Dixon</c:v>
                </c:pt>
              </c:strCache>
            </c:strRef>
          </c:tx>
          <c:spPr>
            <a:ln w="12700" cap="rnd">
              <a:noFill/>
              <a:prstDash val="sysDot"/>
              <a:round/>
            </a:ln>
            <a:effectLst/>
          </c:spPr>
          <c:marker>
            <c:symbol val="circle"/>
            <c:size val="5"/>
            <c:spPr>
              <a:solidFill>
                <a:srgbClr val="92D050"/>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PlantData!$BB$42:$BP$42</c:f>
              <c:numCache>
                <c:formatCode>0.00</c:formatCode>
                <c:ptCount val="15"/>
                <c:pt idx="0">
                  <c:v>1.0062694940557826</c:v>
                </c:pt>
                <c:pt idx="1">
                  <c:v>1.0489883054979781</c:v>
                </c:pt>
                <c:pt idx="2">
                  <c:v>1.0241725630469876</c:v>
                </c:pt>
                <c:pt idx="3">
                  <c:v>1.1478335182813311</c:v>
                </c:pt>
                <c:pt idx="4">
                  <c:v>0.9940530675790421</c:v>
                </c:pt>
                <c:pt idx="5">
                  <c:v>1.0899380591411845</c:v>
                </c:pt>
                <c:pt idx="6">
                  <c:v>0.99713721198550742</c:v>
                </c:pt>
                <c:pt idx="7">
                  <c:v>0.8543634722665544</c:v>
                </c:pt>
                <c:pt idx="8">
                  <c:v>1.0174357426774554</c:v>
                </c:pt>
                <c:pt idx="9">
                  <c:v>0.77250283686569932</c:v>
                </c:pt>
                <c:pt idx="10">
                  <c:v>0.90393007756490251</c:v>
                </c:pt>
                <c:pt idx="11">
                  <c:v>0.78510904056697117</c:v>
                </c:pt>
                <c:pt idx="12">
                  <c:v>1.0053873404768534</c:v>
                </c:pt>
                <c:pt idx="13">
                  <c:v>0.95223863099589123</c:v>
                </c:pt>
                <c:pt idx="14">
                  <c:v>0.83539876054712958</c:v>
                </c:pt>
              </c:numCache>
            </c:numRef>
          </c:yVal>
          <c:smooth val="0"/>
          <c:extLst>
            <c:ext xmlns:c16="http://schemas.microsoft.com/office/drawing/2014/chart" uri="{C3380CC4-5D6E-409C-BE32-E72D297353CC}">
              <c16:uniqueId val="{00000028-9048-4DA8-9BD1-4D6F28CC8976}"/>
            </c:ext>
          </c:extLst>
        </c:ser>
        <c:ser>
          <c:idx val="38"/>
          <c:order val="39"/>
          <c:tx>
            <c:strRef>
              <c:f>PlantData!$C$43</c:f>
              <c:strCache>
                <c:ptCount val="1"/>
                <c:pt idx="0">
                  <c:v>WWRF Rifle SunE</c:v>
                </c:pt>
              </c:strCache>
            </c:strRef>
          </c:tx>
          <c:spPr>
            <a:ln w="12700" cap="rnd">
              <a:noFill/>
              <a:prstDash val="sysDot"/>
              <a:round/>
            </a:ln>
            <a:effectLst/>
          </c:spPr>
          <c:marker>
            <c:symbol val="circle"/>
            <c:size val="5"/>
            <c:spPr>
              <a:solidFill>
                <a:schemeClr val="accent3">
                  <a:lumMod val="70000"/>
                  <a:lumOff val="30000"/>
                </a:schemeClr>
              </a:solidFill>
              <a:ln w="9525">
                <a:solidFill>
                  <a:schemeClr val="tx2">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PlantData!$BB$43:$BP$43</c:f>
              <c:numCache>
                <c:formatCode>0.00</c:formatCode>
                <c:ptCount val="15"/>
                <c:pt idx="0">
                  <c:v>0.72795568268795274</c:v>
                </c:pt>
                <c:pt idx="1">
                  <c:v>0.6982624985703102</c:v>
                </c:pt>
                <c:pt idx="2">
                  <c:v>0.7492170473836266</c:v>
                </c:pt>
                <c:pt idx="3">
                  <c:v>0.69319889062671813</c:v>
                </c:pt>
                <c:pt idx="4">
                  <c:v>0.70884205484411533</c:v>
                </c:pt>
                <c:pt idx="5">
                  <c:v>0</c:v>
                </c:pt>
                <c:pt idx="6">
                  <c:v>0.71791062552299512</c:v>
                </c:pt>
                <c:pt idx="7">
                  <c:v>0.67988751105210499</c:v>
                </c:pt>
                <c:pt idx="8">
                  <c:v>0.72003557578359256</c:v>
                </c:pt>
                <c:pt idx="9">
                  <c:v>0.69725025877183422</c:v>
                </c:pt>
                <c:pt idx="10">
                  <c:v>0.67421776134174127</c:v>
                </c:pt>
                <c:pt idx="11">
                  <c:v>0.49165930337965585</c:v>
                </c:pt>
                <c:pt idx="12">
                  <c:v>0.51721086004770356</c:v>
                </c:pt>
                <c:pt idx="13">
                  <c:v>0.24992779722402747</c:v>
                </c:pt>
                <c:pt idx="14">
                  <c:v>0.42590931452032882</c:v>
                </c:pt>
              </c:numCache>
            </c:numRef>
          </c:yVal>
          <c:smooth val="0"/>
          <c:extLst>
            <c:ext xmlns:c16="http://schemas.microsoft.com/office/drawing/2014/chart" uri="{C3380CC4-5D6E-409C-BE32-E72D297353CC}">
              <c16:uniqueId val="{00000029-9048-4DA8-9BD1-4D6F28CC8976}"/>
            </c:ext>
          </c:extLst>
        </c:ser>
        <c:ser>
          <c:idx val="39"/>
          <c:order val="40"/>
          <c:tx>
            <c:strRef>
              <c:f>PlantData!$C$44</c:f>
              <c:strCache>
                <c:ptCount val="1"/>
                <c:pt idx="0">
                  <c:v>Woodland Walgreens SunE</c:v>
                </c:pt>
              </c:strCache>
            </c:strRef>
          </c:tx>
          <c:spPr>
            <a:ln w="12700" cap="rnd">
              <a:noFill/>
              <a:prstDash val="sysDot"/>
              <a:round/>
            </a:ln>
            <a:effectLst/>
          </c:spPr>
          <c:marker>
            <c:symbol val="circle"/>
            <c:size val="5"/>
            <c:spPr>
              <a:solidFill>
                <a:schemeClr val="accent4">
                  <a:lumMod val="70000"/>
                  <a:lumOff val="30000"/>
                </a:schemeClr>
              </a:solidFill>
              <a:ln w="9525">
                <a:solidFill>
                  <a:schemeClr val="tx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PlantData!$BB$44:$BQ$44</c:f>
              <c:numCache>
                <c:formatCode>0.00</c:formatCode>
                <c:ptCount val="16"/>
                <c:pt idx="0">
                  <c:v>1.0082735992674154</c:v>
                </c:pt>
                <c:pt idx="1">
                  <c:v>0.94634724755361543</c:v>
                </c:pt>
                <c:pt idx="2">
                  <c:v>0.98052414362736684</c:v>
                </c:pt>
                <c:pt idx="3">
                  <c:v>0.9416661970248934</c:v>
                </c:pt>
                <c:pt idx="4">
                  <c:v>0.88239058104922885</c:v>
                </c:pt>
                <c:pt idx="5">
                  <c:v>0.91094817451511245</c:v>
                </c:pt>
                <c:pt idx="6">
                  <c:v>0.84856426935257312</c:v>
                </c:pt>
                <c:pt idx="7">
                  <c:v>0.26687147567920122</c:v>
                </c:pt>
                <c:pt idx="8">
                  <c:v>0.38482668548890714</c:v>
                </c:pt>
                <c:pt idx="9">
                  <c:v>0.4875526150856872</c:v>
                </c:pt>
                <c:pt idx="10">
                  <c:v>0.92405543712485883</c:v>
                </c:pt>
                <c:pt idx="11">
                  <c:v>0.79670411866218294</c:v>
                </c:pt>
                <c:pt idx="12">
                  <c:v>0.70612183417235574</c:v>
                </c:pt>
                <c:pt idx="13">
                  <c:v>0.60444528823413757</c:v>
                </c:pt>
                <c:pt idx="14">
                  <c:v>0.46567665069308617</c:v>
                </c:pt>
                <c:pt idx="15">
                  <c:v>0.54833444490753414</c:v>
                </c:pt>
              </c:numCache>
            </c:numRef>
          </c:yVal>
          <c:smooth val="0"/>
          <c:extLst>
            <c:ext xmlns:c16="http://schemas.microsoft.com/office/drawing/2014/chart" uri="{C3380CC4-5D6E-409C-BE32-E72D297353CC}">
              <c16:uniqueId val="{0000002A-9048-4DA8-9BD1-4D6F28CC8976}"/>
            </c:ext>
          </c:extLst>
        </c:ser>
        <c:ser>
          <c:idx val="40"/>
          <c:order val="41"/>
          <c:tx>
            <c:strRef>
              <c:f>PlantData!$C$45</c:f>
              <c:strCache>
                <c:ptCount val="1"/>
                <c:pt idx="0">
                  <c:v>Bayville Central</c:v>
                </c:pt>
              </c:strCache>
            </c:strRef>
          </c:tx>
          <c:spPr>
            <a:ln w="12700" cap="rnd">
              <a:noFill/>
              <a:prstDash val="sysDot"/>
              <a:round/>
            </a:ln>
            <a:effectLst/>
          </c:spPr>
          <c:marker>
            <c:symbol val="circle"/>
            <c:size val="5"/>
            <c:spPr>
              <a:solidFill>
                <a:schemeClr val="accent5">
                  <a:lumMod val="70000"/>
                  <a:lumOff val="30000"/>
                </a:schemeClr>
              </a:solidFill>
              <a:ln w="9525">
                <a:solidFill>
                  <a:schemeClr val="tx1"/>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PlantData!$BB$45:$BP$45</c:f>
              <c:numCache>
                <c:formatCode>0.00</c:formatCode>
                <c:ptCount val="15"/>
                <c:pt idx="0">
                  <c:v>0.60088389615911775</c:v>
                </c:pt>
                <c:pt idx="1">
                  <c:v>0.63729899368009613</c:v>
                </c:pt>
                <c:pt idx="2">
                  <c:v>0.69084659734912002</c:v>
                </c:pt>
                <c:pt idx="3">
                  <c:v>0.67464115461432184</c:v>
                </c:pt>
                <c:pt idx="4">
                  <c:v>0.70345748533905417</c:v>
                </c:pt>
                <c:pt idx="5">
                  <c:v>0.78933293343931321</c:v>
                </c:pt>
                <c:pt idx="6">
                  <c:v>0.83895695177744145</c:v>
                </c:pt>
                <c:pt idx="7">
                  <c:v>0.66822879624019371</c:v>
                </c:pt>
                <c:pt idx="8">
                  <c:v>0.62546918620623304</c:v>
                </c:pt>
                <c:pt idx="9">
                  <c:v>0.26361158763757592</c:v>
                </c:pt>
                <c:pt idx="10">
                  <c:v>0.27949320683866907</c:v>
                </c:pt>
                <c:pt idx="11">
                  <c:v>0.6993182206285794</c:v>
                </c:pt>
                <c:pt idx="12">
                  <c:v>0.64107723595816024</c:v>
                </c:pt>
                <c:pt idx="13">
                  <c:v>0.54676727053736407</c:v>
                </c:pt>
                <c:pt idx="14">
                  <c:v>0.51387063861449944</c:v>
                </c:pt>
              </c:numCache>
            </c:numRef>
          </c:yVal>
          <c:smooth val="0"/>
          <c:extLst>
            <c:ext xmlns:c16="http://schemas.microsoft.com/office/drawing/2014/chart" uri="{C3380CC4-5D6E-409C-BE32-E72D297353CC}">
              <c16:uniqueId val="{0000002B-9048-4DA8-9BD1-4D6F28CC8976}"/>
            </c:ext>
          </c:extLst>
        </c:ser>
        <c:ser>
          <c:idx val="41"/>
          <c:order val="42"/>
          <c:tx>
            <c:strRef>
              <c:f>PlantData!$C$46</c:f>
              <c:strCache>
                <c:ptCount val="1"/>
                <c:pt idx="0">
                  <c:v>Blue Wing</c:v>
                </c:pt>
              </c:strCache>
            </c:strRef>
          </c:tx>
          <c:spPr>
            <a:ln w="12700" cap="rnd">
              <a:noFill/>
              <a:prstDash val="sysDot"/>
              <a:round/>
            </a:ln>
            <a:effectLst/>
          </c:spPr>
          <c:marker>
            <c:symbol val="circle"/>
            <c:size val="5"/>
            <c:spPr>
              <a:solidFill>
                <a:schemeClr val="accent6">
                  <a:lumMod val="70000"/>
                  <a:lumOff val="3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PlantData!$BB$46:$BO$46</c:f>
              <c:numCache>
                <c:formatCode>0.00</c:formatCode>
                <c:ptCount val="14"/>
                <c:pt idx="0">
                  <c:v>1.1083968567034146</c:v>
                </c:pt>
                <c:pt idx="1">
                  <c:v>0.97992816875779154</c:v>
                </c:pt>
                <c:pt idx="2">
                  <c:v>0.92601851242217381</c:v>
                </c:pt>
                <c:pt idx="3">
                  <c:v>0.90918092641362525</c:v>
                </c:pt>
                <c:pt idx="4">
                  <c:v>0.86747187266790426</c:v>
                </c:pt>
                <c:pt idx="5">
                  <c:v>0.91996845039011599</c:v>
                </c:pt>
                <c:pt idx="6">
                  <c:v>0.90113960225223599</c:v>
                </c:pt>
                <c:pt idx="7">
                  <c:v>0.87364047070296547</c:v>
                </c:pt>
                <c:pt idx="8">
                  <c:v>0.8748883256501041</c:v>
                </c:pt>
                <c:pt idx="9">
                  <c:v>0.82766214703574648</c:v>
                </c:pt>
                <c:pt idx="10">
                  <c:v>0.80756895573019305</c:v>
                </c:pt>
                <c:pt idx="11">
                  <c:v>0.87186727587407886</c:v>
                </c:pt>
                <c:pt idx="12">
                  <c:v>0.73107708607167554</c:v>
                </c:pt>
                <c:pt idx="13">
                  <c:v>0.7881211717304405</c:v>
                </c:pt>
              </c:numCache>
            </c:numRef>
          </c:yVal>
          <c:smooth val="0"/>
          <c:extLst>
            <c:ext xmlns:c16="http://schemas.microsoft.com/office/drawing/2014/chart" uri="{C3380CC4-5D6E-409C-BE32-E72D297353CC}">
              <c16:uniqueId val="{0000002C-9048-4DA8-9BD1-4D6F28CC8976}"/>
            </c:ext>
          </c:extLst>
        </c:ser>
        <c:ser>
          <c:idx val="42"/>
          <c:order val="43"/>
          <c:tx>
            <c:strRef>
              <c:f>PlantData!$C$47</c:f>
              <c:strCache>
                <c:ptCount val="1"/>
                <c:pt idx="0">
                  <c:v>Copper Mtn 48 (FS)</c:v>
                </c:pt>
              </c:strCache>
            </c:strRef>
          </c:tx>
          <c:spPr>
            <a:ln w="12700" cap="rnd">
              <a:noFill/>
              <a:prstDash val="sysDot"/>
              <a:round/>
            </a:ln>
            <a:effectLst/>
          </c:spPr>
          <c:marker>
            <c:symbol val="circle"/>
            <c:size val="5"/>
            <c:spPr>
              <a:solidFill>
                <a:srgbClr val="FFFF00"/>
              </a:solidFill>
              <a:ln w="9525">
                <a:solidFill>
                  <a:schemeClr val="accent1">
                    <a:lumMod val="7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PlantData!$BB$47:$BO$47</c:f>
              <c:numCache>
                <c:formatCode>0.00</c:formatCode>
                <c:ptCount val="14"/>
                <c:pt idx="0">
                  <c:v>0.97165879043566761</c:v>
                </c:pt>
                <c:pt idx="1">
                  <c:v>0.96148357582371002</c:v>
                </c:pt>
                <c:pt idx="2">
                  <c:v>0.95607772301713589</c:v>
                </c:pt>
                <c:pt idx="3">
                  <c:v>0.94449479836366101</c:v>
                </c:pt>
                <c:pt idx="4">
                  <c:v>0.93529453024088649</c:v>
                </c:pt>
                <c:pt idx="5">
                  <c:v>0.90638243280350661</c:v>
                </c:pt>
                <c:pt idx="6">
                  <c:v>0.93793409498424662</c:v>
                </c:pt>
                <c:pt idx="7">
                  <c:v>0.93334231717355631</c:v>
                </c:pt>
                <c:pt idx="8">
                  <c:v>0.91714778856873069</c:v>
                </c:pt>
                <c:pt idx="9">
                  <c:v>0.94358353823039987</c:v>
                </c:pt>
                <c:pt idx="10">
                  <c:v>0.8920746764747528</c:v>
                </c:pt>
                <c:pt idx="11">
                  <c:v>0.9322411065574655</c:v>
                </c:pt>
                <c:pt idx="12">
                  <c:v>0.89080530327192908</c:v>
                </c:pt>
                <c:pt idx="13">
                  <c:v>0.90560033005345164</c:v>
                </c:pt>
              </c:numCache>
            </c:numRef>
          </c:yVal>
          <c:smooth val="0"/>
          <c:extLst>
            <c:ext xmlns:c16="http://schemas.microsoft.com/office/drawing/2014/chart" uri="{C3380CC4-5D6E-409C-BE32-E72D297353CC}">
              <c16:uniqueId val="{0000002D-9048-4DA8-9BD1-4D6F28CC8976}"/>
            </c:ext>
          </c:extLst>
        </c:ser>
        <c:ser>
          <c:idx val="43"/>
          <c:order val="44"/>
          <c:tx>
            <c:strRef>
              <c:f>PlantData!$C$48</c:f>
              <c:strCache>
                <c:ptCount val="1"/>
                <c:pt idx="0">
                  <c:v>CalRenew-1</c:v>
                </c:pt>
              </c:strCache>
            </c:strRef>
          </c:tx>
          <c:spPr>
            <a:ln w="12700" cap="rnd">
              <a:noFill/>
              <a:prstDash val="sysDot"/>
              <a:round/>
            </a:ln>
            <a:effectLst/>
          </c:spPr>
          <c:marker>
            <c:symbol val="circle"/>
            <c:size val="5"/>
            <c:spPr>
              <a:solidFill>
                <a:srgbClr val="00B0F0"/>
              </a:solidFill>
              <a:ln w="9525">
                <a:solidFill>
                  <a:srgbClr val="FF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PlantData!$BB$48:$BO$48</c:f>
              <c:numCache>
                <c:formatCode>0.00</c:formatCode>
                <c:ptCount val="14"/>
                <c:pt idx="0">
                  <c:v>0.95321386182506673</c:v>
                </c:pt>
                <c:pt idx="1">
                  <c:v>1.0152690065278398</c:v>
                </c:pt>
                <c:pt idx="2">
                  <c:v>1.0503645834065614</c:v>
                </c:pt>
                <c:pt idx="3">
                  <c:v>1.0198218013017404</c:v>
                </c:pt>
                <c:pt idx="4">
                  <c:v>1.0018311370922006</c:v>
                </c:pt>
                <c:pt idx="5">
                  <c:v>0.9251101635727792</c:v>
                </c:pt>
                <c:pt idx="6">
                  <c:v>0.9761574872763642</c:v>
                </c:pt>
                <c:pt idx="7">
                  <c:v>0.98405841288974849</c:v>
                </c:pt>
                <c:pt idx="8">
                  <c:v>0.89958668157058308</c:v>
                </c:pt>
                <c:pt idx="9">
                  <c:v>0.92589293374704318</c:v>
                </c:pt>
                <c:pt idx="10">
                  <c:v>0.53399940606950036</c:v>
                </c:pt>
                <c:pt idx="11">
                  <c:v>0.86380668796970694</c:v>
                </c:pt>
                <c:pt idx="12">
                  <c:v>0.64770616949547422</c:v>
                </c:pt>
                <c:pt idx="13">
                  <c:v>0.13727188425640097</c:v>
                </c:pt>
              </c:numCache>
            </c:numRef>
          </c:yVal>
          <c:smooth val="0"/>
          <c:extLst>
            <c:ext xmlns:c16="http://schemas.microsoft.com/office/drawing/2014/chart" uri="{C3380CC4-5D6E-409C-BE32-E72D297353CC}">
              <c16:uniqueId val="{0000002E-9048-4DA8-9BD1-4D6F28CC8976}"/>
            </c:ext>
          </c:extLst>
        </c:ser>
        <c:ser>
          <c:idx val="44"/>
          <c:order val="45"/>
          <c:tx>
            <c:strRef>
              <c:f>PlantData!$C$49</c:f>
              <c:strCache>
                <c:ptCount val="1"/>
                <c:pt idx="0">
                  <c:v>Carson</c:v>
                </c:pt>
              </c:strCache>
            </c:strRef>
          </c:tx>
          <c:spPr>
            <a:ln w="12700" cap="rnd">
              <a:noFill/>
              <a:prstDash val="sysDot"/>
              <a:round/>
            </a:ln>
            <a:effectLst/>
          </c:spPr>
          <c:marker>
            <c:symbol val="circle"/>
            <c:size val="5"/>
            <c:spPr>
              <a:solidFill>
                <a:srgbClr val="C00000"/>
              </a:solidFill>
              <a:ln w="9525">
                <a:solidFill>
                  <a:srgbClr val="00B05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PlantData!$BB$49:$BP$49</c:f>
              <c:numCache>
                <c:formatCode>0.00</c:formatCode>
                <c:ptCount val="15"/>
                <c:pt idx="0">
                  <c:v>0.92319639436578449</c:v>
                </c:pt>
                <c:pt idx="1">
                  <c:v>0.95502601211107963</c:v>
                </c:pt>
                <c:pt idx="2">
                  <c:v>0.95552649674787249</c:v>
                </c:pt>
                <c:pt idx="3">
                  <c:v>0.77178042150548021</c:v>
                </c:pt>
                <c:pt idx="4">
                  <c:v>0.65439419784912689</c:v>
                </c:pt>
                <c:pt idx="5">
                  <c:v>0.75150368478136886</c:v>
                </c:pt>
                <c:pt idx="6">
                  <c:v>0.84424712966982951</c:v>
                </c:pt>
                <c:pt idx="7">
                  <c:v>0.68918133034271789</c:v>
                </c:pt>
                <c:pt idx="8">
                  <c:v>0.52051178157290379</c:v>
                </c:pt>
                <c:pt idx="9">
                  <c:v>0</c:v>
                </c:pt>
                <c:pt idx="10">
                  <c:v>0.73094494141814204</c:v>
                </c:pt>
                <c:pt idx="11">
                  <c:v>1.0683601106348271</c:v>
                </c:pt>
                <c:pt idx="12">
                  <c:v>0.95621905308271904</c:v>
                </c:pt>
                <c:pt idx="13">
                  <c:v>0.97724672921839095</c:v>
                </c:pt>
                <c:pt idx="14">
                  <c:v>1.0268306840673196</c:v>
                </c:pt>
              </c:numCache>
            </c:numRef>
          </c:yVal>
          <c:smooth val="0"/>
          <c:extLst>
            <c:ext xmlns:c16="http://schemas.microsoft.com/office/drawing/2014/chart" uri="{C3380CC4-5D6E-409C-BE32-E72D297353CC}">
              <c16:uniqueId val="{0000002F-9048-4DA8-9BD1-4D6F28CC8976}"/>
            </c:ext>
          </c:extLst>
        </c:ser>
        <c:ser>
          <c:idx val="45"/>
          <c:order val="46"/>
          <c:tx>
            <c:strRef>
              <c:f>PlantData!$C$51</c:f>
              <c:strCache>
                <c:ptCount val="1"/>
                <c:pt idx="0">
                  <c:v>Crayola</c:v>
                </c:pt>
              </c:strCache>
            </c:strRef>
          </c:tx>
          <c:spPr>
            <a:ln w="12700" cap="rnd">
              <a:noFill/>
              <a:prstDash val="sysDot"/>
              <a:round/>
            </a:ln>
            <a:effectLst/>
          </c:spPr>
          <c:marker>
            <c:symbol val="circle"/>
            <c:size val="5"/>
            <c:spPr>
              <a:solidFill>
                <a:srgbClr val="7030A0"/>
              </a:solidFill>
              <a:ln w="9525">
                <a:solidFill>
                  <a:schemeClr val="accent4"/>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PlantData!$BB$51:$BN$51</c:f>
              <c:numCache>
                <c:formatCode>0.00</c:formatCode>
                <c:ptCount val="13"/>
                <c:pt idx="0">
                  <c:v>0.61298497621163872</c:v>
                </c:pt>
                <c:pt idx="1">
                  <c:v>0.732174628169311</c:v>
                </c:pt>
                <c:pt idx="2">
                  <c:v>0.76441162670687357</c:v>
                </c:pt>
                <c:pt idx="3">
                  <c:v>1.0889149674740692</c:v>
                </c:pt>
                <c:pt idx="4">
                  <c:v>0.66021295722960494</c:v>
                </c:pt>
                <c:pt idx="5">
                  <c:v>0.63978846038394932</c:v>
                </c:pt>
                <c:pt idx="6">
                  <c:v>0.66636258848877894</c:v>
                </c:pt>
                <c:pt idx="7">
                  <c:v>0.67299280454707944</c:v>
                </c:pt>
                <c:pt idx="8">
                  <c:v>0.63552834517314027</c:v>
                </c:pt>
                <c:pt idx="9">
                  <c:v>0.71241083517939152</c:v>
                </c:pt>
                <c:pt idx="10">
                  <c:v>0.69420867850381884</c:v>
                </c:pt>
                <c:pt idx="11">
                  <c:v>0.67683578731903749</c:v>
                </c:pt>
                <c:pt idx="12">
                  <c:v>0.60569045468076588</c:v>
                </c:pt>
              </c:numCache>
            </c:numRef>
          </c:yVal>
          <c:smooth val="0"/>
          <c:extLst>
            <c:ext xmlns:c16="http://schemas.microsoft.com/office/drawing/2014/chart" uri="{C3380CC4-5D6E-409C-BE32-E72D297353CC}">
              <c16:uniqueId val="{00000030-9048-4DA8-9BD1-4D6F28CC8976}"/>
            </c:ext>
          </c:extLst>
        </c:ser>
        <c:ser>
          <c:idx val="46"/>
          <c:order val="47"/>
          <c:tx>
            <c:strRef>
              <c:f>PlantData!$C$52</c:f>
              <c:strCache>
                <c:ptCount val="1"/>
                <c:pt idx="0">
                  <c:v>Duke Egy 10240</c:v>
                </c:pt>
              </c:strCache>
            </c:strRef>
          </c:tx>
          <c:spPr>
            <a:ln w="12700" cap="rnd">
              <a:noFill/>
              <a:prstDash val="sysDot"/>
              <a:round/>
            </a:ln>
            <a:effectLst/>
          </c:spPr>
          <c:marker>
            <c:symbol val="circle"/>
            <c:size val="5"/>
            <c:spPr>
              <a:solidFill>
                <a:srgbClr val="00B0F0"/>
              </a:solidFill>
              <a:ln w="9525">
                <a:solidFill>
                  <a:schemeClr val="bg2">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PlantData!$BB$52:$BO$52</c:f>
              <c:numCache>
                <c:formatCode>0.00</c:formatCode>
                <c:ptCount val="14"/>
                <c:pt idx="0">
                  <c:v>0.87200367460427863</c:v>
                </c:pt>
                <c:pt idx="1">
                  <c:v>0.97539867500064092</c:v>
                </c:pt>
                <c:pt idx="2">
                  <c:v>0.9341603010757118</c:v>
                </c:pt>
                <c:pt idx="3">
                  <c:v>0.93850851623296372</c:v>
                </c:pt>
                <c:pt idx="4">
                  <c:v>0.86149241588067593</c:v>
                </c:pt>
                <c:pt idx="5">
                  <c:v>0.88819236625306475</c:v>
                </c:pt>
                <c:pt idx="6">
                  <c:v>0.69487322501866366</c:v>
                </c:pt>
                <c:pt idx="7">
                  <c:v>0.58644304777476886</c:v>
                </c:pt>
                <c:pt idx="8">
                  <c:v>0.71322931698061975</c:v>
                </c:pt>
                <c:pt idx="9">
                  <c:v>0.71431701888156274</c:v>
                </c:pt>
                <c:pt idx="10">
                  <c:v>0.7408451533896091</c:v>
                </c:pt>
                <c:pt idx="11">
                  <c:v>0.52123361702307602</c:v>
                </c:pt>
                <c:pt idx="12">
                  <c:v>0.55534921915270785</c:v>
                </c:pt>
              </c:numCache>
            </c:numRef>
          </c:yVal>
          <c:smooth val="0"/>
          <c:extLst>
            <c:ext xmlns:c16="http://schemas.microsoft.com/office/drawing/2014/chart" uri="{C3380CC4-5D6E-409C-BE32-E72D297353CC}">
              <c16:uniqueId val="{00000031-9048-4DA8-9BD1-4D6F28CC8976}"/>
            </c:ext>
          </c:extLst>
        </c:ser>
        <c:ser>
          <c:idx val="47"/>
          <c:order val="48"/>
          <c:tx>
            <c:strRef>
              <c:f>PlantData!$C$53</c:f>
              <c:strCache>
                <c:ptCount val="1"/>
                <c:pt idx="0">
                  <c:v>Duke Egy 1725</c:v>
                </c:pt>
              </c:strCache>
            </c:strRef>
          </c:tx>
          <c:spPr>
            <a:ln w="12700" cap="rnd">
              <a:noFill/>
              <a:prstDash val="sysDot"/>
              <a:round/>
            </a:ln>
            <a:effectLst/>
          </c:spPr>
          <c:marker>
            <c:symbol val="circle"/>
            <c:size val="5"/>
            <c:spPr>
              <a:solidFill>
                <a:srgbClr val="FFC000"/>
              </a:solidFill>
              <a:ln w="9525">
                <a:solidFill>
                  <a:schemeClr val="accent6">
                    <a:lumMod val="7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PlantData!$BB$53:$BP$53</c:f>
              <c:numCache>
                <c:formatCode>0.00</c:formatCode>
                <c:ptCount val="15"/>
                <c:pt idx="0">
                  <c:v>0.94088885461924987</c:v>
                </c:pt>
                <c:pt idx="1">
                  <c:v>0.23257892358577023</c:v>
                </c:pt>
                <c:pt idx="2">
                  <c:v>0.28787869938677724</c:v>
                </c:pt>
                <c:pt idx="3">
                  <c:v>0.95390807274362688</c:v>
                </c:pt>
                <c:pt idx="4">
                  <c:v>0.95994422689526926</c:v>
                </c:pt>
                <c:pt idx="5">
                  <c:v>0.96476806723142627</c:v>
                </c:pt>
                <c:pt idx="6">
                  <c:v>1.0455537233140173</c:v>
                </c:pt>
                <c:pt idx="7">
                  <c:v>0.97511932787796796</c:v>
                </c:pt>
                <c:pt idx="8">
                  <c:v>0.87479094857963535</c:v>
                </c:pt>
                <c:pt idx="9">
                  <c:v>0.81930024023990322</c:v>
                </c:pt>
                <c:pt idx="10">
                  <c:v>0.84326642262318785</c:v>
                </c:pt>
                <c:pt idx="11">
                  <c:v>0.52381792639375691</c:v>
                </c:pt>
                <c:pt idx="12">
                  <c:v>0.6305760722950291</c:v>
                </c:pt>
                <c:pt idx="13">
                  <c:v>0.5173957516266906</c:v>
                </c:pt>
                <c:pt idx="14">
                  <c:v>0.58924139285280019</c:v>
                </c:pt>
              </c:numCache>
            </c:numRef>
          </c:yVal>
          <c:smooth val="0"/>
          <c:extLst>
            <c:ext xmlns:c16="http://schemas.microsoft.com/office/drawing/2014/chart" uri="{C3380CC4-5D6E-409C-BE32-E72D297353CC}">
              <c16:uniqueId val="{00000032-9048-4DA8-9BD1-4D6F28CC8976}"/>
            </c:ext>
          </c:extLst>
        </c:ser>
        <c:ser>
          <c:idx val="48"/>
          <c:order val="49"/>
          <c:tx>
            <c:strRef>
              <c:f>PlantData!$C$54</c:f>
              <c:strCache>
                <c:ptCount val="1"/>
                <c:pt idx="0">
                  <c:v>Duke Egy 657</c:v>
                </c:pt>
              </c:strCache>
            </c:strRef>
          </c:tx>
          <c:spPr>
            <a:ln w="12700" cap="rnd">
              <a:noFill/>
              <a:prstDash val="sysDot"/>
              <a:round/>
            </a:ln>
            <a:effectLst/>
          </c:spPr>
          <c:marker>
            <c:symbol val="circle"/>
            <c:size val="5"/>
            <c:spPr>
              <a:solidFill>
                <a:schemeClr val="accent1">
                  <a:lumMod val="50000"/>
                  <a:lumOff val="50000"/>
                </a:schemeClr>
              </a:solidFill>
              <a:ln w="9525">
                <a:solidFill>
                  <a:schemeClr val="accent2">
                    <a:lumMod val="75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PlantData!$BB$54:$BP$54</c:f>
              <c:numCache>
                <c:formatCode>0.00</c:formatCode>
                <c:ptCount val="15"/>
                <c:pt idx="0">
                  <c:v>1.0054821415569357</c:v>
                </c:pt>
                <c:pt idx="1">
                  <c:v>0.9862247799759648</c:v>
                </c:pt>
                <c:pt idx="2">
                  <c:v>0.81680186814158751</c:v>
                </c:pt>
                <c:pt idx="3">
                  <c:v>0.91238570573000377</c:v>
                </c:pt>
                <c:pt idx="4">
                  <c:v>0.99971565905420912</c:v>
                </c:pt>
                <c:pt idx="5">
                  <c:v>0.97264216440791484</c:v>
                </c:pt>
                <c:pt idx="6">
                  <c:v>0.90128248802421862</c:v>
                </c:pt>
                <c:pt idx="7">
                  <c:v>0.74174372781290954</c:v>
                </c:pt>
                <c:pt idx="8">
                  <c:v>0.66697445923341259</c:v>
                </c:pt>
                <c:pt idx="9">
                  <c:v>0.42422561560174504</c:v>
                </c:pt>
                <c:pt idx="10">
                  <c:v>0.40391753931930235</c:v>
                </c:pt>
                <c:pt idx="11">
                  <c:v>0.21450053580080825</c:v>
                </c:pt>
              </c:numCache>
            </c:numRef>
          </c:yVal>
          <c:smooth val="0"/>
          <c:extLst>
            <c:ext xmlns:c16="http://schemas.microsoft.com/office/drawing/2014/chart" uri="{C3380CC4-5D6E-409C-BE32-E72D297353CC}">
              <c16:uniqueId val="{00000033-9048-4DA8-9BD1-4D6F28CC8976}"/>
            </c:ext>
          </c:extLst>
        </c:ser>
        <c:ser>
          <c:idx val="49"/>
          <c:order val="50"/>
          <c:tx>
            <c:strRef>
              <c:f>PlantData!$C$55</c:f>
              <c:strCache>
                <c:ptCount val="1"/>
                <c:pt idx="0">
                  <c:v>Dow Jones</c:v>
                </c:pt>
              </c:strCache>
            </c:strRef>
          </c:tx>
          <c:spPr>
            <a:ln w="12700" cap="rnd">
              <a:noFill/>
              <a:prstDash val="sysDot"/>
              <a:round/>
            </a:ln>
            <a:effectLst/>
          </c:spPr>
          <c:marker>
            <c:symbol val="circle"/>
            <c:size val="5"/>
            <c:spPr>
              <a:solidFill>
                <a:schemeClr val="accent2">
                  <a:lumMod val="50000"/>
                  <a:lumOff val="5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PlantData!$BB$55:$BO$55</c:f>
              <c:numCache>
                <c:formatCode>0.00</c:formatCode>
                <c:ptCount val="14"/>
                <c:pt idx="0">
                  <c:v>0.90361177026642492</c:v>
                </c:pt>
                <c:pt idx="1">
                  <c:v>1.0137516646672524</c:v>
                </c:pt>
                <c:pt idx="2">
                  <c:v>0.99504108352724252</c:v>
                </c:pt>
                <c:pt idx="3">
                  <c:v>0.96016723535284088</c:v>
                </c:pt>
                <c:pt idx="4">
                  <c:v>0.99404615573411981</c:v>
                </c:pt>
                <c:pt idx="5">
                  <c:v>1.0364978619287759</c:v>
                </c:pt>
                <c:pt idx="6">
                  <c:v>0.92431962326275241</c:v>
                </c:pt>
                <c:pt idx="7">
                  <c:v>0.81505595206464754</c:v>
                </c:pt>
                <c:pt idx="8">
                  <c:v>0.98494458241982852</c:v>
                </c:pt>
                <c:pt idx="9">
                  <c:v>0.96400641245117979</c:v>
                </c:pt>
                <c:pt idx="10">
                  <c:v>0.96079755922308474</c:v>
                </c:pt>
                <c:pt idx="11">
                  <c:v>0.70746141612673208</c:v>
                </c:pt>
                <c:pt idx="12">
                  <c:v>0.86932143333747613</c:v>
                </c:pt>
                <c:pt idx="13">
                  <c:v>0</c:v>
                </c:pt>
              </c:numCache>
            </c:numRef>
          </c:yVal>
          <c:smooth val="0"/>
          <c:extLst>
            <c:ext xmlns:c16="http://schemas.microsoft.com/office/drawing/2014/chart" uri="{C3380CC4-5D6E-409C-BE32-E72D297353CC}">
              <c16:uniqueId val="{00000034-9048-4DA8-9BD1-4D6F28CC8976}"/>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51"/>
        <c:delete val="1"/>
      </c:legendEntry>
      <c:legendEntry>
        <c:idx val="5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a:t>
            </a:r>
          </a:p>
          <a:p>
            <a:pPr>
              <a:defRPr b="1"/>
            </a:pPr>
            <a:r>
              <a:rPr lang="en-US" b="1" baseline="0"/>
              <a:t>Median degradation 3.3%/yr; p90 degr. 6.6%/yr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p50</c:v>
                </c:pt>
              </c:strCache>
            </c:strRef>
          </c:tx>
          <c:spPr>
            <a:ln w="63500" cap="rnd">
              <a:solidFill>
                <a:srgbClr val="FF0000"/>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0.22740330853138771"/>
                  <c:y val="1.0805020193314935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1"/>
          <c:extLst>
            <c:ext xmlns:c16="http://schemas.microsoft.com/office/drawing/2014/chart" uri="{C3380CC4-5D6E-409C-BE32-E72D297353CC}">
              <c16:uniqueId val="{00000001-881A-4F54-B9E5-EE8C9AE35D80}"/>
            </c:ext>
          </c:extLst>
        </c:ser>
        <c:ser>
          <c:idx val="28"/>
          <c:order val="1"/>
          <c:tx>
            <c:strRef>
              <c:f>PlantData!$BA$2</c:f>
              <c:strCache>
                <c:ptCount val="1"/>
                <c:pt idx="0">
                  <c:v>p90</c:v>
                </c:pt>
              </c:strCache>
            </c:strRef>
          </c:tx>
          <c:spPr>
            <a:ln w="25400" cap="rnd">
              <a:solidFill>
                <a:srgbClr val="FF0000"/>
              </a:solidFill>
              <a:prstDash val="sysDash"/>
              <a:round/>
            </a:ln>
            <a:effectLst/>
          </c:spPr>
          <c:marker>
            <c:symbol val="none"/>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0.75089982994610061</c:v>
                </c:pt>
                <c:pt idx="1">
                  <c:v>0.69731657041896011</c:v>
                </c:pt>
                <c:pt idx="2">
                  <c:v>0.67702937701064758</c:v>
                </c:pt>
                <c:pt idx="3">
                  <c:v>0.69665630738710349</c:v>
                </c:pt>
                <c:pt idx="4">
                  <c:v>0.6757682994044617</c:v>
                </c:pt>
                <c:pt idx="5">
                  <c:v>0.67349319544597153</c:v>
                </c:pt>
                <c:pt idx="6">
                  <c:v>0.6987243105368437</c:v>
                </c:pt>
                <c:pt idx="7">
                  <c:v>0.57219693528298488</c:v>
                </c:pt>
                <c:pt idx="8">
                  <c:v>0.49377774688560766</c:v>
                </c:pt>
                <c:pt idx="9">
                  <c:v>0.50667682262689961</c:v>
                </c:pt>
                <c:pt idx="10">
                  <c:v>0.54405795730211437</c:v>
                </c:pt>
                <c:pt idx="11">
                  <c:v>0.48452895719234063</c:v>
                </c:pt>
                <c:pt idx="12">
                  <c:v>0.43411526807861434</c:v>
                </c:pt>
                <c:pt idx="13">
                  <c:v>0.22955766805195427</c:v>
                </c:pt>
                <c:pt idx="14">
                  <c:v>0.24583535712504645</c:v>
                </c:pt>
                <c:pt idx="15">
                  <c:v>0.29769870360831013</c:v>
                </c:pt>
              </c:numCache>
            </c:numRef>
          </c:yVal>
          <c:smooth val="1"/>
          <c:extLst>
            <c:ext xmlns:c16="http://schemas.microsoft.com/office/drawing/2014/chart" uri="{C3380CC4-5D6E-409C-BE32-E72D297353CC}">
              <c16:uniqueId val="{00000002-881A-4F54-B9E5-EE8C9AE35D80}"/>
            </c:ext>
          </c:extLst>
        </c:ser>
        <c:ser>
          <c:idx val="50"/>
          <c:order val="2"/>
          <c:tx>
            <c:strRef>
              <c:f>PlantData!$BA$113</c:f>
              <c:strCache>
                <c:ptCount val="1"/>
                <c:pt idx="0">
                  <c:v>p90 (obs.rank)</c:v>
                </c:pt>
              </c:strCache>
            </c:strRef>
          </c:tx>
          <c:spPr>
            <a:ln w="28575" cap="rnd">
              <a:solidFill>
                <a:srgbClr val="FF0000"/>
              </a:solidFill>
              <a:round/>
            </a:ln>
            <a:effectLst/>
          </c:spPr>
          <c:marker>
            <c:symbol val="none"/>
          </c:marker>
          <c:trendline>
            <c:spPr>
              <a:ln w="50800" cap="rnd">
                <a:solidFill>
                  <a:srgbClr val="FF0000"/>
                </a:solidFill>
                <a:prstDash val="sysDot"/>
              </a:ln>
              <a:effectLst/>
            </c:spPr>
            <c:trendlineType val="linear"/>
            <c:dispRSqr val="1"/>
            <c:dispEq val="1"/>
            <c:trendlineLbl>
              <c:layout>
                <c:manualLayout>
                  <c:x val="0.23591706999927761"/>
                  <c:y val="8.4106825080834946E-3"/>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0.73858934353616212</c:v>
                </c:pt>
                <c:pt idx="1">
                  <c:v>0.70760804400333988</c:v>
                </c:pt>
                <c:pt idx="2">
                  <c:v>0.7492170473836266</c:v>
                </c:pt>
                <c:pt idx="3">
                  <c:v>0.77178042150548021</c:v>
                </c:pt>
                <c:pt idx="4">
                  <c:v>0.70461202905769504</c:v>
                </c:pt>
                <c:pt idx="5">
                  <c:v>0.76136818881943491</c:v>
                </c:pt>
                <c:pt idx="6">
                  <c:v>0.71399938901986071</c:v>
                </c:pt>
                <c:pt idx="7">
                  <c:v>0.63156024539441125</c:v>
                </c:pt>
                <c:pt idx="8">
                  <c:v>0.56151689265538174</c:v>
                </c:pt>
                <c:pt idx="9">
                  <c:v>0.48225330819182721</c:v>
                </c:pt>
                <c:pt idx="10">
                  <c:v>0.53513038371745969</c:v>
                </c:pt>
                <c:pt idx="11">
                  <c:v>0.52123361702307602</c:v>
                </c:pt>
                <c:pt idx="12">
                  <c:v>0.48074780230929676</c:v>
                </c:pt>
                <c:pt idx="13">
                  <c:v>0.13727188425640097</c:v>
                </c:pt>
                <c:pt idx="14">
                  <c:v>0.28768143828453463</c:v>
                </c:pt>
                <c:pt idx="15">
                  <c:v>0.40219352703657463</c:v>
                </c:pt>
              </c:numCache>
            </c:numRef>
          </c:yVal>
          <c:smooth val="1"/>
          <c:extLst>
            <c:ext xmlns:c16="http://schemas.microsoft.com/office/drawing/2014/chart" uri="{C3380CC4-5D6E-409C-BE32-E72D297353CC}">
              <c16:uniqueId val="{00000004-881A-4F54-B9E5-EE8C9AE35D80}"/>
            </c:ext>
          </c:extLst>
        </c:ser>
        <c:ser>
          <c:idx val="0"/>
          <c:order val="3"/>
          <c:tx>
            <c:strRef>
              <c:f>PlantData!$C$7</c:f>
              <c:strCache>
                <c:ptCount val="1"/>
                <c:pt idx="0">
                  <c:v>Agua Fria PV-3</c:v>
                </c:pt>
              </c:strCache>
            </c:strRef>
          </c:tx>
          <c:spPr>
            <a:ln w="12700" cap="rnd">
              <a:noFill/>
              <a:prstDash val="sysDot"/>
              <a:round/>
            </a:ln>
            <a:effectLst/>
          </c:spPr>
          <c:marker>
            <c:symbol val="circle"/>
            <c:size val="5"/>
            <c:spPr>
              <a:solidFill>
                <a:schemeClr val="accent1"/>
              </a:solidFill>
              <a:ln w="9525">
                <a:solidFill>
                  <a:schemeClr val="accent1"/>
                </a:solidFill>
              </a:ln>
              <a:effectLst/>
            </c:spPr>
          </c:marker>
          <c:xVal>
            <c:numRef>
              <c:f>PlantData!$BB$6:$BX$6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PlantData!$BB$7:$BX$7</c:f>
              <c:numCache>
                <c:formatCode>0.00</c:formatCode>
                <c:ptCount val="23"/>
                <c:pt idx="0">
                  <c:v>0.72908004236912194</c:v>
                </c:pt>
                <c:pt idx="1">
                  <c:v>0.55094910650373186</c:v>
                </c:pt>
                <c:pt idx="2">
                  <c:v>0.20694499711322348</c:v>
                </c:pt>
                <c:pt idx="3">
                  <c:v>0.53401533955605685</c:v>
                </c:pt>
                <c:pt idx="4">
                  <c:v>0.74949521341200953</c:v>
                </c:pt>
                <c:pt idx="5">
                  <c:v>0.82707357960922245</c:v>
                </c:pt>
                <c:pt idx="6">
                  <c:v>0.38232763244472634</c:v>
                </c:pt>
                <c:pt idx="7">
                  <c:v>0.8373184480151511</c:v>
                </c:pt>
                <c:pt idx="8">
                  <c:v>0.85881771015527997</c:v>
                </c:pt>
                <c:pt idx="9">
                  <c:v>0.84382390551832398</c:v>
                </c:pt>
                <c:pt idx="10">
                  <c:v>0.76655690967362655</c:v>
                </c:pt>
                <c:pt idx="11">
                  <c:v>0.49735261616124876</c:v>
                </c:pt>
                <c:pt idx="12">
                  <c:v>0</c:v>
                </c:pt>
                <c:pt idx="13">
                  <c:v>0.30141821640539301</c:v>
                </c:pt>
                <c:pt idx="14">
                  <c:v>0.42964990284737592</c:v>
                </c:pt>
                <c:pt idx="15">
                  <c:v>0.55916273857820276</c:v>
                </c:pt>
                <c:pt idx="16">
                  <c:v>0.27198673955770158</c:v>
                </c:pt>
                <c:pt idx="17">
                  <c:v>0</c:v>
                </c:pt>
                <c:pt idx="18">
                  <c:v>0</c:v>
                </c:pt>
                <c:pt idx="19">
                  <c:v>0</c:v>
                </c:pt>
                <c:pt idx="20">
                  <c:v>0</c:v>
                </c:pt>
                <c:pt idx="21">
                  <c:v>4.3063836069786303E-2</c:v>
                </c:pt>
                <c:pt idx="22">
                  <c:v>0.16281613062996497</c:v>
                </c:pt>
              </c:numCache>
            </c:numRef>
          </c:yVal>
          <c:smooth val="0"/>
          <c:extLst>
            <c:ext xmlns:c16="http://schemas.microsoft.com/office/drawing/2014/chart" uri="{C3380CC4-5D6E-409C-BE32-E72D297353CC}">
              <c16:uniqueId val="{00000005-881A-4F54-B9E5-EE8C9AE35D80}"/>
            </c:ext>
          </c:extLst>
        </c:ser>
        <c:ser>
          <c:idx val="1"/>
          <c:order val="4"/>
          <c:tx>
            <c:strRef>
              <c:f>PlantData!$C$8</c:f>
              <c:strCache>
                <c:ptCount val="1"/>
                <c:pt idx="0">
                  <c:v>Nellis Sunpower</c:v>
                </c:pt>
              </c:strCache>
            </c:strRef>
          </c:tx>
          <c:spPr>
            <a:ln w="12700" cap="rnd">
              <a:noFill/>
              <a:prstDash val="sysDot"/>
              <a:round/>
            </a:ln>
            <a:effectLst/>
          </c:spPr>
          <c:marker>
            <c:symbol val="circle"/>
            <c:size val="5"/>
            <c:spPr>
              <a:solidFill>
                <a:schemeClr val="accent2"/>
              </a:solidFill>
              <a:ln w="9525">
                <a:solidFill>
                  <a:schemeClr val="accent2"/>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PlantData!$BB$8:$BR$8</c:f>
              <c:numCache>
                <c:formatCode>0.00</c:formatCode>
                <c:ptCount val="17"/>
                <c:pt idx="0">
                  <c:v>1.015625</c:v>
                </c:pt>
                <c:pt idx="1">
                  <c:v>1.0050251256281406</c:v>
                </c:pt>
                <c:pt idx="2">
                  <c:v>0.98801166637206117</c:v>
                </c:pt>
                <c:pt idx="3">
                  <c:v>1.019116694048257</c:v>
                </c:pt>
                <c:pt idx="4">
                  <c:v>1.0253219017702644</c:v>
                </c:pt>
                <c:pt idx="5">
                  <c:v>1.0176249872897576</c:v>
                </c:pt>
                <c:pt idx="6">
                  <c:v>1.004833185811133</c:v>
                </c:pt>
                <c:pt idx="7">
                  <c:v>0.98483134787652638</c:v>
                </c:pt>
                <c:pt idx="8">
                  <c:v>0.64162664039483874</c:v>
                </c:pt>
                <c:pt idx="9">
                  <c:v>0.92234110504153655</c:v>
                </c:pt>
                <c:pt idx="10">
                  <c:v>0.88416417096533406</c:v>
                </c:pt>
                <c:pt idx="11">
                  <c:v>0.87420985500285731</c:v>
                </c:pt>
                <c:pt idx="12">
                  <c:v>0.82832397885082709</c:v>
                </c:pt>
                <c:pt idx="13">
                  <c:v>0.63973273613384696</c:v>
                </c:pt>
                <c:pt idx="14">
                  <c:v>0.66959727753855791</c:v>
                </c:pt>
                <c:pt idx="15">
                  <c:v>0.731852587592284</c:v>
                </c:pt>
                <c:pt idx="16">
                  <c:v>0.80463750837893555</c:v>
                </c:pt>
              </c:numCache>
            </c:numRef>
          </c:yVal>
          <c:smooth val="0"/>
          <c:extLst>
            <c:ext xmlns:c16="http://schemas.microsoft.com/office/drawing/2014/chart" uri="{C3380CC4-5D6E-409C-BE32-E72D297353CC}">
              <c16:uniqueId val="{00000006-881A-4F54-B9E5-EE8C9AE35D80}"/>
            </c:ext>
          </c:extLst>
        </c:ser>
        <c:ser>
          <c:idx val="2"/>
          <c:order val="5"/>
          <c:tx>
            <c:strRef>
              <c:f>PlantData!$C$9</c:f>
              <c:strCache>
                <c:ptCount val="1"/>
                <c:pt idx="0">
                  <c:v>SunE Alamosa1</c:v>
                </c:pt>
              </c:strCache>
            </c:strRef>
          </c:tx>
          <c:spPr>
            <a:ln w="12700" cap="rnd">
              <a:noFill/>
              <a:prstDash val="sysDot"/>
              <a:round/>
            </a:ln>
            <a:effectLst/>
          </c:spPr>
          <c:marker>
            <c:symbol val="circle"/>
            <c:size val="5"/>
            <c:spPr>
              <a:solidFill>
                <a:schemeClr val="accent3"/>
              </a:solidFill>
              <a:ln w="9525">
                <a:solidFill>
                  <a:schemeClr val="accent3"/>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PlantData!$BB$9:$BR$9</c:f>
              <c:numCache>
                <c:formatCode>0.00</c:formatCode>
                <c:ptCount val="17"/>
                <c:pt idx="0">
                  <c:v>0.86156351293016908</c:v>
                </c:pt>
                <c:pt idx="1">
                  <c:v>0.86213917790401451</c:v>
                </c:pt>
                <c:pt idx="2">
                  <c:v>0.87406650235041639</c:v>
                </c:pt>
                <c:pt idx="3">
                  <c:v>0.88788795992287439</c:v>
                </c:pt>
                <c:pt idx="4">
                  <c:v>0.88111824615715939</c:v>
                </c:pt>
                <c:pt idx="5">
                  <c:v>0.85198462509892503</c:v>
                </c:pt>
                <c:pt idx="6">
                  <c:v>0.84076838687239086</c:v>
                </c:pt>
                <c:pt idx="7">
                  <c:v>0.13427458989843302</c:v>
                </c:pt>
                <c:pt idx="8">
                  <c:v>0.13484702472646379</c:v>
                </c:pt>
                <c:pt idx="9">
                  <c:v>1.1499999999999999</c:v>
                </c:pt>
                <c:pt idx="10">
                  <c:v>0.82358963403313246</c:v>
                </c:pt>
                <c:pt idx="11">
                  <c:v>0.80581339165191135</c:v>
                </c:pt>
                <c:pt idx="12">
                  <c:v>0.74415302251885529</c:v>
                </c:pt>
                <c:pt idx="13">
                  <c:v>0.64628863143426585</c:v>
                </c:pt>
                <c:pt idx="14">
                  <c:v>0.7237630095906884</c:v>
                </c:pt>
                <c:pt idx="15">
                  <c:v>0.60172495516561963</c:v>
                </c:pt>
                <c:pt idx="16">
                  <c:v>0.71540008510015962</c:v>
                </c:pt>
              </c:numCache>
            </c:numRef>
          </c:yVal>
          <c:smooth val="0"/>
          <c:extLst>
            <c:ext xmlns:c16="http://schemas.microsoft.com/office/drawing/2014/chart" uri="{C3380CC4-5D6E-409C-BE32-E72D297353CC}">
              <c16:uniqueId val="{00000007-881A-4F54-B9E5-EE8C9AE35D80}"/>
            </c:ext>
          </c:extLst>
        </c:ser>
        <c:ser>
          <c:idx val="3"/>
          <c:order val="6"/>
          <c:tx>
            <c:strRef>
              <c:f>PlantData!$C$10</c:f>
              <c:strCache>
                <c:ptCount val="1"/>
                <c:pt idx="0">
                  <c:v>Atlantic Cty ConvCtr</c:v>
                </c:pt>
              </c:strCache>
            </c:strRef>
          </c:tx>
          <c:spPr>
            <a:ln w="12700" cap="rnd">
              <a:noFill/>
              <a:prstDash val="sysDot"/>
              <a:round/>
            </a:ln>
            <a:effectLst/>
          </c:spPr>
          <c:marker>
            <c:symbol val="circle"/>
            <c:size val="5"/>
            <c:spPr>
              <a:solidFill>
                <a:schemeClr val="accent4"/>
              </a:solidFill>
              <a:ln w="9525">
                <a:solidFill>
                  <a:schemeClr val="accent4"/>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PlantData!$BB$10:$BQ$10</c:f>
              <c:numCache>
                <c:formatCode>0.00</c:formatCode>
                <c:ptCount val="16"/>
                <c:pt idx="0">
                  <c:v>0.89389555950122512</c:v>
                </c:pt>
                <c:pt idx="1">
                  <c:v>0.9831287823903434</c:v>
                </c:pt>
                <c:pt idx="2">
                  <c:v>1.0014478711775401</c:v>
                </c:pt>
                <c:pt idx="3">
                  <c:v>1.0054964208564288</c:v>
                </c:pt>
                <c:pt idx="4">
                  <c:v>0.93935587901701012</c:v>
                </c:pt>
                <c:pt idx="5">
                  <c:v>0.98680813315407667</c:v>
                </c:pt>
                <c:pt idx="6">
                  <c:v>0.99276572626997239</c:v>
                </c:pt>
                <c:pt idx="7">
                  <c:v>1.0245218897433699</c:v>
                </c:pt>
                <c:pt idx="8">
                  <c:v>1.0054585305143209</c:v>
                </c:pt>
                <c:pt idx="9">
                  <c:v>0.97975640071965719</c:v>
                </c:pt>
                <c:pt idx="10">
                  <c:v>1.0587260902800208</c:v>
                </c:pt>
                <c:pt idx="11">
                  <c:v>1.0425400920918948</c:v>
                </c:pt>
                <c:pt idx="12">
                  <c:v>1.0244492649845158</c:v>
                </c:pt>
                <c:pt idx="13">
                  <c:v>1.0668365356124532</c:v>
                </c:pt>
                <c:pt idx="14">
                  <c:v>0.97620569584193784</c:v>
                </c:pt>
                <c:pt idx="15">
                  <c:v>0.72268578207759449</c:v>
                </c:pt>
              </c:numCache>
            </c:numRef>
          </c:yVal>
          <c:smooth val="0"/>
          <c:extLst>
            <c:ext xmlns:c16="http://schemas.microsoft.com/office/drawing/2014/chart" uri="{C3380CC4-5D6E-409C-BE32-E72D297353CC}">
              <c16:uniqueId val="{00000008-881A-4F54-B9E5-EE8C9AE35D80}"/>
            </c:ext>
          </c:extLst>
        </c:ser>
        <c:ser>
          <c:idx val="4"/>
          <c:order val="7"/>
          <c:tx>
            <c:strRef>
              <c:f>PlantData!$C$11</c:f>
              <c:strCache>
                <c:ptCount val="1"/>
                <c:pt idx="0">
                  <c:v>MMA Bolthouse</c:v>
                </c:pt>
              </c:strCache>
            </c:strRef>
          </c:tx>
          <c:spPr>
            <a:ln w="12700" cap="rnd">
              <a:noFill/>
              <a:prstDash val="sysDot"/>
              <a:round/>
            </a:ln>
            <a:effectLst/>
          </c:spPr>
          <c:marker>
            <c:symbol val="circle"/>
            <c:size val="5"/>
            <c:spPr>
              <a:solidFill>
                <a:schemeClr val="accent5"/>
              </a:solidFill>
              <a:ln w="9525">
                <a:solidFill>
                  <a:schemeClr val="accent5"/>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PlantData!$BB$11:$BQ$11</c:f>
              <c:numCache>
                <c:formatCode>0.00</c:formatCode>
                <c:ptCount val="16"/>
                <c:pt idx="0">
                  <c:v>0.58633487313494093</c:v>
                </c:pt>
                <c:pt idx="1">
                  <c:v>0.60348141867953564</c:v>
                </c:pt>
                <c:pt idx="2">
                  <c:v>1.0078391651739538</c:v>
                </c:pt>
                <c:pt idx="3">
                  <c:v>0.996979347895674</c:v>
                </c:pt>
                <c:pt idx="4">
                  <c:v>0.95983517137119456</c:v>
                </c:pt>
                <c:pt idx="5">
                  <c:v>0.97322685862989111</c:v>
                </c:pt>
                <c:pt idx="6">
                  <c:v>0.54036862562873644</c:v>
                </c:pt>
                <c:pt idx="7">
                  <c:v>0.90826539409102469</c:v>
                </c:pt>
                <c:pt idx="8">
                  <c:v>0.7900880364441718</c:v>
                </c:pt>
                <c:pt idx="9">
                  <c:v>0.45797981858334735</c:v>
                </c:pt>
                <c:pt idx="10">
                  <c:v>0.81147140623031899</c:v>
                </c:pt>
                <c:pt idx="11">
                  <c:v>0.68162739650555237</c:v>
                </c:pt>
                <c:pt idx="12">
                  <c:v>0.38159824302896089</c:v>
                </c:pt>
                <c:pt idx="13">
                  <c:v>0.21232109791581905</c:v>
                </c:pt>
                <c:pt idx="14">
                  <c:v>2.3156461544796531E-2</c:v>
                </c:pt>
                <c:pt idx="15">
                  <c:v>1.6766444302170721E-2</c:v>
                </c:pt>
              </c:numCache>
            </c:numRef>
          </c:yVal>
          <c:smooth val="0"/>
          <c:extLst>
            <c:ext xmlns:c16="http://schemas.microsoft.com/office/drawing/2014/chart" uri="{C3380CC4-5D6E-409C-BE32-E72D297353CC}">
              <c16:uniqueId val="{00000009-881A-4F54-B9E5-EE8C9AE35D80}"/>
            </c:ext>
          </c:extLst>
        </c:ser>
        <c:ser>
          <c:idx val="5"/>
          <c:order val="8"/>
          <c:tx>
            <c:strRef>
              <c:f>PlantData!$C$12</c:f>
              <c:strCache>
                <c:ptCount val="1"/>
                <c:pt idx="0">
                  <c:v>Copper Mtn10 (FS)</c:v>
                </c:pt>
              </c:strCache>
            </c:strRef>
          </c:tx>
          <c:spPr>
            <a:ln w="12700" cap="rnd">
              <a:noFill/>
              <a:prstDash val="sysDot"/>
              <a:round/>
            </a:ln>
            <a:effectLst/>
          </c:spPr>
          <c:marker>
            <c:symbol val="circle"/>
            <c:size val="5"/>
            <c:spPr>
              <a:solidFill>
                <a:schemeClr val="accent6"/>
              </a:solidFill>
              <a:ln w="9525">
                <a:solidFill>
                  <a:schemeClr val="accent6"/>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PlantData!$BB$12:$BQ$12</c:f>
              <c:numCache>
                <c:formatCode>0.00</c:formatCode>
                <c:ptCount val="16"/>
                <c:pt idx="0">
                  <c:v>0.95044134804953506</c:v>
                </c:pt>
                <c:pt idx="1">
                  <c:v>0.93250671184533862</c:v>
                </c:pt>
                <c:pt idx="2">
                  <c:v>0.95492071220662389</c:v>
                </c:pt>
                <c:pt idx="3">
                  <c:v>0.94631192399525366</c:v>
                </c:pt>
                <c:pt idx="4">
                  <c:v>0.91212028376305121</c:v>
                </c:pt>
                <c:pt idx="5">
                  <c:v>0.8939380543496902</c:v>
                </c:pt>
                <c:pt idx="6">
                  <c:v>0.89915368835437881</c:v>
                </c:pt>
                <c:pt idx="7">
                  <c:v>0.86622544220841791</c:v>
                </c:pt>
                <c:pt idx="8">
                  <c:v>0.88245338591118561</c:v>
                </c:pt>
                <c:pt idx="9">
                  <c:v>0.89946518977214518</c:v>
                </c:pt>
                <c:pt idx="10">
                  <c:v>1.040863086118992</c:v>
                </c:pt>
                <c:pt idx="11">
                  <c:v>1.017857095492988</c:v>
                </c:pt>
                <c:pt idx="12">
                  <c:v>0.87073538724378385</c:v>
                </c:pt>
                <c:pt idx="13">
                  <c:v>0.88738104078646562</c:v>
                </c:pt>
                <c:pt idx="14">
                  <c:v>0.90374838962285176</c:v>
                </c:pt>
                <c:pt idx="15">
                  <c:v>0.85090972452679814</c:v>
                </c:pt>
              </c:numCache>
            </c:numRef>
          </c:yVal>
          <c:smooth val="0"/>
          <c:extLst>
            <c:ext xmlns:c16="http://schemas.microsoft.com/office/drawing/2014/chart" uri="{C3380CC4-5D6E-409C-BE32-E72D297353CC}">
              <c16:uniqueId val="{0000000A-881A-4F54-B9E5-EE8C9AE35D80}"/>
            </c:ext>
          </c:extLst>
        </c:ser>
        <c:ser>
          <c:idx val="6"/>
          <c:order val="9"/>
          <c:tx>
            <c:strRef>
              <c:f>PlantData!$C$13</c:f>
              <c:strCache>
                <c:ptCount val="1"/>
                <c:pt idx="0">
                  <c:v>CSU Fresno MMA</c:v>
                </c:pt>
              </c:strCache>
            </c:strRef>
          </c:tx>
          <c:spPr>
            <a:ln w="12700" cap="rnd">
              <a:no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PlantData!$BB$13:$BR$13</c:f>
              <c:numCache>
                <c:formatCode>0.00</c:formatCode>
                <c:ptCount val="17"/>
                <c:pt idx="0">
                  <c:v>0.9321266968325792</c:v>
                </c:pt>
                <c:pt idx="1">
                  <c:v>1.0751884828148499</c:v>
                </c:pt>
                <c:pt idx="2">
                  <c:v>0.73323515839079167</c:v>
                </c:pt>
                <c:pt idx="3">
                  <c:v>0.64373845217303494</c:v>
                </c:pt>
                <c:pt idx="4">
                  <c:v>1.0261880570858803</c:v>
                </c:pt>
                <c:pt idx="5">
                  <c:v>1.0366473248519699</c:v>
                </c:pt>
                <c:pt idx="6">
                  <c:v>0.96791409927509175</c:v>
                </c:pt>
                <c:pt idx="7">
                  <c:v>0.98148143991622561</c:v>
                </c:pt>
                <c:pt idx="8">
                  <c:v>0.97228343674645135</c:v>
                </c:pt>
                <c:pt idx="9">
                  <c:v>0.98190297519142233</c:v>
                </c:pt>
                <c:pt idx="10">
                  <c:v>0.87945405394583143</c:v>
                </c:pt>
                <c:pt idx="11">
                  <c:v>1.0143369631073136</c:v>
                </c:pt>
                <c:pt idx="12">
                  <c:v>0.7887742893662274</c:v>
                </c:pt>
                <c:pt idx="13">
                  <c:v>0.73064362057356824</c:v>
                </c:pt>
                <c:pt idx="14">
                  <c:v>0.41049536955746851</c:v>
                </c:pt>
                <c:pt idx="15">
                  <c:v>0.76239633012337116</c:v>
                </c:pt>
                <c:pt idx="16">
                  <c:v>1.0071618813605576</c:v>
                </c:pt>
              </c:numCache>
            </c:numRef>
          </c:yVal>
          <c:smooth val="0"/>
          <c:extLst>
            <c:ext xmlns:c16="http://schemas.microsoft.com/office/drawing/2014/chart" uri="{C3380CC4-5D6E-409C-BE32-E72D297353CC}">
              <c16:uniqueId val="{0000000B-881A-4F54-B9E5-EE8C9AE35D80}"/>
            </c:ext>
          </c:extLst>
        </c:ser>
        <c:ser>
          <c:idx val="7"/>
          <c:order val="10"/>
          <c:tx>
            <c:strRef>
              <c:f>PlantData!$C$14</c:f>
              <c:strCache>
                <c:ptCount val="1"/>
                <c:pt idx="0">
                  <c:v>Deer Island</c:v>
                </c:pt>
              </c:strCache>
            </c:strRef>
          </c:tx>
          <c:spPr>
            <a:ln w="12700" cap="rnd">
              <a:no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PlantData!$BB$14:$BP$14</c:f>
              <c:numCache>
                <c:formatCode>0.00</c:formatCode>
                <c:ptCount val="15"/>
                <c:pt idx="0">
                  <c:v>0.69329211806078583</c:v>
                </c:pt>
                <c:pt idx="1">
                  <c:v>0.94808994162053417</c:v>
                </c:pt>
                <c:pt idx="2">
                  <c:v>0.95502225412350783</c:v>
                </c:pt>
                <c:pt idx="3">
                  <c:v>0</c:v>
                </c:pt>
                <c:pt idx="4">
                  <c:v>0.91427721624581937</c:v>
                </c:pt>
                <c:pt idx="5">
                  <c:v>0.95958803907724788</c:v>
                </c:pt>
                <c:pt idx="6">
                  <c:v>0.91353524535268849</c:v>
                </c:pt>
                <c:pt idx="7">
                  <c:v>0.88811449625463668</c:v>
                </c:pt>
                <c:pt idx="8">
                  <c:v>0.90263144631008152</c:v>
                </c:pt>
                <c:pt idx="9">
                  <c:v>1.1499999999999999</c:v>
                </c:pt>
                <c:pt idx="10">
                  <c:v>0.85756397690185082</c:v>
                </c:pt>
                <c:pt idx="11">
                  <c:v>0.90043083530821166</c:v>
                </c:pt>
                <c:pt idx="12">
                  <c:v>0.71575834408004357</c:v>
                </c:pt>
                <c:pt idx="13">
                  <c:v>0.71591870987105466</c:v>
                </c:pt>
                <c:pt idx="14">
                  <c:v>0.7149113870631959</c:v>
                </c:pt>
              </c:numCache>
            </c:numRef>
          </c:yVal>
          <c:smooth val="0"/>
          <c:extLst>
            <c:ext xmlns:c16="http://schemas.microsoft.com/office/drawing/2014/chart" uri="{C3380CC4-5D6E-409C-BE32-E72D297353CC}">
              <c16:uniqueId val="{0000000C-881A-4F54-B9E5-EE8C9AE35D80}"/>
            </c:ext>
          </c:extLst>
        </c:ser>
        <c:ser>
          <c:idx val="8"/>
          <c:order val="11"/>
          <c:tx>
            <c:strRef>
              <c:f>PlantData!$C$15</c:f>
              <c:strCache>
                <c:ptCount val="1"/>
                <c:pt idx="0">
                  <c:v>Denver airport MMA</c:v>
                </c:pt>
              </c:strCache>
            </c:strRef>
          </c:tx>
          <c:spPr>
            <a:ln w="12700" cap="rnd">
              <a:no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PlantData!$BB$15:$BQ$15</c:f>
              <c:numCache>
                <c:formatCode>0.00</c:formatCode>
                <c:ptCount val="16"/>
                <c:pt idx="0">
                  <c:v>0.90417327136101655</c:v>
                </c:pt>
                <c:pt idx="1">
                  <c:v>0.96287693858668033</c:v>
                </c:pt>
                <c:pt idx="2">
                  <c:v>0.92226178650119783</c:v>
                </c:pt>
                <c:pt idx="3">
                  <c:v>0.9779361901035919</c:v>
                </c:pt>
                <c:pt idx="4">
                  <c:v>0.41632275079613068</c:v>
                </c:pt>
                <c:pt idx="5">
                  <c:v>0.76533739588972993</c:v>
                </c:pt>
                <c:pt idx="6">
                  <c:v>0.86651205314185831</c:v>
                </c:pt>
                <c:pt idx="7">
                  <c:v>0.92207689598293952</c:v>
                </c:pt>
                <c:pt idx="8">
                  <c:v>0.81307637454167114</c:v>
                </c:pt>
                <c:pt idx="9">
                  <c:v>0.73782887229937133</c:v>
                </c:pt>
                <c:pt idx="10">
                  <c:v>0.61098640142432714</c:v>
                </c:pt>
                <c:pt idx="11">
                  <c:v>0.67041370372568543</c:v>
                </c:pt>
                <c:pt idx="12">
                  <c:v>0.43158667617891461</c:v>
                </c:pt>
                <c:pt idx="13">
                  <c:v>8.1532979971079944E-2</c:v>
                </c:pt>
                <c:pt idx="14">
                  <c:v>0.47526762194197353</c:v>
                </c:pt>
                <c:pt idx="15">
                  <c:v>0.46148447908040591</c:v>
                </c:pt>
              </c:numCache>
            </c:numRef>
          </c:yVal>
          <c:smooth val="0"/>
          <c:extLst>
            <c:ext xmlns:c16="http://schemas.microsoft.com/office/drawing/2014/chart" uri="{C3380CC4-5D6E-409C-BE32-E72D297353CC}">
              <c16:uniqueId val="{0000000D-881A-4F54-B9E5-EE8C9AE35D80}"/>
            </c:ext>
          </c:extLst>
        </c:ser>
        <c:ser>
          <c:idx val="9"/>
          <c:order val="12"/>
          <c:tx>
            <c:strRef>
              <c:f>PlantData!$C$16</c:f>
              <c:strCache>
                <c:ptCount val="1"/>
                <c:pt idx="0">
                  <c:v>Lanai Sunpower</c:v>
                </c:pt>
              </c:strCache>
            </c:strRef>
          </c:tx>
          <c:spPr>
            <a:ln w="12700" cap="rnd">
              <a:no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PlantData!$BB$16:$BQ$16</c:f>
              <c:numCache>
                <c:formatCode>0.00</c:formatCode>
                <c:ptCount val="16"/>
                <c:pt idx="0">
                  <c:v>0.47746905133110534</c:v>
                </c:pt>
                <c:pt idx="1">
                  <c:v>0.61105543606959722</c:v>
                </c:pt>
                <c:pt idx="2">
                  <c:v>0.63355604364368989</c:v>
                </c:pt>
                <c:pt idx="3">
                  <c:v>0.8194624285516694</c:v>
                </c:pt>
                <c:pt idx="4">
                  <c:v>0.61400542064472341</c:v>
                </c:pt>
                <c:pt idx="5">
                  <c:v>0.62237418730595118</c:v>
                </c:pt>
                <c:pt idx="6">
                  <c:v>0.71399938901986071</c:v>
                </c:pt>
                <c:pt idx="7">
                  <c:v>0.83427976135091597</c:v>
                </c:pt>
                <c:pt idx="8">
                  <c:v>0.73335024398355475</c:v>
                </c:pt>
                <c:pt idx="9">
                  <c:v>0.48225330819182721</c:v>
                </c:pt>
                <c:pt idx="10">
                  <c:v>0.52946052903056162</c:v>
                </c:pt>
                <c:pt idx="11">
                  <c:v>0.31542514737915917</c:v>
                </c:pt>
                <c:pt idx="12">
                  <c:v>0</c:v>
                </c:pt>
                <c:pt idx="13">
                  <c:v>5.3161641075107478E-2</c:v>
                </c:pt>
                <c:pt idx="14">
                  <c:v>0</c:v>
                </c:pt>
                <c:pt idx="15">
                  <c:v>0</c:v>
                </c:pt>
              </c:numCache>
            </c:numRef>
          </c:yVal>
          <c:smooth val="0"/>
          <c:extLst>
            <c:ext xmlns:c16="http://schemas.microsoft.com/office/drawing/2014/chart" uri="{C3380CC4-5D6E-409C-BE32-E72D297353CC}">
              <c16:uniqueId val="{0000000E-881A-4F54-B9E5-EE8C9AE35D80}"/>
            </c:ext>
          </c:extLst>
        </c:ser>
        <c:ser>
          <c:idx val="11"/>
          <c:order val="13"/>
          <c:tx>
            <c:strRef>
              <c:f>PlantData!$C$17</c:f>
              <c:strCache>
                <c:ptCount val="1"/>
                <c:pt idx="0">
                  <c:v>MF Mesa Ln</c:v>
                </c:pt>
              </c:strCache>
            </c:strRef>
          </c:tx>
          <c:spPr>
            <a:ln w="12700" cap="rnd">
              <a:noFill/>
              <a:prstDash val="sysDot"/>
              <a:round/>
            </a:ln>
            <a:effectLst/>
          </c:spPr>
          <c:marker>
            <c:symbol val="circle"/>
            <c:size val="5"/>
            <c:spPr>
              <a:solidFill>
                <a:schemeClr val="accent6">
                  <a:lumMod val="60000"/>
                </a:schemeClr>
              </a:solidFill>
              <a:ln w="9525">
                <a:solidFill>
                  <a:schemeClr val="accent6">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PlantData!$BB$17:$BQ$17</c:f>
              <c:numCache>
                <c:formatCode>0.00</c:formatCode>
                <c:ptCount val="16"/>
                <c:pt idx="0">
                  <c:v>0.85543238355545026</c:v>
                </c:pt>
                <c:pt idx="1">
                  <c:v>0.97823972488784183</c:v>
                </c:pt>
                <c:pt idx="2">
                  <c:v>0.93803659703434117</c:v>
                </c:pt>
                <c:pt idx="3">
                  <c:v>0.9729807711336762</c:v>
                </c:pt>
                <c:pt idx="4">
                  <c:v>0.95557340886878306</c:v>
                </c:pt>
                <c:pt idx="5">
                  <c:v>0.91087902059158066</c:v>
                </c:pt>
                <c:pt idx="6">
                  <c:v>0.95975656651849395</c:v>
                </c:pt>
                <c:pt idx="7">
                  <c:v>1.0001480206527387</c:v>
                </c:pt>
                <c:pt idx="8">
                  <c:v>0.89943189669025403</c:v>
                </c:pt>
                <c:pt idx="9">
                  <c:v>0.80973768314409422</c:v>
                </c:pt>
                <c:pt idx="10">
                  <c:v>0.94157159375666022</c:v>
                </c:pt>
                <c:pt idx="11">
                  <c:v>0.89504185210842113</c:v>
                </c:pt>
                <c:pt idx="12">
                  <c:v>0.90999634643955418</c:v>
                </c:pt>
                <c:pt idx="13">
                  <c:v>0.88637339330846454</c:v>
                </c:pt>
                <c:pt idx="14">
                  <c:v>0.79319200920646094</c:v>
                </c:pt>
                <c:pt idx="15">
                  <c:v>0.88080520018748498</c:v>
                </c:pt>
              </c:numCache>
            </c:numRef>
          </c:yVal>
          <c:smooth val="0"/>
          <c:extLst>
            <c:ext xmlns:c16="http://schemas.microsoft.com/office/drawing/2014/chart" uri="{C3380CC4-5D6E-409C-BE32-E72D297353CC}">
              <c16:uniqueId val="{0000000F-881A-4F54-B9E5-EE8C9AE35D80}"/>
            </c:ext>
          </c:extLst>
        </c:ser>
        <c:ser>
          <c:idx val="12"/>
          <c:order val="14"/>
          <c:tx>
            <c:strRef>
              <c:f>PlantData!$C$18</c:f>
              <c:strCache>
                <c:ptCount val="1"/>
                <c:pt idx="0">
                  <c:v>Pennsauken</c:v>
                </c:pt>
              </c:strCache>
            </c:strRef>
          </c:tx>
          <c:spPr>
            <a:ln w="12700" cap="rnd">
              <a:noFill/>
              <a:prstDash val="sysDot"/>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PlantData!$BB$18:$BQ$18</c:f>
              <c:numCache>
                <c:formatCode>0.00</c:formatCode>
                <c:ptCount val="16"/>
                <c:pt idx="0">
                  <c:v>0.82513281803273486</c:v>
                </c:pt>
                <c:pt idx="1">
                  <c:v>0.940888972993839</c:v>
                </c:pt>
                <c:pt idx="2">
                  <c:v>0.81214029657899522</c:v>
                </c:pt>
                <c:pt idx="3">
                  <c:v>0.77276517146102985</c:v>
                </c:pt>
                <c:pt idx="4">
                  <c:v>0.78804178878826248</c:v>
                </c:pt>
                <c:pt idx="5">
                  <c:v>0.80249820714527909</c:v>
                </c:pt>
                <c:pt idx="6">
                  <c:v>0.76785062592509135</c:v>
                </c:pt>
                <c:pt idx="7">
                  <c:v>0.7556452839450436</c:v>
                </c:pt>
                <c:pt idx="8">
                  <c:v>0.74523523884095677</c:v>
                </c:pt>
                <c:pt idx="9">
                  <c:v>0.76877554184014818</c:v>
                </c:pt>
                <c:pt idx="10">
                  <c:v>0.66566300514634902</c:v>
                </c:pt>
                <c:pt idx="11">
                  <c:v>0.75128194022313033</c:v>
                </c:pt>
                <c:pt idx="12">
                  <c:v>0.72079633999325121</c:v>
                </c:pt>
                <c:pt idx="13">
                  <c:v>0.6906475546038795</c:v>
                </c:pt>
                <c:pt idx="14">
                  <c:v>0.71741070054296618</c:v>
                </c:pt>
                <c:pt idx="15">
                  <c:v>0.61901679394422493</c:v>
                </c:pt>
              </c:numCache>
            </c:numRef>
          </c:yVal>
          <c:smooth val="0"/>
          <c:extLst>
            <c:ext xmlns:c16="http://schemas.microsoft.com/office/drawing/2014/chart" uri="{C3380CC4-5D6E-409C-BE32-E72D297353CC}">
              <c16:uniqueId val="{00000010-881A-4F54-B9E5-EE8C9AE35D80}"/>
            </c:ext>
          </c:extLst>
        </c:ser>
        <c:ser>
          <c:idx val="13"/>
          <c:order val="15"/>
          <c:tx>
            <c:strRef>
              <c:f>PlantData!$C$19</c:f>
              <c:strCache>
                <c:ptCount val="1"/>
                <c:pt idx="0">
                  <c:v>SAS Solar Farm</c:v>
                </c:pt>
              </c:strCache>
            </c:strRef>
          </c:tx>
          <c:spPr>
            <a:ln w="12700" cap="rnd">
              <a:noFill/>
              <a:prstDash val="sysDot"/>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PlantData!$BB$19:$BQ$19</c:f>
              <c:numCache>
                <c:formatCode>0.00</c:formatCode>
                <c:ptCount val="16"/>
                <c:pt idx="0">
                  <c:v>0.40511215853817695</c:v>
                </c:pt>
                <c:pt idx="1">
                  <c:v>0.64418786984987375</c:v>
                </c:pt>
                <c:pt idx="2">
                  <c:v>0.95159509506163176</c:v>
                </c:pt>
                <c:pt idx="3">
                  <c:v>0.93526667501118654</c:v>
                </c:pt>
                <c:pt idx="4">
                  <c:v>0.84167286704524291</c:v>
                </c:pt>
                <c:pt idx="5">
                  <c:v>0.9109510302879088</c:v>
                </c:pt>
                <c:pt idx="6">
                  <c:v>0.88162020426151599</c:v>
                </c:pt>
                <c:pt idx="7">
                  <c:v>0.89695569293247401</c:v>
                </c:pt>
                <c:pt idx="8">
                  <c:v>0.83542878763150508</c:v>
                </c:pt>
                <c:pt idx="9">
                  <c:v>0.69945962036618736</c:v>
                </c:pt>
                <c:pt idx="10">
                  <c:v>0.50841108005091851</c:v>
                </c:pt>
                <c:pt idx="11">
                  <c:v>0.54990724184923845</c:v>
                </c:pt>
                <c:pt idx="12">
                  <c:v>0.50878122538113635</c:v>
                </c:pt>
                <c:pt idx="13">
                  <c:v>0.54168104397527794</c:v>
                </c:pt>
                <c:pt idx="14">
                  <c:v>0.48990627999807496</c:v>
                </c:pt>
                <c:pt idx="15">
                  <c:v>0.48016533720866172</c:v>
                </c:pt>
              </c:numCache>
            </c:numRef>
          </c:yVal>
          <c:smooth val="0"/>
          <c:extLst>
            <c:ext xmlns:c16="http://schemas.microsoft.com/office/drawing/2014/chart" uri="{C3380CC4-5D6E-409C-BE32-E72D297353CC}">
              <c16:uniqueId val="{00000011-881A-4F54-B9E5-EE8C9AE35D80}"/>
            </c:ext>
          </c:extLst>
        </c:ser>
        <c:ser>
          <c:idx val="14"/>
          <c:order val="16"/>
          <c:tx>
            <c:strRef>
              <c:f>PlantData!$C$20</c:f>
              <c:strCache>
                <c:ptCount val="1"/>
                <c:pt idx="0">
                  <c:v>Sacramento Soleil</c:v>
                </c:pt>
              </c:strCache>
            </c:strRef>
          </c:tx>
          <c:spPr>
            <a:ln w="12700" cap="rnd">
              <a:noFill/>
              <a:prstDash val="sysDot"/>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PlantData!$BB$6:$BM$6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PlantData!$BB$20:$BM$20</c:f>
              <c:numCache>
                <c:formatCode>0.00</c:formatCode>
                <c:ptCount val="12"/>
                <c:pt idx="0">
                  <c:v>0.85876737435078587</c:v>
                </c:pt>
                <c:pt idx="1">
                  <c:v>0.89277365526789976</c:v>
                </c:pt>
                <c:pt idx="2">
                  <c:v>0.91578137613345478</c:v>
                </c:pt>
                <c:pt idx="3">
                  <c:v>0.88367137474568025</c:v>
                </c:pt>
                <c:pt idx="4">
                  <c:v>0.92396899906073349</c:v>
                </c:pt>
                <c:pt idx="5">
                  <c:v>0.88369606548533497</c:v>
                </c:pt>
                <c:pt idx="6">
                  <c:v>0.90808308284307437</c:v>
                </c:pt>
                <c:pt idx="7">
                  <c:v>0.88785187697150159</c:v>
                </c:pt>
                <c:pt idx="8">
                  <c:v>0.90662863313672803</c:v>
                </c:pt>
                <c:pt idx="9">
                  <c:v>0.81900038739378245</c:v>
                </c:pt>
                <c:pt idx="10">
                  <c:v>0.77438236084221312</c:v>
                </c:pt>
                <c:pt idx="11">
                  <c:v>0.73198635691973701</c:v>
                </c:pt>
              </c:numCache>
            </c:numRef>
          </c:yVal>
          <c:smooth val="0"/>
          <c:extLst>
            <c:ext xmlns:c16="http://schemas.microsoft.com/office/drawing/2014/chart" uri="{C3380CC4-5D6E-409C-BE32-E72D297353CC}">
              <c16:uniqueId val="{00000012-881A-4F54-B9E5-EE8C9AE35D80}"/>
            </c:ext>
          </c:extLst>
        </c:ser>
        <c:ser>
          <c:idx val="15"/>
          <c:order val="17"/>
          <c:tx>
            <c:strRef>
              <c:f>PlantData!$C$21</c:f>
              <c:strCache>
                <c:ptCount val="1"/>
                <c:pt idx="0">
                  <c:v>Western 102</c:v>
                </c:pt>
              </c:strCache>
            </c:strRef>
          </c:tx>
          <c:spPr>
            <a:ln w="12700" cap="rnd">
              <a:noFill/>
              <a:prstDash val="sysDot"/>
              <a:round/>
            </a:ln>
            <a:effectLst/>
          </c:spPr>
          <c:marker>
            <c:symbol val="circle"/>
            <c:size val="5"/>
            <c:spPr>
              <a:solidFill>
                <a:schemeClr val="accent4">
                  <a:lumMod val="80000"/>
                  <a:lumOff val="20000"/>
                </a:schemeClr>
              </a:solidFill>
              <a:ln w="9525">
                <a:solidFill>
                  <a:srgbClr val="00B05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PlantData!$BB$21:$BQ$21</c:f>
              <c:numCache>
                <c:formatCode>0.00</c:formatCode>
                <c:ptCount val="16"/>
                <c:pt idx="0">
                  <c:v>0.62499947353688989</c:v>
                </c:pt>
                <c:pt idx="1">
                  <c:v>0.46239126179925705</c:v>
                </c:pt>
                <c:pt idx="2">
                  <c:v>1.0322855618783104</c:v>
                </c:pt>
                <c:pt idx="3">
                  <c:v>0.99140463410623081</c:v>
                </c:pt>
                <c:pt idx="4">
                  <c:v>0.96363793402674525</c:v>
                </c:pt>
                <c:pt idx="5">
                  <c:v>0.94615989046831406</c:v>
                </c:pt>
                <c:pt idx="6">
                  <c:v>0.96802407926571199</c:v>
                </c:pt>
                <c:pt idx="7">
                  <c:v>0.96104266791667115</c:v>
                </c:pt>
                <c:pt idx="8">
                  <c:v>0.96318371624924271</c:v>
                </c:pt>
                <c:pt idx="9">
                  <c:v>0.94293549838382507</c:v>
                </c:pt>
                <c:pt idx="10">
                  <c:v>0.99771477191244717</c:v>
                </c:pt>
                <c:pt idx="11">
                  <c:v>0.86120803518158295</c:v>
                </c:pt>
                <c:pt idx="12">
                  <c:v>0.56892614593276847</c:v>
                </c:pt>
                <c:pt idx="13">
                  <c:v>0.54067555294772152</c:v>
                </c:pt>
                <c:pt idx="14">
                  <c:v>0.49906625060266868</c:v>
                </c:pt>
                <c:pt idx="15">
                  <c:v>0.53180380654722303</c:v>
                </c:pt>
              </c:numCache>
            </c:numRef>
          </c:yVal>
          <c:smooth val="0"/>
          <c:extLst>
            <c:ext xmlns:c16="http://schemas.microsoft.com/office/drawing/2014/chart" uri="{C3380CC4-5D6E-409C-BE32-E72D297353CC}">
              <c16:uniqueId val="{00000013-881A-4F54-B9E5-EE8C9AE35D80}"/>
            </c:ext>
          </c:extLst>
        </c:ser>
        <c:ser>
          <c:idx val="16"/>
          <c:order val="18"/>
          <c:tx>
            <c:strRef>
              <c:f>PlantData!$C$22</c:f>
              <c:strCache>
                <c:ptCount val="1"/>
                <c:pt idx="0">
                  <c:v>Wild Horse</c:v>
                </c:pt>
              </c:strCache>
            </c:strRef>
          </c:tx>
          <c:spPr>
            <a:ln w="12700" cap="rnd">
              <a:noFill/>
              <a:prstDash val="sysDot"/>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PlantData!$BB$22:$BP$22</c:f>
              <c:numCache>
                <c:formatCode>0.00</c:formatCode>
                <c:ptCount val="15"/>
                <c:pt idx="0">
                  <c:v>1.1499999999999999</c:v>
                </c:pt>
                <c:pt idx="1">
                  <c:v>1.1066117886697027</c:v>
                </c:pt>
                <c:pt idx="2">
                  <c:v>1.067349572758393</c:v>
                </c:pt>
                <c:pt idx="3">
                  <c:v>1.0262570576516028</c:v>
                </c:pt>
                <c:pt idx="4">
                  <c:v>1.1177190141996209</c:v>
                </c:pt>
                <c:pt idx="5">
                  <c:v>1.0337532260328532</c:v>
                </c:pt>
                <c:pt idx="6">
                  <c:v>0.68739198291568215</c:v>
                </c:pt>
                <c:pt idx="7">
                  <c:v>0.7009001089916379</c:v>
                </c:pt>
                <c:pt idx="8">
                  <c:v>0.56151689265538174</c:v>
                </c:pt>
                <c:pt idx="9">
                  <c:v>0.13782047719900598</c:v>
                </c:pt>
                <c:pt idx="10">
                  <c:v>0.70568750028372274</c:v>
                </c:pt>
                <c:pt idx="11">
                  <c:v>0.81473950362919945</c:v>
                </c:pt>
                <c:pt idx="12">
                  <c:v>0.93812418895159255</c:v>
                </c:pt>
                <c:pt idx="13">
                  <c:v>0.98576194921508731</c:v>
                </c:pt>
                <c:pt idx="14">
                  <c:v>1.0055911353605851</c:v>
                </c:pt>
              </c:numCache>
            </c:numRef>
          </c:yVal>
          <c:smooth val="0"/>
          <c:extLst>
            <c:ext xmlns:c16="http://schemas.microsoft.com/office/drawing/2014/chart" uri="{C3380CC4-5D6E-409C-BE32-E72D297353CC}">
              <c16:uniqueId val="{00000014-881A-4F54-B9E5-EE8C9AE35D80}"/>
            </c:ext>
          </c:extLst>
        </c:ser>
        <c:ser>
          <c:idx val="17"/>
          <c:order val="19"/>
          <c:tx>
            <c:strRef>
              <c:f>PlantData!$C$23</c:f>
              <c:strCache>
                <c:ptCount val="1"/>
                <c:pt idx="0">
                  <c:v>Aqua Ingrams Mill</c:v>
                </c:pt>
              </c:strCache>
            </c:strRef>
          </c:tx>
          <c:spPr>
            <a:ln w="12700" cap="rnd">
              <a:noFill/>
              <a:prstDash val="sysDot"/>
              <a:round/>
            </a:ln>
            <a:effectLst/>
          </c:spPr>
          <c:marker>
            <c:symbol val="circle"/>
            <c:size val="5"/>
            <c:spPr>
              <a:solidFill>
                <a:schemeClr val="accent6">
                  <a:lumMod val="80000"/>
                  <a:lumOff val="20000"/>
                </a:schemeClr>
              </a:solidFill>
              <a:ln w="9525">
                <a:solidFill>
                  <a:srgbClr val="C0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PlantData!$BB$23:$BO$23</c:f>
              <c:numCache>
                <c:formatCode>0.00</c:formatCode>
                <c:ptCount val="14"/>
                <c:pt idx="0">
                  <c:v>0.84932844202016089</c:v>
                </c:pt>
                <c:pt idx="1">
                  <c:v>0.81930292280576833</c:v>
                </c:pt>
                <c:pt idx="2">
                  <c:v>0</c:v>
                </c:pt>
                <c:pt idx="3">
                  <c:v>0.8458220254866855</c:v>
                </c:pt>
                <c:pt idx="4">
                  <c:v>0.80133405992445006</c:v>
                </c:pt>
                <c:pt idx="5">
                  <c:v>0.79963555004487974</c:v>
                </c:pt>
                <c:pt idx="6">
                  <c:v>0.68985081213419952</c:v>
                </c:pt>
                <c:pt idx="7">
                  <c:v>0.79098583719077264</c:v>
                </c:pt>
                <c:pt idx="8">
                  <c:v>0.7445894544052194</c:v>
                </c:pt>
                <c:pt idx="9">
                  <c:v>0.87359381960053983</c:v>
                </c:pt>
                <c:pt idx="10">
                  <c:v>0.72404305312341743</c:v>
                </c:pt>
                <c:pt idx="11">
                  <c:v>0.88174014799311551</c:v>
                </c:pt>
                <c:pt idx="12">
                  <c:v>0.53895009699678198</c:v>
                </c:pt>
                <c:pt idx="13">
                  <c:v>0.50921185953056891</c:v>
                </c:pt>
              </c:numCache>
            </c:numRef>
          </c:yVal>
          <c:smooth val="0"/>
          <c:extLst>
            <c:ext xmlns:c16="http://schemas.microsoft.com/office/drawing/2014/chart" uri="{C3380CC4-5D6E-409C-BE32-E72D297353CC}">
              <c16:uniqueId val="{00000015-881A-4F54-B9E5-EE8C9AE35D80}"/>
            </c:ext>
          </c:extLst>
        </c:ser>
        <c:ser>
          <c:idx val="18"/>
          <c:order val="20"/>
          <c:tx>
            <c:strRef>
              <c:f>PlantData!$C$24</c:f>
              <c:strCache>
                <c:ptCount val="1"/>
                <c:pt idx="0">
                  <c:v>Calpine Vineland Solar LLC</c:v>
                </c:pt>
              </c:strCache>
            </c:strRef>
          </c:tx>
          <c:spPr>
            <a:ln w="12700" cap="rnd">
              <a:noFill/>
              <a:prstDash val="sysDot"/>
              <a:round/>
            </a:ln>
            <a:effectLst/>
          </c:spPr>
          <c:marker>
            <c:symbol val="circle"/>
            <c:size val="5"/>
            <c:spPr>
              <a:solidFill>
                <a:schemeClr val="accent1">
                  <a:lumMod val="80000"/>
                </a:schemeClr>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PlantData!$BB$24:$BP$24</c:f>
              <c:numCache>
                <c:formatCode>0.00</c:formatCode>
                <c:ptCount val="15"/>
                <c:pt idx="0">
                  <c:v>1.1499999999999999</c:v>
                </c:pt>
                <c:pt idx="1">
                  <c:v>0.93329526659240214</c:v>
                </c:pt>
                <c:pt idx="2">
                  <c:v>1.1499999999999999</c:v>
                </c:pt>
                <c:pt idx="3">
                  <c:v>0.92210075402621572</c:v>
                </c:pt>
                <c:pt idx="4">
                  <c:v>0.95123112915668306</c:v>
                </c:pt>
                <c:pt idx="5">
                  <c:v>0.93624599191935165</c:v>
                </c:pt>
                <c:pt idx="6">
                  <c:v>0.97667202395458141</c:v>
                </c:pt>
                <c:pt idx="7">
                  <c:v>0.96021458000851179</c:v>
                </c:pt>
                <c:pt idx="8">
                  <c:v>0.89516547793193413</c:v>
                </c:pt>
                <c:pt idx="9">
                  <c:v>0.92230574854949232</c:v>
                </c:pt>
                <c:pt idx="10">
                  <c:v>0.88391789823457056</c:v>
                </c:pt>
                <c:pt idx="11">
                  <c:v>0.98091205450175101</c:v>
                </c:pt>
                <c:pt idx="12">
                  <c:v>0.98997137902044896</c:v>
                </c:pt>
                <c:pt idx="13">
                  <c:v>1.0178661451052344</c:v>
                </c:pt>
                <c:pt idx="14">
                  <c:v>0.97310165517117186</c:v>
                </c:pt>
              </c:numCache>
            </c:numRef>
          </c:yVal>
          <c:smooth val="0"/>
          <c:extLst>
            <c:ext xmlns:c16="http://schemas.microsoft.com/office/drawing/2014/chart" uri="{C3380CC4-5D6E-409C-BE32-E72D297353CC}">
              <c16:uniqueId val="{00000016-881A-4F54-B9E5-EE8C9AE35D80}"/>
            </c:ext>
          </c:extLst>
        </c:ser>
        <c:ser>
          <c:idx val="19"/>
          <c:order val="21"/>
          <c:tx>
            <c:strRef>
              <c:f>PlantData!$C$25</c:f>
              <c:strCache>
                <c:ptCount val="1"/>
                <c:pt idx="0">
                  <c:v>Chuckawalla SunE</c:v>
                </c:pt>
              </c:strCache>
            </c:strRef>
          </c:tx>
          <c:spPr>
            <a:ln w="12700" cap="rnd">
              <a:noFill/>
              <a:prstDash val="sysDot"/>
              <a:round/>
            </a:ln>
            <a:effectLst/>
          </c:spPr>
          <c:marker>
            <c:symbol val="circle"/>
            <c:size val="5"/>
            <c:spPr>
              <a:solidFill>
                <a:schemeClr val="accent2">
                  <a:lumMod val="80000"/>
                </a:schemeClr>
              </a:solidFill>
              <a:ln w="9525">
                <a:solidFill>
                  <a:schemeClr val="accent2">
                    <a:lumMod val="8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PlantData!$BB$25:$BQ$25</c:f>
              <c:numCache>
                <c:formatCode>0.00</c:formatCode>
                <c:ptCount val="16"/>
                <c:pt idx="0">
                  <c:v>0.9397279776459756</c:v>
                </c:pt>
                <c:pt idx="1">
                  <c:v>0.94626822730540161</c:v>
                </c:pt>
                <c:pt idx="2">
                  <c:v>0.97477608844883712</c:v>
                </c:pt>
                <c:pt idx="3">
                  <c:v>0.79604288422915137</c:v>
                </c:pt>
                <c:pt idx="4">
                  <c:v>0.95137766530490397</c:v>
                </c:pt>
                <c:pt idx="5">
                  <c:v>0.92972730721323993</c:v>
                </c:pt>
                <c:pt idx="6">
                  <c:v>0.88965998544847691</c:v>
                </c:pt>
                <c:pt idx="7">
                  <c:v>1.1499999999999999</c:v>
                </c:pt>
                <c:pt idx="8">
                  <c:v>0.83036789319248561</c:v>
                </c:pt>
                <c:pt idx="9">
                  <c:v>0.72336313579878453</c:v>
                </c:pt>
                <c:pt idx="10">
                  <c:v>0.85917960396383719</c:v>
                </c:pt>
                <c:pt idx="11">
                  <c:v>0.78990630259889538</c:v>
                </c:pt>
                <c:pt idx="12">
                  <c:v>0.71030981984560804</c:v>
                </c:pt>
                <c:pt idx="13">
                  <c:v>0.23361564604990759</c:v>
                </c:pt>
                <c:pt idx="14">
                  <c:v>0.55883804196497677</c:v>
                </c:pt>
                <c:pt idx="15">
                  <c:v>0.67719329310559118</c:v>
                </c:pt>
              </c:numCache>
            </c:numRef>
          </c:yVal>
          <c:smooth val="0"/>
          <c:extLst>
            <c:ext xmlns:c16="http://schemas.microsoft.com/office/drawing/2014/chart" uri="{C3380CC4-5D6E-409C-BE32-E72D297353CC}">
              <c16:uniqueId val="{00000017-881A-4F54-B9E5-EE8C9AE35D80}"/>
            </c:ext>
          </c:extLst>
        </c:ser>
        <c:ser>
          <c:idx val="20"/>
          <c:order val="22"/>
          <c:tx>
            <c:strRef>
              <c:f>PlantData!$C$26</c:f>
              <c:strCache>
                <c:ptCount val="1"/>
                <c:pt idx="0">
                  <c:v>DeSoto</c:v>
                </c:pt>
              </c:strCache>
            </c:strRef>
          </c:tx>
          <c:spPr>
            <a:ln w="12700" cap="rnd">
              <a:noFill/>
              <a:prstDash val="sysDot"/>
              <a:round/>
            </a:ln>
            <a:effectLst/>
          </c:spPr>
          <c:marker>
            <c:symbol val="circle"/>
            <c:size val="5"/>
            <c:spPr>
              <a:solidFill>
                <a:schemeClr val="accent3">
                  <a:lumMod val="80000"/>
                </a:schemeClr>
              </a:solidFill>
              <a:ln w="9525">
                <a:solidFill>
                  <a:srgbClr val="C0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PlantData!$BB$26:$BP$26</c:f>
              <c:numCache>
                <c:formatCode>0.00</c:formatCode>
                <c:ptCount val="15"/>
                <c:pt idx="0">
                  <c:v>1.1447120810616873</c:v>
                </c:pt>
                <c:pt idx="1">
                  <c:v>1.1181985147922018</c:v>
                </c:pt>
                <c:pt idx="2">
                  <c:v>1.1282179301930526</c:v>
                </c:pt>
                <c:pt idx="3">
                  <c:v>1.0855019565960997</c:v>
                </c:pt>
                <c:pt idx="4">
                  <c:v>1.0382776322405904</c:v>
                </c:pt>
                <c:pt idx="5">
                  <c:v>1.1010379623553797</c:v>
                </c:pt>
                <c:pt idx="6">
                  <c:v>1.0759187428988659</c:v>
                </c:pt>
                <c:pt idx="7">
                  <c:v>1.0713233879102675</c:v>
                </c:pt>
                <c:pt idx="8">
                  <c:v>1.0472650195377127</c:v>
                </c:pt>
                <c:pt idx="9">
                  <c:v>1.0272034140226431</c:v>
                </c:pt>
                <c:pt idx="10">
                  <c:v>0.91573508927047642</c:v>
                </c:pt>
                <c:pt idx="11">
                  <c:v>0.99192734090234791</c:v>
                </c:pt>
                <c:pt idx="12">
                  <c:v>0.85519917129471823</c:v>
                </c:pt>
                <c:pt idx="13">
                  <c:v>0.7663868075145468</c:v>
                </c:pt>
                <c:pt idx="14">
                  <c:v>0.6459741309634246</c:v>
                </c:pt>
              </c:numCache>
            </c:numRef>
          </c:yVal>
          <c:smooth val="0"/>
          <c:extLst>
            <c:ext xmlns:c16="http://schemas.microsoft.com/office/drawing/2014/chart" uri="{C3380CC4-5D6E-409C-BE32-E72D297353CC}">
              <c16:uniqueId val="{00000018-881A-4F54-B9E5-EE8C9AE35D80}"/>
            </c:ext>
          </c:extLst>
        </c:ser>
        <c:ser>
          <c:idx val="21"/>
          <c:order val="23"/>
          <c:tx>
            <c:strRef>
              <c:f>PlantData!$C$27</c:f>
              <c:strCache>
                <c:ptCount val="1"/>
                <c:pt idx="0">
                  <c:v>Exelon Chicago</c:v>
                </c:pt>
              </c:strCache>
            </c:strRef>
          </c:tx>
          <c:spPr>
            <a:ln w="12700" cap="rnd">
              <a:noFill/>
              <a:prstDash val="sysDot"/>
              <a:round/>
            </a:ln>
            <a:effectLst/>
          </c:spPr>
          <c:marker>
            <c:symbol val="circle"/>
            <c:size val="5"/>
            <c:spPr>
              <a:solidFill>
                <a:schemeClr val="accent4">
                  <a:lumMod val="80000"/>
                </a:schemeClr>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PlantData!$BB$27:$BQ$27</c:f>
              <c:numCache>
                <c:formatCode>0.00</c:formatCode>
                <c:ptCount val="16"/>
                <c:pt idx="0">
                  <c:v>0.97024285279653288</c:v>
                </c:pt>
                <c:pt idx="1">
                  <c:v>0.96939664714700013</c:v>
                </c:pt>
                <c:pt idx="2">
                  <c:v>1.0447988369508445</c:v>
                </c:pt>
                <c:pt idx="3">
                  <c:v>0.99524877547808144</c:v>
                </c:pt>
                <c:pt idx="4">
                  <c:v>1.0166257693962071</c:v>
                </c:pt>
                <c:pt idx="5">
                  <c:v>0.99353071674133187</c:v>
                </c:pt>
                <c:pt idx="6">
                  <c:v>0.99682684749574446</c:v>
                </c:pt>
                <c:pt idx="7">
                  <c:v>1.0178915475775578</c:v>
                </c:pt>
                <c:pt idx="8">
                  <c:v>0.97823933271607333</c:v>
                </c:pt>
                <c:pt idx="9">
                  <c:v>1.0111406926833415</c:v>
                </c:pt>
                <c:pt idx="10">
                  <c:v>0.99711039884967956</c:v>
                </c:pt>
                <c:pt idx="11">
                  <c:v>0.95500841508594458</c:v>
                </c:pt>
                <c:pt idx="12">
                  <c:v>0.98464764218151402</c:v>
                </c:pt>
                <c:pt idx="13">
                  <c:v>0.92143600479995114</c:v>
                </c:pt>
                <c:pt idx="14">
                  <c:v>0.85896221294256359</c:v>
                </c:pt>
                <c:pt idx="15">
                  <c:v>0.95135165888600792</c:v>
                </c:pt>
              </c:numCache>
            </c:numRef>
          </c:yVal>
          <c:smooth val="0"/>
          <c:extLst>
            <c:ext xmlns:c16="http://schemas.microsoft.com/office/drawing/2014/chart" uri="{C3380CC4-5D6E-409C-BE32-E72D297353CC}">
              <c16:uniqueId val="{00000019-881A-4F54-B9E5-EE8C9AE35D80}"/>
            </c:ext>
          </c:extLst>
        </c:ser>
        <c:ser>
          <c:idx val="22"/>
          <c:order val="24"/>
          <c:tx>
            <c:strRef>
              <c:f>PlantData!$C$28</c:f>
              <c:strCache>
                <c:ptCount val="1"/>
                <c:pt idx="0">
                  <c:v>Hall's Warehouse</c:v>
                </c:pt>
              </c:strCache>
            </c:strRef>
          </c:tx>
          <c:spPr>
            <a:ln w="12700" cap="rnd">
              <a:noFill/>
              <a:prstDash val="sysDot"/>
              <a:round/>
            </a:ln>
            <a:effectLst/>
          </c:spPr>
          <c:marker>
            <c:symbol val="circle"/>
            <c:size val="5"/>
            <c:spPr>
              <a:solidFill>
                <a:schemeClr val="accent5">
                  <a:lumMod val="80000"/>
                </a:schemeClr>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PlantData!$BB$28:$BQ$28</c:f>
              <c:numCache>
                <c:formatCode>0.00</c:formatCode>
                <c:ptCount val="16"/>
                <c:pt idx="0">
                  <c:v>0.87523150448372389</c:v>
                </c:pt>
                <c:pt idx="1">
                  <c:v>0.97741851847245964</c:v>
                </c:pt>
                <c:pt idx="2">
                  <c:v>0.90625746260411122</c:v>
                </c:pt>
                <c:pt idx="3">
                  <c:v>0.96874635100024997</c:v>
                </c:pt>
                <c:pt idx="4">
                  <c:v>0.8920026258840611</c:v>
                </c:pt>
                <c:pt idx="5">
                  <c:v>0.61396515005826247</c:v>
                </c:pt>
                <c:pt idx="6">
                  <c:v>0.72696250493707582</c:v>
                </c:pt>
                <c:pt idx="7">
                  <c:v>0.70542194206335551</c:v>
                </c:pt>
                <c:pt idx="8">
                  <c:v>0.86770521616109353</c:v>
                </c:pt>
                <c:pt idx="9">
                  <c:v>0.80648934697814678</c:v>
                </c:pt>
                <c:pt idx="10">
                  <c:v>0.76578518395678297</c:v>
                </c:pt>
                <c:pt idx="11">
                  <c:v>0.71575407310762018</c:v>
                </c:pt>
                <c:pt idx="12">
                  <c:v>0.67463979516376649</c:v>
                </c:pt>
                <c:pt idx="13">
                  <c:v>0.85228064501043443</c:v>
                </c:pt>
                <c:pt idx="14">
                  <c:v>0.79986066721812488</c:v>
                </c:pt>
                <c:pt idx="15">
                  <c:v>0.72016357369500106</c:v>
                </c:pt>
              </c:numCache>
            </c:numRef>
          </c:yVal>
          <c:smooth val="0"/>
          <c:extLst>
            <c:ext xmlns:c16="http://schemas.microsoft.com/office/drawing/2014/chart" uri="{C3380CC4-5D6E-409C-BE32-E72D297353CC}">
              <c16:uniqueId val="{0000001A-881A-4F54-B9E5-EE8C9AE35D80}"/>
            </c:ext>
          </c:extLst>
        </c:ser>
        <c:ser>
          <c:idx val="23"/>
          <c:order val="25"/>
          <c:tx>
            <c:strRef>
              <c:f>PlantData!$C$29</c:f>
              <c:strCache>
                <c:ptCount val="1"/>
                <c:pt idx="0">
                  <c:v>Kohl's San Bernardino SunE</c:v>
                </c:pt>
              </c:strCache>
            </c:strRef>
          </c:tx>
          <c:spPr>
            <a:ln w="12700" cap="rnd">
              <a:noFill/>
              <a:prstDash val="sysDot"/>
              <a:round/>
            </a:ln>
            <a:effectLst/>
          </c:spPr>
          <c:marker>
            <c:symbol val="circle"/>
            <c:size val="5"/>
            <c:spPr>
              <a:solidFill>
                <a:srgbClr val="92D050"/>
              </a:solidFill>
              <a:ln w="9525">
                <a:solidFill>
                  <a:schemeClr val="bg2">
                    <a:lumMod val="1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PlantData!$BB$29:$BQ$29</c:f>
              <c:numCache>
                <c:formatCode>0.00</c:formatCode>
                <c:ptCount val="16"/>
                <c:pt idx="0">
                  <c:v>0.90504472924699808</c:v>
                </c:pt>
                <c:pt idx="1">
                  <c:v>0.89271160561876106</c:v>
                </c:pt>
                <c:pt idx="2">
                  <c:v>1.1499999999999999</c:v>
                </c:pt>
                <c:pt idx="3">
                  <c:v>0.91524676122308857</c:v>
                </c:pt>
                <c:pt idx="4">
                  <c:v>0.88809240353828423</c:v>
                </c:pt>
                <c:pt idx="5">
                  <c:v>0.81555836486441147</c:v>
                </c:pt>
                <c:pt idx="6">
                  <c:v>0.97646052861196742</c:v>
                </c:pt>
                <c:pt idx="7">
                  <c:v>0.43951750099699755</c:v>
                </c:pt>
                <c:pt idx="8">
                  <c:v>0</c:v>
                </c:pt>
                <c:pt idx="9">
                  <c:v>0.52405250641852774</c:v>
                </c:pt>
                <c:pt idx="10">
                  <c:v>0.71055854100933258</c:v>
                </c:pt>
                <c:pt idx="11">
                  <c:v>0.7595452975172492</c:v>
                </c:pt>
                <c:pt idx="12">
                  <c:v>0.76336210805753679</c:v>
                </c:pt>
                <c:pt idx="13">
                  <c:v>0.85736364827681688</c:v>
                </c:pt>
                <c:pt idx="14">
                  <c:v>0.55590033008979767</c:v>
                </c:pt>
                <c:pt idx="15">
                  <c:v>0.50277115951997264</c:v>
                </c:pt>
              </c:numCache>
            </c:numRef>
          </c:yVal>
          <c:smooth val="0"/>
          <c:extLst>
            <c:ext xmlns:c16="http://schemas.microsoft.com/office/drawing/2014/chart" uri="{C3380CC4-5D6E-409C-BE32-E72D297353CC}">
              <c16:uniqueId val="{0000001B-881A-4F54-B9E5-EE8C9AE35D80}"/>
            </c:ext>
          </c:extLst>
        </c:ser>
        <c:ser>
          <c:idx val="24"/>
          <c:order val="26"/>
          <c:tx>
            <c:strRef>
              <c:f>PlantData!$C$30</c:f>
              <c:strCache>
                <c:ptCount val="1"/>
                <c:pt idx="0">
                  <c:v>Mariani Packing SunE</c:v>
                </c:pt>
              </c:strCache>
            </c:strRef>
          </c:tx>
          <c:spPr>
            <a:ln w="12700" cap="rnd">
              <a:noFill/>
              <a:prstDash val="sysDot"/>
              <a:round/>
            </a:ln>
            <a:effectLst/>
          </c:spPr>
          <c:marker>
            <c:symbol val="circle"/>
            <c:size val="5"/>
            <c:spPr>
              <a:solidFill>
                <a:srgbClr val="002060"/>
              </a:solidFill>
              <a:ln w="9525">
                <a:solidFill>
                  <a:schemeClr val="accent1">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PlantData!$BB$30:$BQ$30</c:f>
              <c:numCache>
                <c:formatCode>0.00</c:formatCode>
                <c:ptCount val="16"/>
                <c:pt idx="0">
                  <c:v>0.97508835019461948</c:v>
                </c:pt>
                <c:pt idx="1">
                  <c:v>0.5557849429614552</c:v>
                </c:pt>
                <c:pt idx="2">
                  <c:v>0.97997842278659186</c:v>
                </c:pt>
                <c:pt idx="3">
                  <c:v>0.9958132419172786</c:v>
                </c:pt>
                <c:pt idx="4">
                  <c:v>1.0676049391313194</c:v>
                </c:pt>
                <c:pt idx="5">
                  <c:v>0.99733092812824931</c:v>
                </c:pt>
                <c:pt idx="6">
                  <c:v>1.0119079402728264</c:v>
                </c:pt>
                <c:pt idx="7">
                  <c:v>0.94261581175943177</c:v>
                </c:pt>
                <c:pt idx="8">
                  <c:v>0.85887197990040387</c:v>
                </c:pt>
                <c:pt idx="9">
                  <c:v>0.70833537976558925</c:v>
                </c:pt>
                <c:pt idx="10">
                  <c:v>0.90039803688650888</c:v>
                </c:pt>
                <c:pt idx="11">
                  <c:v>0.91214964220902661</c:v>
                </c:pt>
                <c:pt idx="12">
                  <c:v>0.81245294935306722</c:v>
                </c:pt>
                <c:pt idx="13">
                  <c:v>0.2841710836413367</c:v>
                </c:pt>
                <c:pt idx="14">
                  <c:v>0.46691519159915357</c:v>
                </c:pt>
                <c:pt idx="15">
                  <c:v>0.65991544148772974</c:v>
                </c:pt>
              </c:numCache>
            </c:numRef>
          </c:yVal>
          <c:smooth val="0"/>
          <c:extLst>
            <c:ext xmlns:c16="http://schemas.microsoft.com/office/drawing/2014/chart" uri="{C3380CC4-5D6E-409C-BE32-E72D297353CC}">
              <c16:uniqueId val="{0000001C-881A-4F54-B9E5-EE8C9AE35D80}"/>
            </c:ext>
          </c:extLst>
        </c:ser>
        <c:ser>
          <c:idx val="25"/>
          <c:order val="27"/>
          <c:tx>
            <c:strRef>
              <c:f>PlantData!$C$31</c:f>
              <c:strCache>
                <c:ptCount val="1"/>
                <c:pt idx="0">
                  <c:v>PPL Merck</c:v>
                </c:pt>
              </c:strCache>
            </c:strRef>
          </c:tx>
          <c:spPr>
            <a:ln w="12700" cap="rnd">
              <a:noFill/>
              <a:prstDash val="sysDot"/>
              <a:round/>
            </a:ln>
            <a:effectLst/>
          </c:spPr>
          <c:marker>
            <c:symbol val="circle"/>
            <c:size val="5"/>
            <c:spPr>
              <a:solidFill>
                <a:srgbClr val="00B050"/>
              </a:solidFill>
              <a:ln w="9525">
                <a:solidFill>
                  <a:schemeClr val="accent2">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PlantData!$BB$31:$BQ$31</c:f>
              <c:numCache>
                <c:formatCode>0.00</c:formatCode>
                <c:ptCount val="16"/>
                <c:pt idx="0">
                  <c:v>0.77053649099145882</c:v>
                </c:pt>
                <c:pt idx="1">
                  <c:v>0.70760804400333988</c:v>
                </c:pt>
                <c:pt idx="2">
                  <c:v>0.78069775420422216</c:v>
                </c:pt>
                <c:pt idx="3">
                  <c:v>0.75329385861815168</c:v>
                </c:pt>
                <c:pt idx="4">
                  <c:v>0.3250161100658634</c:v>
                </c:pt>
                <c:pt idx="5">
                  <c:v>0.77451434686815401</c:v>
                </c:pt>
                <c:pt idx="6">
                  <c:v>0.81167579029924442</c:v>
                </c:pt>
                <c:pt idx="7">
                  <c:v>0.71691992346076272</c:v>
                </c:pt>
                <c:pt idx="8">
                  <c:v>0.67654002193256002</c:v>
                </c:pt>
                <c:pt idx="9">
                  <c:v>0.745003346094123</c:v>
                </c:pt>
                <c:pt idx="10">
                  <c:v>0.72828132794058653</c:v>
                </c:pt>
                <c:pt idx="11">
                  <c:v>0.63160641581946642</c:v>
                </c:pt>
                <c:pt idx="12">
                  <c:v>0.5687308959765931</c:v>
                </c:pt>
                <c:pt idx="13">
                  <c:v>0.35014883737822605</c:v>
                </c:pt>
                <c:pt idx="14">
                  <c:v>0</c:v>
                </c:pt>
              </c:numCache>
            </c:numRef>
          </c:yVal>
          <c:smooth val="0"/>
          <c:extLst>
            <c:ext xmlns:c16="http://schemas.microsoft.com/office/drawing/2014/chart" uri="{C3380CC4-5D6E-409C-BE32-E72D297353CC}">
              <c16:uniqueId val="{0000001D-881A-4F54-B9E5-EE8C9AE35D80}"/>
            </c:ext>
          </c:extLst>
        </c:ser>
        <c:ser>
          <c:idx val="26"/>
          <c:order val="28"/>
          <c:tx>
            <c:strRef>
              <c:f>PlantData!$C$32</c:f>
              <c:strCache>
                <c:ptCount val="1"/>
                <c:pt idx="0">
                  <c:v>PSEG Hackettstown</c:v>
                </c:pt>
              </c:strCache>
            </c:strRef>
          </c:tx>
          <c:spPr>
            <a:ln w="12700" cap="rnd">
              <a:noFill/>
              <a:prstDash val="sysDot"/>
              <a:round/>
            </a:ln>
            <a:effectLst/>
          </c:spPr>
          <c:marker>
            <c:symbol val="circle"/>
            <c:size val="5"/>
            <c:spPr>
              <a:solidFill>
                <a:srgbClr val="7030A0"/>
              </a:solidFill>
              <a:ln w="9525">
                <a:solidFill>
                  <a:schemeClr val="accent3">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PlantData!$BB$32:$BP$32</c:f>
              <c:numCache>
                <c:formatCode>0.00</c:formatCode>
                <c:ptCount val="15"/>
                <c:pt idx="0">
                  <c:v>0.94239931350925032</c:v>
                </c:pt>
                <c:pt idx="1">
                  <c:v>0.83253993882836619</c:v>
                </c:pt>
                <c:pt idx="2">
                  <c:v>0.95050685950053893</c:v>
                </c:pt>
                <c:pt idx="3">
                  <c:v>0.92599721924712286</c:v>
                </c:pt>
                <c:pt idx="4">
                  <c:v>0.87949272730757655</c:v>
                </c:pt>
                <c:pt idx="5">
                  <c:v>0.87017819342810521</c:v>
                </c:pt>
                <c:pt idx="6">
                  <c:v>0.93011731759935268</c:v>
                </c:pt>
                <c:pt idx="7">
                  <c:v>0.85653629669628262</c:v>
                </c:pt>
                <c:pt idx="8">
                  <c:v>0.77468495089268785</c:v>
                </c:pt>
                <c:pt idx="9">
                  <c:v>0.8590584290091049</c:v>
                </c:pt>
                <c:pt idx="10">
                  <c:v>0.86012546122485611</c:v>
                </c:pt>
                <c:pt idx="11">
                  <c:v>0.8132776217801444</c:v>
                </c:pt>
                <c:pt idx="12">
                  <c:v>0.87353317419917342</c:v>
                </c:pt>
                <c:pt idx="13">
                  <c:v>0.83760065590797883</c:v>
                </c:pt>
                <c:pt idx="14">
                  <c:v>0.64876450306409528</c:v>
                </c:pt>
              </c:numCache>
            </c:numRef>
          </c:yVal>
          <c:smooth val="0"/>
          <c:extLst>
            <c:ext xmlns:c16="http://schemas.microsoft.com/office/drawing/2014/chart" uri="{C3380CC4-5D6E-409C-BE32-E72D297353CC}">
              <c16:uniqueId val="{0000001E-881A-4F54-B9E5-EE8C9AE35D80}"/>
            </c:ext>
          </c:extLst>
        </c:ser>
        <c:ser>
          <c:idx val="27"/>
          <c:order val="29"/>
          <c:tx>
            <c:strRef>
              <c:f>PlantData!$C$33</c:f>
              <c:strCache>
                <c:ptCount val="1"/>
                <c:pt idx="0">
                  <c:v>RV CSU</c:v>
                </c:pt>
              </c:strCache>
            </c:strRef>
          </c:tx>
          <c:spPr>
            <a:ln w="12700" cap="rnd">
              <a:noFill/>
              <a:prstDash val="sysDot"/>
              <a:round/>
            </a:ln>
            <a:effectLst/>
          </c:spPr>
          <c:marker>
            <c:symbol val="circle"/>
            <c:size val="5"/>
            <c:spPr>
              <a:solidFill>
                <a:srgbClr val="002060"/>
              </a:solidFill>
              <a:ln w="9525">
                <a:solidFill>
                  <a:schemeClr val="accent4">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PlantData!$BB$33:$BP$33</c:f>
              <c:numCache>
                <c:formatCode>0.00</c:formatCode>
                <c:ptCount val="15"/>
                <c:pt idx="0">
                  <c:v>0.96111813176931404</c:v>
                </c:pt>
                <c:pt idx="1">
                  <c:v>0.95533919508368215</c:v>
                </c:pt>
                <c:pt idx="2">
                  <c:v>0.98763659521880631</c:v>
                </c:pt>
                <c:pt idx="3">
                  <c:v>0.95565909696109363</c:v>
                </c:pt>
                <c:pt idx="4">
                  <c:v>0.83037825720399105</c:v>
                </c:pt>
                <c:pt idx="5">
                  <c:v>0.85192562378346937</c:v>
                </c:pt>
                <c:pt idx="6">
                  <c:v>1.1499999999999999</c:v>
                </c:pt>
                <c:pt idx="7">
                  <c:v>0.9637933234143049</c:v>
                </c:pt>
                <c:pt idx="8">
                  <c:v>0.9804914601958773</c:v>
                </c:pt>
                <c:pt idx="9">
                  <c:v>0.87382883773304831</c:v>
                </c:pt>
                <c:pt idx="10">
                  <c:v>0.87559141083658365</c:v>
                </c:pt>
                <c:pt idx="11">
                  <c:v>0.88439425977473307</c:v>
                </c:pt>
                <c:pt idx="12">
                  <c:v>0.67555262368401536</c:v>
                </c:pt>
                <c:pt idx="13">
                  <c:v>0.74535967871743625</c:v>
                </c:pt>
                <c:pt idx="14">
                  <c:v>0.52353931771288242</c:v>
                </c:pt>
              </c:numCache>
            </c:numRef>
          </c:yVal>
          <c:smooth val="0"/>
          <c:extLst>
            <c:ext xmlns:c16="http://schemas.microsoft.com/office/drawing/2014/chart" uri="{C3380CC4-5D6E-409C-BE32-E72D297353CC}">
              <c16:uniqueId val="{0000001F-881A-4F54-B9E5-EE8C9AE35D80}"/>
            </c:ext>
          </c:extLst>
        </c:ser>
        <c:ser>
          <c:idx val="29"/>
          <c:order val="30"/>
          <c:tx>
            <c:strRef>
              <c:f>PlantData!$C$34</c:f>
              <c:strCache>
                <c:ptCount val="1"/>
                <c:pt idx="0">
                  <c:v>Solar Blythe (NRG)</c:v>
                </c:pt>
              </c:strCache>
            </c:strRef>
          </c:tx>
          <c:spPr>
            <a:ln w="12700" cap="rnd">
              <a:noFill/>
              <a:prstDash val="sysDot"/>
              <a:round/>
            </a:ln>
            <a:effectLst/>
          </c:spPr>
          <c:marker>
            <c:symbol val="circle"/>
            <c:size val="5"/>
            <c:spPr>
              <a:solidFill>
                <a:srgbClr val="C00000"/>
              </a:solidFill>
              <a:ln w="12700">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PlantData!$BB$34:$BP$34</c:f>
              <c:numCache>
                <c:formatCode>0.00</c:formatCode>
                <c:ptCount val="15"/>
                <c:pt idx="0">
                  <c:v>1.0131452752749142</c:v>
                </c:pt>
                <c:pt idx="1">
                  <c:v>1.0472384788191529</c:v>
                </c:pt>
                <c:pt idx="2">
                  <c:v>0.97928263153905348</c:v>
                </c:pt>
                <c:pt idx="3">
                  <c:v>0.98247075160357589</c:v>
                </c:pt>
                <c:pt idx="4">
                  <c:v>0.96907945847900556</c:v>
                </c:pt>
                <c:pt idx="5">
                  <c:v>0.95661232520871764</c:v>
                </c:pt>
                <c:pt idx="6">
                  <c:v>0.95224669192526179</c:v>
                </c:pt>
                <c:pt idx="7">
                  <c:v>0.92626034103322674</c:v>
                </c:pt>
                <c:pt idx="8">
                  <c:v>0.89459468042439505</c:v>
                </c:pt>
                <c:pt idx="9">
                  <c:v>0.92096626890772693</c:v>
                </c:pt>
                <c:pt idx="10">
                  <c:v>0.8880106697400677</c:v>
                </c:pt>
                <c:pt idx="11">
                  <c:v>0.88596647035702369</c:v>
                </c:pt>
                <c:pt idx="12">
                  <c:v>0.90671276103016496</c:v>
                </c:pt>
                <c:pt idx="13">
                  <c:v>0.87892906329338694</c:v>
                </c:pt>
                <c:pt idx="14">
                  <c:v>0.91055115104084594</c:v>
                </c:pt>
              </c:numCache>
            </c:numRef>
          </c:yVal>
          <c:smooth val="0"/>
          <c:extLst>
            <c:ext xmlns:c16="http://schemas.microsoft.com/office/drawing/2014/chart" uri="{C3380CC4-5D6E-409C-BE32-E72D297353CC}">
              <c16:uniqueId val="{00000020-881A-4F54-B9E5-EE8C9AE35D80}"/>
            </c:ext>
          </c:extLst>
        </c:ser>
        <c:ser>
          <c:idx val="30"/>
          <c:order val="31"/>
          <c:tx>
            <c:strRef>
              <c:f>PlantData!$C$35</c:f>
              <c:strCache>
                <c:ptCount val="1"/>
                <c:pt idx="0">
                  <c:v>Solar PV #02 (SCE)</c:v>
                </c:pt>
              </c:strCache>
            </c:strRef>
          </c:tx>
          <c:spPr>
            <a:ln w="12700" cap="rnd">
              <a:noFill/>
              <a:prstDash val="sysDot"/>
              <a:round/>
            </a:ln>
            <a:effectLst/>
          </c:spPr>
          <c:marker>
            <c:symbol val="circle"/>
            <c:size val="5"/>
            <c:spPr>
              <a:solidFill>
                <a:srgbClr val="FFC000"/>
              </a:solidFill>
              <a:ln w="9525">
                <a:solidFill>
                  <a:schemeClr val="accent1">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PlantData!$BB$35:$BO$35</c:f>
              <c:numCache>
                <c:formatCode>0.00</c:formatCode>
                <c:ptCount val="14"/>
                <c:pt idx="0">
                  <c:v>0.79023088965567567</c:v>
                </c:pt>
                <c:pt idx="1">
                  <c:v>0.73328141568380012</c:v>
                </c:pt>
                <c:pt idx="2">
                  <c:v>0.49823861357973603</c:v>
                </c:pt>
                <c:pt idx="3">
                  <c:v>0.53687254934687978</c:v>
                </c:pt>
                <c:pt idx="4">
                  <c:v>0.44879094371265577</c:v>
                </c:pt>
                <c:pt idx="5">
                  <c:v>0.40086657488453264</c:v>
                </c:pt>
                <c:pt idx="6">
                  <c:v>0.51520626006446857</c:v>
                </c:pt>
                <c:pt idx="7">
                  <c:v>0.33406144273915944</c:v>
                </c:pt>
                <c:pt idx="8">
                  <c:v>0.21128474545103654</c:v>
                </c:pt>
                <c:pt idx="9">
                  <c:v>0.38455074480108808</c:v>
                </c:pt>
                <c:pt idx="10">
                  <c:v>0.4221495339730203</c:v>
                </c:pt>
                <c:pt idx="11">
                  <c:v>0.69928304323263712</c:v>
                </c:pt>
                <c:pt idx="12">
                  <c:v>0.4193158740721864</c:v>
                </c:pt>
                <c:pt idx="13">
                  <c:v>0</c:v>
                </c:pt>
              </c:numCache>
            </c:numRef>
          </c:yVal>
          <c:smooth val="0"/>
          <c:extLst>
            <c:ext xmlns:c16="http://schemas.microsoft.com/office/drawing/2014/chart" uri="{C3380CC4-5D6E-409C-BE32-E72D297353CC}">
              <c16:uniqueId val="{00000021-881A-4F54-B9E5-EE8C9AE35D80}"/>
            </c:ext>
          </c:extLst>
        </c:ser>
        <c:ser>
          <c:idx val="31"/>
          <c:order val="32"/>
          <c:tx>
            <c:strRef>
              <c:f>PlantData!$C$36</c:f>
              <c:strCache>
                <c:ptCount val="1"/>
                <c:pt idx="0">
                  <c:v>SunE Anheuser</c:v>
                </c:pt>
              </c:strCache>
            </c:strRef>
          </c:tx>
          <c:spPr>
            <a:ln w="12700" cap="rnd">
              <a:noFill/>
              <a:prstDash val="sysDot"/>
              <a:round/>
            </a:ln>
            <a:effectLst/>
          </c:spPr>
          <c:marker>
            <c:symbol val="circle"/>
            <c:size val="5"/>
            <c:spPr>
              <a:solidFill>
                <a:srgbClr val="FFFF00"/>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PlantData!$BB$36:$BQ$36</c:f>
              <c:numCache>
                <c:formatCode>0.00</c:formatCode>
                <c:ptCount val="16"/>
                <c:pt idx="0">
                  <c:v>0.98831913316945474</c:v>
                </c:pt>
                <c:pt idx="1">
                  <c:v>0.93297733026723084</c:v>
                </c:pt>
                <c:pt idx="2">
                  <c:v>0.98425493151308596</c:v>
                </c:pt>
                <c:pt idx="3">
                  <c:v>0.97419926758449593</c:v>
                </c:pt>
                <c:pt idx="4">
                  <c:v>1.0055938056842659</c:v>
                </c:pt>
                <c:pt idx="5">
                  <c:v>0.96013764765937837</c:v>
                </c:pt>
                <c:pt idx="6">
                  <c:v>0.94834904601439651</c:v>
                </c:pt>
                <c:pt idx="7">
                  <c:v>1.1499999999999999</c:v>
                </c:pt>
                <c:pt idx="8">
                  <c:v>0.75886517742532233</c:v>
                </c:pt>
                <c:pt idx="9">
                  <c:v>0.79594035067575142</c:v>
                </c:pt>
                <c:pt idx="10">
                  <c:v>0.74485294913001665</c:v>
                </c:pt>
                <c:pt idx="11">
                  <c:v>0.6530103550619234</c:v>
                </c:pt>
                <c:pt idx="12">
                  <c:v>0.80847542320680921</c:v>
                </c:pt>
                <c:pt idx="13">
                  <c:v>0.79580938790383526</c:v>
                </c:pt>
                <c:pt idx="14">
                  <c:v>0.35883297132157171</c:v>
                </c:pt>
                <c:pt idx="15">
                  <c:v>0.57305905290670989</c:v>
                </c:pt>
              </c:numCache>
            </c:numRef>
          </c:yVal>
          <c:smooth val="0"/>
          <c:extLst>
            <c:ext xmlns:c16="http://schemas.microsoft.com/office/drawing/2014/chart" uri="{C3380CC4-5D6E-409C-BE32-E72D297353CC}">
              <c16:uniqueId val="{00000022-881A-4F54-B9E5-EE8C9AE35D80}"/>
            </c:ext>
          </c:extLst>
        </c:ser>
        <c:ser>
          <c:idx val="32"/>
          <c:order val="33"/>
          <c:tx>
            <c:strRef>
              <c:f>PlantData!$C$37</c:f>
              <c:strCache>
                <c:ptCount val="1"/>
                <c:pt idx="0">
                  <c:v>SunE Ironwood</c:v>
                </c:pt>
              </c:strCache>
            </c:strRef>
          </c:tx>
          <c:spPr>
            <a:ln w="12700" cap="rnd">
              <a:noFill/>
              <a:prstDash val="sysDot"/>
              <a:round/>
            </a:ln>
            <a:effectLst/>
          </c:spPr>
          <c:marker>
            <c:symbol val="circle"/>
            <c:size val="5"/>
            <c:spPr>
              <a:solidFill>
                <a:schemeClr val="accent4">
                  <a:lumMod val="75000"/>
                </a:schemeClr>
              </a:solidFill>
              <a:ln w="9525">
                <a:solidFill>
                  <a:schemeClr val="accent3">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PlantData!$BB$37:$BQ$37</c:f>
              <c:numCache>
                <c:formatCode>0.00</c:formatCode>
                <c:ptCount val="16"/>
                <c:pt idx="0">
                  <c:v>0.9656169098269326</c:v>
                </c:pt>
                <c:pt idx="1">
                  <c:v>0.98439763565594796</c:v>
                </c:pt>
                <c:pt idx="2">
                  <c:v>1.0131794222687542</c:v>
                </c:pt>
                <c:pt idx="3">
                  <c:v>0.93081660194696814</c:v>
                </c:pt>
                <c:pt idx="4">
                  <c:v>0.86594345091956093</c:v>
                </c:pt>
                <c:pt idx="5">
                  <c:v>0.88028065726143223</c:v>
                </c:pt>
                <c:pt idx="6">
                  <c:v>0.8152247924334346</c:v>
                </c:pt>
                <c:pt idx="7">
                  <c:v>1.1499999999999999</c:v>
                </c:pt>
                <c:pt idx="8">
                  <c:v>0.63434402927210198</c:v>
                </c:pt>
                <c:pt idx="9">
                  <c:v>0.86793650170811398</c:v>
                </c:pt>
                <c:pt idx="10">
                  <c:v>0.70847137110967795</c:v>
                </c:pt>
                <c:pt idx="11">
                  <c:v>0.79316908483707849</c:v>
                </c:pt>
                <c:pt idx="12">
                  <c:v>0.68060477244317452</c:v>
                </c:pt>
                <c:pt idx="13">
                  <c:v>0.16990682711532482</c:v>
                </c:pt>
                <c:pt idx="14">
                  <c:v>0.50304072727966109</c:v>
                </c:pt>
                <c:pt idx="15">
                  <c:v>0.40219352703657463</c:v>
                </c:pt>
              </c:numCache>
            </c:numRef>
          </c:yVal>
          <c:smooth val="0"/>
          <c:extLst>
            <c:ext xmlns:c16="http://schemas.microsoft.com/office/drawing/2014/chart" uri="{C3380CC4-5D6E-409C-BE32-E72D297353CC}">
              <c16:uniqueId val="{00000023-881A-4F54-B9E5-EE8C9AE35D80}"/>
            </c:ext>
          </c:extLst>
        </c:ser>
        <c:ser>
          <c:idx val="33"/>
          <c:order val="34"/>
          <c:tx>
            <c:strRef>
              <c:f>PlantData!$C$38</c:f>
              <c:strCache>
                <c:ptCount val="1"/>
                <c:pt idx="0">
                  <c:v>SunE LV Sutton</c:v>
                </c:pt>
              </c:strCache>
            </c:strRef>
          </c:tx>
          <c:spPr>
            <a:ln w="12700" cap="rnd">
              <a:noFill/>
              <a:prstDash val="sysDot"/>
              <a:round/>
            </a:ln>
            <a:effectLst/>
          </c:spPr>
          <c:marker>
            <c:symbol val="circle"/>
            <c:size val="5"/>
            <c:spPr>
              <a:solidFill>
                <a:srgbClr val="00B0F0"/>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PlantData!$BB$38:$BQ$38</c:f>
              <c:numCache>
                <c:formatCode>0.00</c:formatCode>
                <c:ptCount val="16"/>
                <c:pt idx="0">
                  <c:v>0.73858934353616212</c:v>
                </c:pt>
                <c:pt idx="1">
                  <c:v>1.012182397477694</c:v>
                </c:pt>
                <c:pt idx="2">
                  <c:v>0.99487763332364265</c:v>
                </c:pt>
                <c:pt idx="3">
                  <c:v>0.95384687434543236</c:v>
                </c:pt>
                <c:pt idx="4">
                  <c:v>0.86508913981347091</c:v>
                </c:pt>
                <c:pt idx="5">
                  <c:v>0.99187031320707153</c:v>
                </c:pt>
                <c:pt idx="6">
                  <c:v>0.94649266173392566</c:v>
                </c:pt>
                <c:pt idx="7">
                  <c:v>0.63451380692185755</c:v>
                </c:pt>
                <c:pt idx="8">
                  <c:v>0.79660347189425884</c:v>
                </c:pt>
                <c:pt idx="9">
                  <c:v>0.49332961694120786</c:v>
                </c:pt>
                <c:pt idx="10">
                  <c:v>0.91957674591970195</c:v>
                </c:pt>
                <c:pt idx="11">
                  <c:v>0.77300409598418784</c:v>
                </c:pt>
                <c:pt idx="12">
                  <c:v>0.71161277991816496</c:v>
                </c:pt>
                <c:pt idx="13">
                  <c:v>0.17960378470749772</c:v>
                </c:pt>
                <c:pt idx="14">
                  <c:v>0.62312509784775627</c:v>
                </c:pt>
                <c:pt idx="15">
                  <c:v>0.60941861064662661</c:v>
                </c:pt>
              </c:numCache>
            </c:numRef>
          </c:yVal>
          <c:smooth val="0"/>
          <c:extLst>
            <c:ext xmlns:c16="http://schemas.microsoft.com/office/drawing/2014/chart" uri="{C3380CC4-5D6E-409C-BE32-E72D297353CC}">
              <c16:uniqueId val="{00000024-881A-4F54-B9E5-EE8C9AE35D80}"/>
            </c:ext>
          </c:extLst>
        </c:ser>
        <c:ser>
          <c:idx val="34"/>
          <c:order val="35"/>
          <c:tx>
            <c:strRef>
              <c:f>PlantData!$C$39</c:f>
              <c:strCache>
                <c:ptCount val="1"/>
                <c:pt idx="0">
                  <c:v>SunE Oxnard</c:v>
                </c:pt>
              </c:strCache>
            </c:strRef>
          </c:tx>
          <c:spPr>
            <a:ln w="12700" cap="rnd">
              <a:noFill/>
              <a:prstDash val="sysDot"/>
              <a:round/>
            </a:ln>
            <a:effectLst/>
          </c:spPr>
          <c:marker>
            <c:symbol val="circle"/>
            <c:size val="5"/>
            <c:spPr>
              <a:solidFill>
                <a:schemeClr val="accent1">
                  <a:lumMod val="20000"/>
                  <a:lumOff val="80000"/>
                </a:schemeClr>
              </a:solidFill>
              <a:ln w="9525">
                <a:solidFill>
                  <a:srgbClr val="7030A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PlantData!$BB$39:$BP$39</c:f>
              <c:numCache>
                <c:formatCode>0.00</c:formatCode>
                <c:ptCount val="15"/>
                <c:pt idx="0">
                  <c:v>0.91854737575688739</c:v>
                </c:pt>
                <c:pt idx="1">
                  <c:v>0.90430174171446775</c:v>
                </c:pt>
                <c:pt idx="2">
                  <c:v>0.90042097994709336</c:v>
                </c:pt>
                <c:pt idx="3">
                  <c:v>0.97268433462209158</c:v>
                </c:pt>
                <c:pt idx="4">
                  <c:v>1.0403325433045592</c:v>
                </c:pt>
                <c:pt idx="5">
                  <c:v>1.0279205232577342</c:v>
                </c:pt>
                <c:pt idx="6">
                  <c:v>0.98795895351482999</c:v>
                </c:pt>
                <c:pt idx="7">
                  <c:v>0.89249737002577545</c:v>
                </c:pt>
                <c:pt idx="8">
                  <c:v>0.88395894522338747</c:v>
                </c:pt>
                <c:pt idx="9">
                  <c:v>0.92221363192435368</c:v>
                </c:pt>
                <c:pt idx="10">
                  <c:v>0.97288880634142183</c:v>
                </c:pt>
                <c:pt idx="11">
                  <c:v>0.96951478471846708</c:v>
                </c:pt>
                <c:pt idx="12">
                  <c:v>1.1499999999999999</c:v>
                </c:pt>
                <c:pt idx="13">
                  <c:v>0.82070603557975963</c:v>
                </c:pt>
                <c:pt idx="14">
                  <c:v>0.91374408458381895</c:v>
                </c:pt>
              </c:numCache>
            </c:numRef>
          </c:yVal>
          <c:smooth val="0"/>
          <c:extLst>
            <c:ext xmlns:c16="http://schemas.microsoft.com/office/drawing/2014/chart" uri="{C3380CC4-5D6E-409C-BE32-E72D297353CC}">
              <c16:uniqueId val="{00000025-881A-4F54-B9E5-EE8C9AE35D80}"/>
            </c:ext>
          </c:extLst>
        </c:ser>
        <c:ser>
          <c:idx val="35"/>
          <c:order val="36"/>
          <c:tx>
            <c:strRef>
              <c:f>PlantData!$C$40</c:f>
              <c:strCache>
                <c:ptCount val="1"/>
                <c:pt idx="0">
                  <c:v>SunE Moreno Valley</c:v>
                </c:pt>
              </c:strCache>
            </c:strRef>
          </c:tx>
          <c:spPr>
            <a:ln w="12700" cap="rnd">
              <a:noFill/>
              <a:prstDash val="sysDot"/>
              <a:round/>
            </a:ln>
            <a:effectLst/>
          </c:spPr>
          <c:marker>
            <c:symbol val="circle"/>
            <c:size val="5"/>
            <c:spPr>
              <a:solidFill>
                <a:schemeClr val="bg1">
                  <a:lumMod val="85000"/>
                </a:schemeClr>
              </a:solidFill>
              <a:ln w="9525">
                <a:solidFill>
                  <a:schemeClr val="accent6">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PlantData!$BB$40:$BQ$40</c:f>
              <c:numCache>
                <c:formatCode>0.00</c:formatCode>
                <c:ptCount val="16"/>
                <c:pt idx="0">
                  <c:v>0.98211698311534656</c:v>
                </c:pt>
                <c:pt idx="1">
                  <c:v>0.96738984903151315</c:v>
                </c:pt>
                <c:pt idx="2">
                  <c:v>0.96484065406225494</c:v>
                </c:pt>
                <c:pt idx="3">
                  <c:v>0.96869607436849359</c:v>
                </c:pt>
                <c:pt idx="4">
                  <c:v>0.92565916097842127</c:v>
                </c:pt>
                <c:pt idx="5">
                  <c:v>0.92228647119116702</c:v>
                </c:pt>
                <c:pt idx="6">
                  <c:v>0.8971829887448538</c:v>
                </c:pt>
                <c:pt idx="7">
                  <c:v>0.47668070261922391</c:v>
                </c:pt>
                <c:pt idx="8">
                  <c:v>0.60635453229964453</c:v>
                </c:pt>
                <c:pt idx="9">
                  <c:v>0.86012089734626318</c:v>
                </c:pt>
                <c:pt idx="10">
                  <c:v>0.45613387338006839</c:v>
                </c:pt>
                <c:pt idx="11">
                  <c:v>0.75405134042424038</c:v>
                </c:pt>
                <c:pt idx="12">
                  <c:v>0.69239303907165195</c:v>
                </c:pt>
                <c:pt idx="13">
                  <c:v>0.56066538541390676</c:v>
                </c:pt>
                <c:pt idx="14">
                  <c:v>0.66054454791284978</c:v>
                </c:pt>
                <c:pt idx="15">
                  <c:v>0.47456511558712133</c:v>
                </c:pt>
              </c:numCache>
            </c:numRef>
          </c:yVal>
          <c:smooth val="0"/>
          <c:extLst>
            <c:ext xmlns:c16="http://schemas.microsoft.com/office/drawing/2014/chart" uri="{C3380CC4-5D6E-409C-BE32-E72D297353CC}">
              <c16:uniqueId val="{00000026-881A-4F54-B9E5-EE8C9AE35D80}"/>
            </c:ext>
          </c:extLst>
        </c:ser>
        <c:ser>
          <c:idx val="36"/>
          <c:order val="37"/>
          <c:tx>
            <c:strRef>
              <c:f>PlantData!$C$41</c:f>
              <c:strCache>
                <c:ptCount val="1"/>
                <c:pt idx="0">
                  <c:v>SunE Apple Valley</c:v>
                </c:pt>
              </c:strCache>
            </c:strRef>
          </c:tx>
          <c:spPr>
            <a:ln w="12700" cap="rnd">
              <a:noFill/>
              <a:prstDash val="sysDot"/>
              <a:round/>
            </a:ln>
            <a:effectLst/>
          </c:spPr>
          <c:marker>
            <c:symbol val="circle"/>
            <c:size val="5"/>
            <c:spPr>
              <a:solidFill>
                <a:srgbClr val="C00000"/>
              </a:solidFill>
              <a:ln w="9525">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PlantData!$BB$41:$BP$41</c:f>
              <c:numCache>
                <c:formatCode>0.00</c:formatCode>
                <c:ptCount val="15"/>
                <c:pt idx="0">
                  <c:v>0.93977223691069589</c:v>
                </c:pt>
                <c:pt idx="1">
                  <c:v>0.99042071870393844</c:v>
                </c:pt>
                <c:pt idx="2">
                  <c:v>0.9250275158503003</c:v>
                </c:pt>
                <c:pt idx="3">
                  <c:v>0.99583687928885189</c:v>
                </c:pt>
                <c:pt idx="4">
                  <c:v>0.98899455030001049</c:v>
                </c:pt>
                <c:pt idx="5">
                  <c:v>0.92252798374431078</c:v>
                </c:pt>
                <c:pt idx="6">
                  <c:v>0.92561981640879554</c:v>
                </c:pt>
                <c:pt idx="7">
                  <c:v>0.63156024539441125</c:v>
                </c:pt>
                <c:pt idx="8">
                  <c:v>0.90843367437246325</c:v>
                </c:pt>
                <c:pt idx="9">
                  <c:v>0.87616524506516613</c:v>
                </c:pt>
                <c:pt idx="10">
                  <c:v>0.90774125092151614</c:v>
                </c:pt>
                <c:pt idx="11">
                  <c:v>0.71598945831850047</c:v>
                </c:pt>
                <c:pt idx="12">
                  <c:v>0.86239108512963314</c:v>
                </c:pt>
                <c:pt idx="13">
                  <c:v>0.38738756582294059</c:v>
                </c:pt>
                <c:pt idx="14">
                  <c:v>0.28768143828453463</c:v>
                </c:pt>
              </c:numCache>
            </c:numRef>
          </c:yVal>
          <c:smooth val="0"/>
          <c:extLst>
            <c:ext xmlns:c16="http://schemas.microsoft.com/office/drawing/2014/chart" uri="{C3380CC4-5D6E-409C-BE32-E72D297353CC}">
              <c16:uniqueId val="{00000027-881A-4F54-B9E5-EE8C9AE35D80}"/>
            </c:ext>
          </c:extLst>
        </c:ser>
        <c:ser>
          <c:idx val="37"/>
          <c:order val="38"/>
          <c:tx>
            <c:strRef>
              <c:f>PlantData!$C$42</c:f>
              <c:strCache>
                <c:ptCount val="1"/>
                <c:pt idx="0">
                  <c:v>PG&amp;E Vaca-Dixon</c:v>
                </c:pt>
              </c:strCache>
            </c:strRef>
          </c:tx>
          <c:spPr>
            <a:ln w="12700" cap="rnd">
              <a:noFill/>
              <a:prstDash val="sysDot"/>
              <a:round/>
            </a:ln>
            <a:effectLst/>
          </c:spPr>
          <c:marker>
            <c:symbol val="circle"/>
            <c:size val="5"/>
            <c:spPr>
              <a:solidFill>
                <a:srgbClr val="92D050"/>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PlantData!$BB$42:$BP$42</c:f>
              <c:numCache>
                <c:formatCode>0.00</c:formatCode>
                <c:ptCount val="15"/>
                <c:pt idx="0">
                  <c:v>1.0062694940557826</c:v>
                </c:pt>
                <c:pt idx="1">
                  <c:v>1.0489883054979781</c:v>
                </c:pt>
                <c:pt idx="2">
                  <c:v>1.0241725630469876</c:v>
                </c:pt>
                <c:pt idx="3">
                  <c:v>1.1478335182813311</c:v>
                </c:pt>
                <c:pt idx="4">
                  <c:v>0.9940530675790421</c:v>
                </c:pt>
                <c:pt idx="5">
                  <c:v>1.0899380591411845</c:v>
                </c:pt>
                <c:pt idx="6">
                  <c:v>0.99713721198550742</c:v>
                </c:pt>
                <c:pt idx="7">
                  <c:v>0.8543634722665544</c:v>
                </c:pt>
                <c:pt idx="8">
                  <c:v>1.0174357426774554</c:v>
                </c:pt>
                <c:pt idx="9">
                  <c:v>0.77250283686569932</c:v>
                </c:pt>
                <c:pt idx="10">
                  <c:v>0.90393007756490251</c:v>
                </c:pt>
                <c:pt idx="11">
                  <c:v>0.78510904056697117</c:v>
                </c:pt>
                <c:pt idx="12">
                  <c:v>1.0053873404768534</c:v>
                </c:pt>
                <c:pt idx="13">
                  <c:v>0.95223863099589123</c:v>
                </c:pt>
                <c:pt idx="14">
                  <c:v>0.83539876054712958</c:v>
                </c:pt>
              </c:numCache>
            </c:numRef>
          </c:yVal>
          <c:smooth val="0"/>
          <c:extLst>
            <c:ext xmlns:c16="http://schemas.microsoft.com/office/drawing/2014/chart" uri="{C3380CC4-5D6E-409C-BE32-E72D297353CC}">
              <c16:uniqueId val="{00000028-881A-4F54-B9E5-EE8C9AE35D80}"/>
            </c:ext>
          </c:extLst>
        </c:ser>
        <c:ser>
          <c:idx val="38"/>
          <c:order val="39"/>
          <c:tx>
            <c:strRef>
              <c:f>PlantData!$C$43</c:f>
              <c:strCache>
                <c:ptCount val="1"/>
                <c:pt idx="0">
                  <c:v>WWRF Rifle SunE</c:v>
                </c:pt>
              </c:strCache>
            </c:strRef>
          </c:tx>
          <c:spPr>
            <a:ln w="12700" cap="rnd">
              <a:noFill/>
              <a:prstDash val="sysDot"/>
              <a:round/>
            </a:ln>
            <a:effectLst/>
          </c:spPr>
          <c:marker>
            <c:symbol val="circle"/>
            <c:size val="5"/>
            <c:spPr>
              <a:solidFill>
                <a:schemeClr val="accent3">
                  <a:lumMod val="70000"/>
                  <a:lumOff val="30000"/>
                </a:schemeClr>
              </a:solidFill>
              <a:ln w="9525">
                <a:solidFill>
                  <a:schemeClr val="tx2">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PlantData!$BB$43:$BP$43</c:f>
              <c:numCache>
                <c:formatCode>0.00</c:formatCode>
                <c:ptCount val="15"/>
                <c:pt idx="0">
                  <c:v>0.72795568268795274</c:v>
                </c:pt>
                <c:pt idx="1">
                  <c:v>0.6982624985703102</c:v>
                </c:pt>
                <c:pt idx="2">
                  <c:v>0.7492170473836266</c:v>
                </c:pt>
                <c:pt idx="3">
                  <c:v>0.69319889062671813</c:v>
                </c:pt>
                <c:pt idx="4">
                  <c:v>0.70884205484411533</c:v>
                </c:pt>
                <c:pt idx="5">
                  <c:v>0</c:v>
                </c:pt>
                <c:pt idx="6">
                  <c:v>0.71791062552299512</c:v>
                </c:pt>
                <c:pt idx="7">
                  <c:v>0.67988751105210499</c:v>
                </c:pt>
                <c:pt idx="8">
                  <c:v>0.72003557578359256</c:v>
                </c:pt>
                <c:pt idx="9">
                  <c:v>0.69725025877183422</c:v>
                </c:pt>
                <c:pt idx="10">
                  <c:v>0.67421776134174127</c:v>
                </c:pt>
                <c:pt idx="11">
                  <c:v>0.49165930337965585</c:v>
                </c:pt>
                <c:pt idx="12">
                  <c:v>0.51721086004770356</c:v>
                </c:pt>
                <c:pt idx="13">
                  <c:v>0.24992779722402747</c:v>
                </c:pt>
                <c:pt idx="14">
                  <c:v>0.42590931452032882</c:v>
                </c:pt>
              </c:numCache>
            </c:numRef>
          </c:yVal>
          <c:smooth val="0"/>
          <c:extLst>
            <c:ext xmlns:c16="http://schemas.microsoft.com/office/drawing/2014/chart" uri="{C3380CC4-5D6E-409C-BE32-E72D297353CC}">
              <c16:uniqueId val="{00000029-881A-4F54-B9E5-EE8C9AE35D80}"/>
            </c:ext>
          </c:extLst>
        </c:ser>
        <c:ser>
          <c:idx val="39"/>
          <c:order val="40"/>
          <c:tx>
            <c:strRef>
              <c:f>PlantData!$C$44</c:f>
              <c:strCache>
                <c:ptCount val="1"/>
                <c:pt idx="0">
                  <c:v>Woodland Walgreens SunE</c:v>
                </c:pt>
              </c:strCache>
            </c:strRef>
          </c:tx>
          <c:spPr>
            <a:ln w="12700" cap="rnd">
              <a:noFill/>
              <a:prstDash val="sysDot"/>
              <a:round/>
            </a:ln>
            <a:effectLst/>
          </c:spPr>
          <c:marker>
            <c:symbol val="circle"/>
            <c:size val="5"/>
            <c:spPr>
              <a:solidFill>
                <a:schemeClr val="accent4">
                  <a:lumMod val="70000"/>
                  <a:lumOff val="30000"/>
                </a:schemeClr>
              </a:solidFill>
              <a:ln w="9525">
                <a:solidFill>
                  <a:schemeClr val="tx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PlantData!$BB$44:$BQ$44</c:f>
              <c:numCache>
                <c:formatCode>0.00</c:formatCode>
                <c:ptCount val="16"/>
                <c:pt idx="0">
                  <c:v>1.0082735992674154</c:v>
                </c:pt>
                <c:pt idx="1">
                  <c:v>0.94634724755361543</c:v>
                </c:pt>
                <c:pt idx="2">
                  <c:v>0.98052414362736684</c:v>
                </c:pt>
                <c:pt idx="3">
                  <c:v>0.9416661970248934</c:v>
                </c:pt>
                <c:pt idx="4">
                  <c:v>0.88239058104922885</c:v>
                </c:pt>
                <c:pt idx="5">
                  <c:v>0.91094817451511245</c:v>
                </c:pt>
                <c:pt idx="6">
                  <c:v>0.84856426935257312</c:v>
                </c:pt>
                <c:pt idx="7">
                  <c:v>0.26687147567920122</c:v>
                </c:pt>
                <c:pt idx="8">
                  <c:v>0.38482668548890714</c:v>
                </c:pt>
                <c:pt idx="9">
                  <c:v>0.4875526150856872</c:v>
                </c:pt>
                <c:pt idx="10">
                  <c:v>0.92405543712485883</c:v>
                </c:pt>
                <c:pt idx="11">
                  <c:v>0.79670411866218294</c:v>
                </c:pt>
                <c:pt idx="12">
                  <c:v>0.70612183417235574</c:v>
                </c:pt>
                <c:pt idx="13">
                  <c:v>0.60444528823413757</c:v>
                </c:pt>
                <c:pt idx="14">
                  <c:v>0.46567665069308617</c:v>
                </c:pt>
                <c:pt idx="15">
                  <c:v>0.54833444490753414</c:v>
                </c:pt>
              </c:numCache>
            </c:numRef>
          </c:yVal>
          <c:smooth val="0"/>
          <c:extLst>
            <c:ext xmlns:c16="http://schemas.microsoft.com/office/drawing/2014/chart" uri="{C3380CC4-5D6E-409C-BE32-E72D297353CC}">
              <c16:uniqueId val="{0000002A-881A-4F54-B9E5-EE8C9AE35D80}"/>
            </c:ext>
          </c:extLst>
        </c:ser>
        <c:ser>
          <c:idx val="40"/>
          <c:order val="41"/>
          <c:tx>
            <c:strRef>
              <c:f>PlantData!$C$45</c:f>
              <c:strCache>
                <c:ptCount val="1"/>
                <c:pt idx="0">
                  <c:v>Bayville Central</c:v>
                </c:pt>
              </c:strCache>
            </c:strRef>
          </c:tx>
          <c:spPr>
            <a:ln w="12700" cap="rnd">
              <a:noFill/>
              <a:prstDash val="sysDot"/>
              <a:round/>
            </a:ln>
            <a:effectLst/>
          </c:spPr>
          <c:marker>
            <c:symbol val="circle"/>
            <c:size val="5"/>
            <c:spPr>
              <a:solidFill>
                <a:schemeClr val="accent5">
                  <a:lumMod val="70000"/>
                  <a:lumOff val="30000"/>
                </a:schemeClr>
              </a:solidFill>
              <a:ln w="9525">
                <a:solidFill>
                  <a:schemeClr val="tx1"/>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PlantData!$BB$45:$BP$45</c:f>
              <c:numCache>
                <c:formatCode>0.00</c:formatCode>
                <c:ptCount val="15"/>
                <c:pt idx="0">
                  <c:v>0.60088389615911775</c:v>
                </c:pt>
                <c:pt idx="1">
                  <c:v>0.63729899368009613</c:v>
                </c:pt>
                <c:pt idx="2">
                  <c:v>0.69084659734912002</c:v>
                </c:pt>
                <c:pt idx="3">
                  <c:v>0.67464115461432184</c:v>
                </c:pt>
                <c:pt idx="4">
                  <c:v>0.70345748533905417</c:v>
                </c:pt>
                <c:pt idx="5">
                  <c:v>0.78933293343931321</c:v>
                </c:pt>
                <c:pt idx="6">
                  <c:v>0.83895695177744145</c:v>
                </c:pt>
                <c:pt idx="7">
                  <c:v>0.66822879624019371</c:v>
                </c:pt>
                <c:pt idx="8">
                  <c:v>0.62546918620623304</c:v>
                </c:pt>
                <c:pt idx="9">
                  <c:v>0.26361158763757592</c:v>
                </c:pt>
                <c:pt idx="10">
                  <c:v>0.27949320683866907</c:v>
                </c:pt>
                <c:pt idx="11">
                  <c:v>0.6993182206285794</c:v>
                </c:pt>
                <c:pt idx="12">
                  <c:v>0.64107723595816024</c:v>
                </c:pt>
                <c:pt idx="13">
                  <c:v>0.54676727053736407</c:v>
                </c:pt>
                <c:pt idx="14">
                  <c:v>0.51387063861449944</c:v>
                </c:pt>
              </c:numCache>
            </c:numRef>
          </c:yVal>
          <c:smooth val="0"/>
          <c:extLst>
            <c:ext xmlns:c16="http://schemas.microsoft.com/office/drawing/2014/chart" uri="{C3380CC4-5D6E-409C-BE32-E72D297353CC}">
              <c16:uniqueId val="{0000002B-881A-4F54-B9E5-EE8C9AE35D80}"/>
            </c:ext>
          </c:extLst>
        </c:ser>
        <c:ser>
          <c:idx val="41"/>
          <c:order val="42"/>
          <c:tx>
            <c:strRef>
              <c:f>PlantData!$C$46</c:f>
              <c:strCache>
                <c:ptCount val="1"/>
                <c:pt idx="0">
                  <c:v>Blue Wing</c:v>
                </c:pt>
              </c:strCache>
            </c:strRef>
          </c:tx>
          <c:spPr>
            <a:ln w="12700" cap="rnd">
              <a:noFill/>
              <a:prstDash val="sysDot"/>
              <a:round/>
            </a:ln>
            <a:effectLst/>
          </c:spPr>
          <c:marker>
            <c:symbol val="circle"/>
            <c:size val="5"/>
            <c:spPr>
              <a:solidFill>
                <a:schemeClr val="accent6">
                  <a:lumMod val="70000"/>
                  <a:lumOff val="3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PlantData!$BB$46:$BO$46</c:f>
              <c:numCache>
                <c:formatCode>0.00</c:formatCode>
                <c:ptCount val="14"/>
                <c:pt idx="0">
                  <c:v>1.1083968567034146</c:v>
                </c:pt>
                <c:pt idx="1">
                  <c:v>0.97992816875779154</c:v>
                </c:pt>
                <c:pt idx="2">
                  <c:v>0.92601851242217381</c:v>
                </c:pt>
                <c:pt idx="3">
                  <c:v>0.90918092641362525</c:v>
                </c:pt>
                <c:pt idx="4">
                  <c:v>0.86747187266790426</c:v>
                </c:pt>
                <c:pt idx="5">
                  <c:v>0.91996845039011599</c:v>
                </c:pt>
                <c:pt idx="6">
                  <c:v>0.90113960225223599</c:v>
                </c:pt>
                <c:pt idx="7">
                  <c:v>0.87364047070296547</c:v>
                </c:pt>
                <c:pt idx="8">
                  <c:v>0.8748883256501041</c:v>
                </c:pt>
                <c:pt idx="9">
                  <c:v>0.82766214703574648</c:v>
                </c:pt>
                <c:pt idx="10">
                  <c:v>0.80756895573019305</c:v>
                </c:pt>
                <c:pt idx="11">
                  <c:v>0.87186727587407886</c:v>
                </c:pt>
                <c:pt idx="12">
                  <c:v>0.73107708607167554</c:v>
                </c:pt>
                <c:pt idx="13">
                  <c:v>0.7881211717304405</c:v>
                </c:pt>
              </c:numCache>
            </c:numRef>
          </c:yVal>
          <c:smooth val="0"/>
          <c:extLst>
            <c:ext xmlns:c16="http://schemas.microsoft.com/office/drawing/2014/chart" uri="{C3380CC4-5D6E-409C-BE32-E72D297353CC}">
              <c16:uniqueId val="{0000002C-881A-4F54-B9E5-EE8C9AE35D80}"/>
            </c:ext>
          </c:extLst>
        </c:ser>
        <c:ser>
          <c:idx val="42"/>
          <c:order val="43"/>
          <c:tx>
            <c:strRef>
              <c:f>PlantData!$C$47</c:f>
              <c:strCache>
                <c:ptCount val="1"/>
                <c:pt idx="0">
                  <c:v>Copper Mtn 48 (FS)</c:v>
                </c:pt>
              </c:strCache>
            </c:strRef>
          </c:tx>
          <c:spPr>
            <a:ln w="12700" cap="rnd">
              <a:noFill/>
              <a:prstDash val="sysDot"/>
              <a:round/>
            </a:ln>
            <a:effectLst/>
          </c:spPr>
          <c:marker>
            <c:symbol val="circle"/>
            <c:size val="5"/>
            <c:spPr>
              <a:solidFill>
                <a:srgbClr val="FFFF00"/>
              </a:solidFill>
              <a:ln w="9525">
                <a:solidFill>
                  <a:schemeClr val="accent1">
                    <a:lumMod val="7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PlantData!$BB$47:$BO$47</c:f>
              <c:numCache>
                <c:formatCode>0.00</c:formatCode>
                <c:ptCount val="14"/>
                <c:pt idx="0">
                  <c:v>0.97165879043566761</c:v>
                </c:pt>
                <c:pt idx="1">
                  <c:v>0.96148357582371002</c:v>
                </c:pt>
                <c:pt idx="2">
                  <c:v>0.95607772301713589</c:v>
                </c:pt>
                <c:pt idx="3">
                  <c:v>0.94449479836366101</c:v>
                </c:pt>
                <c:pt idx="4">
                  <c:v>0.93529453024088649</c:v>
                </c:pt>
                <c:pt idx="5">
                  <c:v>0.90638243280350661</c:v>
                </c:pt>
                <c:pt idx="6">
                  <c:v>0.93793409498424662</c:v>
                </c:pt>
                <c:pt idx="7">
                  <c:v>0.93334231717355631</c:v>
                </c:pt>
                <c:pt idx="8">
                  <c:v>0.91714778856873069</c:v>
                </c:pt>
                <c:pt idx="9">
                  <c:v>0.94358353823039987</c:v>
                </c:pt>
                <c:pt idx="10">
                  <c:v>0.8920746764747528</c:v>
                </c:pt>
                <c:pt idx="11">
                  <c:v>0.9322411065574655</c:v>
                </c:pt>
                <c:pt idx="12">
                  <c:v>0.89080530327192908</c:v>
                </c:pt>
                <c:pt idx="13">
                  <c:v>0.90560033005345164</c:v>
                </c:pt>
              </c:numCache>
            </c:numRef>
          </c:yVal>
          <c:smooth val="0"/>
          <c:extLst>
            <c:ext xmlns:c16="http://schemas.microsoft.com/office/drawing/2014/chart" uri="{C3380CC4-5D6E-409C-BE32-E72D297353CC}">
              <c16:uniqueId val="{0000002D-881A-4F54-B9E5-EE8C9AE35D80}"/>
            </c:ext>
          </c:extLst>
        </c:ser>
        <c:ser>
          <c:idx val="43"/>
          <c:order val="44"/>
          <c:tx>
            <c:strRef>
              <c:f>PlantData!$C$48</c:f>
              <c:strCache>
                <c:ptCount val="1"/>
                <c:pt idx="0">
                  <c:v>CalRenew-1</c:v>
                </c:pt>
              </c:strCache>
            </c:strRef>
          </c:tx>
          <c:spPr>
            <a:ln w="12700" cap="rnd">
              <a:noFill/>
              <a:prstDash val="sysDot"/>
              <a:round/>
            </a:ln>
            <a:effectLst/>
          </c:spPr>
          <c:marker>
            <c:symbol val="circle"/>
            <c:size val="5"/>
            <c:spPr>
              <a:solidFill>
                <a:srgbClr val="00B0F0"/>
              </a:solidFill>
              <a:ln w="9525">
                <a:solidFill>
                  <a:srgbClr val="FF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PlantData!$BB$48:$BO$48</c:f>
              <c:numCache>
                <c:formatCode>0.00</c:formatCode>
                <c:ptCount val="14"/>
                <c:pt idx="0">
                  <c:v>0.95321386182506673</c:v>
                </c:pt>
                <c:pt idx="1">
                  <c:v>1.0152690065278398</c:v>
                </c:pt>
                <c:pt idx="2">
                  <c:v>1.0503645834065614</c:v>
                </c:pt>
                <c:pt idx="3">
                  <c:v>1.0198218013017404</c:v>
                </c:pt>
                <c:pt idx="4">
                  <c:v>1.0018311370922006</c:v>
                </c:pt>
                <c:pt idx="5">
                  <c:v>0.9251101635727792</c:v>
                </c:pt>
                <c:pt idx="6">
                  <c:v>0.9761574872763642</c:v>
                </c:pt>
                <c:pt idx="7">
                  <c:v>0.98405841288974849</c:v>
                </c:pt>
                <c:pt idx="8">
                  <c:v>0.89958668157058308</c:v>
                </c:pt>
                <c:pt idx="9">
                  <c:v>0.92589293374704318</c:v>
                </c:pt>
                <c:pt idx="10">
                  <c:v>0.53399940606950036</c:v>
                </c:pt>
                <c:pt idx="11">
                  <c:v>0.86380668796970694</c:v>
                </c:pt>
                <c:pt idx="12">
                  <c:v>0.64770616949547422</c:v>
                </c:pt>
                <c:pt idx="13">
                  <c:v>0.13727188425640097</c:v>
                </c:pt>
              </c:numCache>
            </c:numRef>
          </c:yVal>
          <c:smooth val="0"/>
          <c:extLst>
            <c:ext xmlns:c16="http://schemas.microsoft.com/office/drawing/2014/chart" uri="{C3380CC4-5D6E-409C-BE32-E72D297353CC}">
              <c16:uniqueId val="{0000002E-881A-4F54-B9E5-EE8C9AE35D80}"/>
            </c:ext>
          </c:extLst>
        </c:ser>
        <c:ser>
          <c:idx val="44"/>
          <c:order val="45"/>
          <c:tx>
            <c:strRef>
              <c:f>PlantData!$C$49</c:f>
              <c:strCache>
                <c:ptCount val="1"/>
                <c:pt idx="0">
                  <c:v>Carson</c:v>
                </c:pt>
              </c:strCache>
            </c:strRef>
          </c:tx>
          <c:spPr>
            <a:ln w="12700" cap="rnd">
              <a:noFill/>
              <a:prstDash val="sysDot"/>
              <a:round/>
            </a:ln>
            <a:effectLst/>
          </c:spPr>
          <c:marker>
            <c:symbol val="circle"/>
            <c:size val="5"/>
            <c:spPr>
              <a:solidFill>
                <a:srgbClr val="C00000"/>
              </a:solidFill>
              <a:ln w="9525">
                <a:solidFill>
                  <a:srgbClr val="00B05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PlantData!$BB$49:$BP$49</c:f>
              <c:numCache>
                <c:formatCode>0.00</c:formatCode>
                <c:ptCount val="15"/>
                <c:pt idx="0">
                  <c:v>0.92319639436578449</c:v>
                </c:pt>
                <c:pt idx="1">
                  <c:v>0.95502601211107963</c:v>
                </c:pt>
                <c:pt idx="2">
                  <c:v>0.95552649674787249</c:v>
                </c:pt>
                <c:pt idx="3">
                  <c:v>0.77178042150548021</c:v>
                </c:pt>
                <c:pt idx="4">
                  <c:v>0.65439419784912689</c:v>
                </c:pt>
                <c:pt idx="5">
                  <c:v>0.75150368478136886</c:v>
                </c:pt>
                <c:pt idx="6">
                  <c:v>0.84424712966982951</c:v>
                </c:pt>
                <c:pt idx="7">
                  <c:v>0.68918133034271789</c:v>
                </c:pt>
                <c:pt idx="8">
                  <c:v>0.52051178157290379</c:v>
                </c:pt>
                <c:pt idx="9">
                  <c:v>0</c:v>
                </c:pt>
                <c:pt idx="10">
                  <c:v>0.73094494141814204</c:v>
                </c:pt>
                <c:pt idx="11">
                  <c:v>1.0683601106348271</c:v>
                </c:pt>
                <c:pt idx="12">
                  <c:v>0.95621905308271904</c:v>
                </c:pt>
                <c:pt idx="13">
                  <c:v>0.97724672921839095</c:v>
                </c:pt>
                <c:pt idx="14">
                  <c:v>1.0268306840673196</c:v>
                </c:pt>
              </c:numCache>
            </c:numRef>
          </c:yVal>
          <c:smooth val="0"/>
          <c:extLst>
            <c:ext xmlns:c16="http://schemas.microsoft.com/office/drawing/2014/chart" uri="{C3380CC4-5D6E-409C-BE32-E72D297353CC}">
              <c16:uniqueId val="{0000002F-881A-4F54-B9E5-EE8C9AE35D80}"/>
            </c:ext>
          </c:extLst>
        </c:ser>
        <c:ser>
          <c:idx val="45"/>
          <c:order val="46"/>
          <c:tx>
            <c:strRef>
              <c:f>PlantData!$C$51</c:f>
              <c:strCache>
                <c:ptCount val="1"/>
                <c:pt idx="0">
                  <c:v>Crayola</c:v>
                </c:pt>
              </c:strCache>
            </c:strRef>
          </c:tx>
          <c:spPr>
            <a:ln w="12700" cap="rnd">
              <a:noFill/>
              <a:prstDash val="sysDot"/>
              <a:round/>
            </a:ln>
            <a:effectLst/>
          </c:spPr>
          <c:marker>
            <c:symbol val="circle"/>
            <c:size val="5"/>
            <c:spPr>
              <a:solidFill>
                <a:srgbClr val="7030A0"/>
              </a:solidFill>
              <a:ln w="9525">
                <a:solidFill>
                  <a:schemeClr val="accent4"/>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PlantData!$BB$51:$BN$51</c:f>
              <c:numCache>
                <c:formatCode>0.00</c:formatCode>
                <c:ptCount val="13"/>
                <c:pt idx="0">
                  <c:v>0.61298497621163872</c:v>
                </c:pt>
                <c:pt idx="1">
                  <c:v>0.732174628169311</c:v>
                </c:pt>
                <c:pt idx="2">
                  <c:v>0.76441162670687357</c:v>
                </c:pt>
                <c:pt idx="3">
                  <c:v>1.0889149674740692</c:v>
                </c:pt>
                <c:pt idx="4">
                  <c:v>0.66021295722960494</c:v>
                </c:pt>
                <c:pt idx="5">
                  <c:v>0.63978846038394932</c:v>
                </c:pt>
                <c:pt idx="6">
                  <c:v>0.66636258848877894</c:v>
                </c:pt>
                <c:pt idx="7">
                  <c:v>0.67299280454707944</c:v>
                </c:pt>
                <c:pt idx="8">
                  <c:v>0.63552834517314027</c:v>
                </c:pt>
                <c:pt idx="9">
                  <c:v>0.71241083517939152</c:v>
                </c:pt>
                <c:pt idx="10">
                  <c:v>0.69420867850381884</c:v>
                </c:pt>
                <c:pt idx="11">
                  <c:v>0.67683578731903749</c:v>
                </c:pt>
                <c:pt idx="12">
                  <c:v>0.60569045468076588</c:v>
                </c:pt>
              </c:numCache>
            </c:numRef>
          </c:yVal>
          <c:smooth val="0"/>
          <c:extLst>
            <c:ext xmlns:c16="http://schemas.microsoft.com/office/drawing/2014/chart" uri="{C3380CC4-5D6E-409C-BE32-E72D297353CC}">
              <c16:uniqueId val="{00000030-881A-4F54-B9E5-EE8C9AE35D80}"/>
            </c:ext>
          </c:extLst>
        </c:ser>
        <c:ser>
          <c:idx val="46"/>
          <c:order val="47"/>
          <c:tx>
            <c:strRef>
              <c:f>PlantData!$C$52</c:f>
              <c:strCache>
                <c:ptCount val="1"/>
                <c:pt idx="0">
                  <c:v>Duke Egy 10240</c:v>
                </c:pt>
              </c:strCache>
            </c:strRef>
          </c:tx>
          <c:spPr>
            <a:ln w="12700" cap="rnd">
              <a:noFill/>
              <a:prstDash val="sysDot"/>
              <a:round/>
            </a:ln>
            <a:effectLst/>
          </c:spPr>
          <c:marker>
            <c:symbol val="circle"/>
            <c:size val="5"/>
            <c:spPr>
              <a:solidFill>
                <a:srgbClr val="00B0F0"/>
              </a:solidFill>
              <a:ln w="9525">
                <a:solidFill>
                  <a:schemeClr val="bg2">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PlantData!$BB$52:$BO$52</c:f>
              <c:numCache>
                <c:formatCode>0.00</c:formatCode>
                <c:ptCount val="14"/>
                <c:pt idx="0">
                  <c:v>0.87200367460427863</c:v>
                </c:pt>
                <c:pt idx="1">
                  <c:v>0.97539867500064092</c:v>
                </c:pt>
                <c:pt idx="2">
                  <c:v>0.9341603010757118</c:v>
                </c:pt>
                <c:pt idx="3">
                  <c:v>0.93850851623296372</c:v>
                </c:pt>
                <c:pt idx="4">
                  <c:v>0.86149241588067593</c:v>
                </c:pt>
                <c:pt idx="5">
                  <c:v>0.88819236625306475</c:v>
                </c:pt>
                <c:pt idx="6">
                  <c:v>0.69487322501866366</c:v>
                </c:pt>
                <c:pt idx="7">
                  <c:v>0.58644304777476886</c:v>
                </c:pt>
                <c:pt idx="8">
                  <c:v>0.71322931698061975</c:v>
                </c:pt>
                <c:pt idx="9">
                  <c:v>0.71431701888156274</c:v>
                </c:pt>
                <c:pt idx="10">
                  <c:v>0.7408451533896091</c:v>
                </c:pt>
                <c:pt idx="11">
                  <c:v>0.52123361702307602</c:v>
                </c:pt>
                <c:pt idx="12">
                  <c:v>0.55534921915270785</c:v>
                </c:pt>
              </c:numCache>
            </c:numRef>
          </c:yVal>
          <c:smooth val="0"/>
          <c:extLst>
            <c:ext xmlns:c16="http://schemas.microsoft.com/office/drawing/2014/chart" uri="{C3380CC4-5D6E-409C-BE32-E72D297353CC}">
              <c16:uniqueId val="{00000031-881A-4F54-B9E5-EE8C9AE35D80}"/>
            </c:ext>
          </c:extLst>
        </c:ser>
        <c:ser>
          <c:idx val="47"/>
          <c:order val="48"/>
          <c:tx>
            <c:strRef>
              <c:f>PlantData!$C$53</c:f>
              <c:strCache>
                <c:ptCount val="1"/>
                <c:pt idx="0">
                  <c:v>Duke Egy 1725</c:v>
                </c:pt>
              </c:strCache>
            </c:strRef>
          </c:tx>
          <c:spPr>
            <a:ln w="12700" cap="rnd">
              <a:noFill/>
              <a:prstDash val="sysDot"/>
              <a:round/>
            </a:ln>
            <a:effectLst/>
          </c:spPr>
          <c:marker>
            <c:symbol val="circle"/>
            <c:size val="5"/>
            <c:spPr>
              <a:solidFill>
                <a:srgbClr val="FFC000"/>
              </a:solidFill>
              <a:ln w="9525">
                <a:solidFill>
                  <a:schemeClr val="accent6">
                    <a:lumMod val="7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PlantData!$BB$53:$BP$53</c:f>
              <c:numCache>
                <c:formatCode>0.00</c:formatCode>
                <c:ptCount val="15"/>
                <c:pt idx="0">
                  <c:v>0.94088885461924987</c:v>
                </c:pt>
                <c:pt idx="1">
                  <c:v>0.23257892358577023</c:v>
                </c:pt>
                <c:pt idx="2">
                  <c:v>0.28787869938677724</c:v>
                </c:pt>
                <c:pt idx="3">
                  <c:v>0.95390807274362688</c:v>
                </c:pt>
                <c:pt idx="4">
                  <c:v>0.95994422689526926</c:v>
                </c:pt>
                <c:pt idx="5">
                  <c:v>0.96476806723142627</c:v>
                </c:pt>
                <c:pt idx="6">
                  <c:v>1.0455537233140173</c:v>
                </c:pt>
                <c:pt idx="7">
                  <c:v>0.97511932787796796</c:v>
                </c:pt>
                <c:pt idx="8">
                  <c:v>0.87479094857963535</c:v>
                </c:pt>
                <c:pt idx="9">
                  <c:v>0.81930024023990322</c:v>
                </c:pt>
                <c:pt idx="10">
                  <c:v>0.84326642262318785</c:v>
                </c:pt>
                <c:pt idx="11">
                  <c:v>0.52381792639375691</c:v>
                </c:pt>
                <c:pt idx="12">
                  <c:v>0.6305760722950291</c:v>
                </c:pt>
                <c:pt idx="13">
                  <c:v>0.5173957516266906</c:v>
                </c:pt>
                <c:pt idx="14">
                  <c:v>0.58924139285280019</c:v>
                </c:pt>
              </c:numCache>
            </c:numRef>
          </c:yVal>
          <c:smooth val="0"/>
          <c:extLst>
            <c:ext xmlns:c16="http://schemas.microsoft.com/office/drawing/2014/chart" uri="{C3380CC4-5D6E-409C-BE32-E72D297353CC}">
              <c16:uniqueId val="{00000032-881A-4F54-B9E5-EE8C9AE35D80}"/>
            </c:ext>
          </c:extLst>
        </c:ser>
        <c:ser>
          <c:idx val="48"/>
          <c:order val="49"/>
          <c:tx>
            <c:strRef>
              <c:f>PlantData!$C$54</c:f>
              <c:strCache>
                <c:ptCount val="1"/>
                <c:pt idx="0">
                  <c:v>Duke Egy 657</c:v>
                </c:pt>
              </c:strCache>
            </c:strRef>
          </c:tx>
          <c:spPr>
            <a:ln w="12700" cap="rnd">
              <a:noFill/>
              <a:prstDash val="sysDot"/>
              <a:round/>
            </a:ln>
            <a:effectLst/>
          </c:spPr>
          <c:marker>
            <c:symbol val="circle"/>
            <c:size val="5"/>
            <c:spPr>
              <a:solidFill>
                <a:schemeClr val="accent1">
                  <a:lumMod val="50000"/>
                  <a:lumOff val="50000"/>
                </a:schemeClr>
              </a:solidFill>
              <a:ln w="9525">
                <a:solidFill>
                  <a:schemeClr val="accent2">
                    <a:lumMod val="75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PlantData!$BB$54:$BP$54</c:f>
              <c:numCache>
                <c:formatCode>0.00</c:formatCode>
                <c:ptCount val="15"/>
                <c:pt idx="0">
                  <c:v>1.0054821415569357</c:v>
                </c:pt>
                <c:pt idx="1">
                  <c:v>0.9862247799759648</c:v>
                </c:pt>
                <c:pt idx="2">
                  <c:v>0.81680186814158751</c:v>
                </c:pt>
                <c:pt idx="3">
                  <c:v>0.91238570573000377</c:v>
                </c:pt>
                <c:pt idx="4">
                  <c:v>0.99971565905420912</c:v>
                </c:pt>
                <c:pt idx="5">
                  <c:v>0.97264216440791484</c:v>
                </c:pt>
                <c:pt idx="6">
                  <c:v>0.90128248802421862</c:v>
                </c:pt>
                <c:pt idx="7">
                  <c:v>0.74174372781290954</c:v>
                </c:pt>
                <c:pt idx="8">
                  <c:v>0.66697445923341259</c:v>
                </c:pt>
                <c:pt idx="9">
                  <c:v>0.42422561560174504</c:v>
                </c:pt>
                <c:pt idx="10">
                  <c:v>0.40391753931930235</c:v>
                </c:pt>
                <c:pt idx="11">
                  <c:v>0.21450053580080825</c:v>
                </c:pt>
              </c:numCache>
            </c:numRef>
          </c:yVal>
          <c:smooth val="0"/>
          <c:extLst>
            <c:ext xmlns:c16="http://schemas.microsoft.com/office/drawing/2014/chart" uri="{C3380CC4-5D6E-409C-BE32-E72D297353CC}">
              <c16:uniqueId val="{00000033-881A-4F54-B9E5-EE8C9AE35D80}"/>
            </c:ext>
          </c:extLst>
        </c:ser>
        <c:ser>
          <c:idx val="49"/>
          <c:order val="50"/>
          <c:tx>
            <c:strRef>
              <c:f>PlantData!$C$55</c:f>
              <c:strCache>
                <c:ptCount val="1"/>
                <c:pt idx="0">
                  <c:v>Dow Jones</c:v>
                </c:pt>
              </c:strCache>
            </c:strRef>
          </c:tx>
          <c:spPr>
            <a:ln w="12700" cap="rnd">
              <a:noFill/>
              <a:prstDash val="sysDot"/>
              <a:round/>
            </a:ln>
            <a:effectLst/>
          </c:spPr>
          <c:marker>
            <c:symbol val="circle"/>
            <c:size val="5"/>
            <c:spPr>
              <a:solidFill>
                <a:schemeClr val="accent2">
                  <a:lumMod val="50000"/>
                  <a:lumOff val="5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PlantData!$BB$55:$BO$55</c:f>
              <c:numCache>
                <c:formatCode>0.00</c:formatCode>
                <c:ptCount val="14"/>
                <c:pt idx="0">
                  <c:v>0.90361177026642492</c:v>
                </c:pt>
                <c:pt idx="1">
                  <c:v>1.0137516646672524</c:v>
                </c:pt>
                <c:pt idx="2">
                  <c:v>0.99504108352724252</c:v>
                </c:pt>
                <c:pt idx="3">
                  <c:v>0.96016723535284088</c:v>
                </c:pt>
                <c:pt idx="4">
                  <c:v>0.99404615573411981</c:v>
                </c:pt>
                <c:pt idx="5">
                  <c:v>1.0364978619287759</c:v>
                </c:pt>
                <c:pt idx="6">
                  <c:v>0.92431962326275241</c:v>
                </c:pt>
                <c:pt idx="7">
                  <c:v>0.81505595206464754</c:v>
                </c:pt>
                <c:pt idx="8">
                  <c:v>0.98494458241982852</c:v>
                </c:pt>
                <c:pt idx="9">
                  <c:v>0.96400641245117979</c:v>
                </c:pt>
                <c:pt idx="10">
                  <c:v>0.96079755922308474</c:v>
                </c:pt>
                <c:pt idx="11">
                  <c:v>0.70746141612673208</c:v>
                </c:pt>
                <c:pt idx="12">
                  <c:v>0.86932143333747613</c:v>
                </c:pt>
                <c:pt idx="13">
                  <c:v>0</c:v>
                </c:pt>
              </c:numCache>
            </c:numRef>
          </c:yVal>
          <c:smooth val="0"/>
          <c:extLst>
            <c:ext xmlns:c16="http://schemas.microsoft.com/office/drawing/2014/chart" uri="{C3380CC4-5D6E-409C-BE32-E72D297353CC}">
              <c16:uniqueId val="{00000034-881A-4F54-B9E5-EE8C9AE35D80}"/>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a:t>
            </a:r>
          </a:p>
          <a:p>
            <a:pPr>
              <a:defRPr b="1"/>
            </a:pPr>
            <a:r>
              <a:rPr lang="en-US" b="1" baseline="0"/>
              <a:t>Median degradation 3.3%/yr; p90 degr. </a:t>
            </a:r>
            <a:r>
              <a:rPr lang="en-US" b="1" baseline="0">
                <a:latin typeface="Times New Roman" panose="02020603050405020304" pitchFamily="18" charset="0"/>
                <a:cs typeface="Times New Roman" panose="02020603050405020304" pitchFamily="18" charset="0"/>
              </a:rPr>
              <a:t>≈</a:t>
            </a:r>
            <a:r>
              <a:rPr lang="en-US" b="1" baseline="0"/>
              <a:t>5.6-6.6%/yr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p50</c:v>
                </c:pt>
              </c:strCache>
            </c:strRef>
          </c:tx>
          <c:spPr>
            <a:ln w="6350" cap="rnd">
              <a:solidFill>
                <a:srgbClr val="FF0000">
                  <a:alpha val="50000"/>
                </a:srgbClr>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0.22740330853138771"/>
                  <c:y val="1.0805020193314935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1"/>
          <c:extLst>
            <c:ext xmlns:c16="http://schemas.microsoft.com/office/drawing/2014/chart" uri="{C3380CC4-5D6E-409C-BE32-E72D297353CC}">
              <c16:uniqueId val="{00000001-AF67-493A-A8F1-74E7E4942007}"/>
            </c:ext>
          </c:extLst>
        </c:ser>
        <c:ser>
          <c:idx val="28"/>
          <c:order val="1"/>
          <c:tx>
            <c:strRef>
              <c:f>PlantData!$BA$2</c:f>
              <c:strCache>
                <c:ptCount val="1"/>
                <c:pt idx="0">
                  <c:v>p90</c:v>
                </c:pt>
              </c:strCache>
            </c:strRef>
          </c:tx>
          <c:spPr>
            <a:ln w="6350" cap="rnd">
              <a:solidFill>
                <a:schemeClr val="accent6">
                  <a:lumMod val="75000"/>
                  <a:alpha val="50000"/>
                </a:schemeClr>
              </a:solidFill>
              <a:prstDash val="solid"/>
              <a:round/>
            </a:ln>
            <a:effectLst/>
          </c:spPr>
          <c:marker>
            <c:symbol val="none"/>
          </c:marker>
          <c:trendline>
            <c:spPr>
              <a:ln w="31750" cap="rnd">
                <a:solidFill>
                  <a:srgbClr val="00B050"/>
                </a:solidFill>
                <a:prstDash val="sysDot"/>
              </a:ln>
              <a:effectLst/>
            </c:spPr>
            <c:trendlineType val="linear"/>
            <c:dispRSqr val="1"/>
            <c:dispEq val="1"/>
            <c:trendlineLbl>
              <c:layout>
                <c:manualLayout>
                  <c:x val="0.20767486816441522"/>
                  <c:y val="-2.8643178383333894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rgbClr val="00B05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0.75089982994610061</c:v>
                </c:pt>
                <c:pt idx="1">
                  <c:v>0.69731657041896011</c:v>
                </c:pt>
                <c:pt idx="2">
                  <c:v>0.67702937701064758</c:v>
                </c:pt>
                <c:pt idx="3">
                  <c:v>0.69665630738710349</c:v>
                </c:pt>
                <c:pt idx="4">
                  <c:v>0.6757682994044617</c:v>
                </c:pt>
                <c:pt idx="5">
                  <c:v>0.67349319544597153</c:v>
                </c:pt>
                <c:pt idx="6">
                  <c:v>0.6987243105368437</c:v>
                </c:pt>
                <c:pt idx="7">
                  <c:v>0.57219693528298488</c:v>
                </c:pt>
                <c:pt idx="8">
                  <c:v>0.49377774688560766</c:v>
                </c:pt>
                <c:pt idx="9">
                  <c:v>0.50667682262689961</c:v>
                </c:pt>
                <c:pt idx="10">
                  <c:v>0.54405795730211437</c:v>
                </c:pt>
                <c:pt idx="11">
                  <c:v>0.48452895719234063</c:v>
                </c:pt>
                <c:pt idx="12">
                  <c:v>0.43411526807861434</c:v>
                </c:pt>
                <c:pt idx="13">
                  <c:v>0.22955766805195427</c:v>
                </c:pt>
                <c:pt idx="14">
                  <c:v>0.24583535712504645</c:v>
                </c:pt>
                <c:pt idx="15">
                  <c:v>0.29769870360831013</c:v>
                </c:pt>
              </c:numCache>
            </c:numRef>
          </c:yVal>
          <c:smooth val="1"/>
          <c:extLst>
            <c:ext xmlns:c16="http://schemas.microsoft.com/office/drawing/2014/chart" uri="{C3380CC4-5D6E-409C-BE32-E72D297353CC}">
              <c16:uniqueId val="{00000003-AF67-493A-A8F1-74E7E4942007}"/>
            </c:ext>
          </c:extLst>
        </c:ser>
        <c:ser>
          <c:idx val="50"/>
          <c:order val="2"/>
          <c:tx>
            <c:strRef>
              <c:f>PlantData!$BA$113</c:f>
              <c:strCache>
                <c:ptCount val="1"/>
                <c:pt idx="0">
                  <c:v>p90 (obs.rank)</c:v>
                </c:pt>
              </c:strCache>
            </c:strRef>
          </c:tx>
          <c:spPr>
            <a:ln w="6350" cap="rnd">
              <a:solidFill>
                <a:srgbClr val="FF0000">
                  <a:alpha val="50000"/>
                </a:srgbClr>
              </a:solidFill>
              <a:round/>
            </a:ln>
            <a:effectLst/>
          </c:spPr>
          <c:marker>
            <c:symbol val="none"/>
          </c:marker>
          <c:trendline>
            <c:spPr>
              <a:ln w="50800" cap="rnd">
                <a:solidFill>
                  <a:srgbClr val="FF0000"/>
                </a:solidFill>
                <a:prstDash val="sysDot"/>
              </a:ln>
              <a:effectLst/>
            </c:spPr>
            <c:trendlineType val="linear"/>
            <c:dispRSqr val="1"/>
            <c:dispEq val="1"/>
            <c:trendlineLbl>
              <c:layout>
                <c:manualLayout>
                  <c:x val="0.21977028100845192"/>
                  <c:y val="5.6468016646484237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0.73858934353616212</c:v>
                </c:pt>
                <c:pt idx="1">
                  <c:v>0.70760804400333988</c:v>
                </c:pt>
                <c:pt idx="2">
                  <c:v>0.7492170473836266</c:v>
                </c:pt>
                <c:pt idx="3">
                  <c:v>0.77178042150548021</c:v>
                </c:pt>
                <c:pt idx="4">
                  <c:v>0.70461202905769504</c:v>
                </c:pt>
                <c:pt idx="5">
                  <c:v>0.76136818881943491</c:v>
                </c:pt>
                <c:pt idx="6">
                  <c:v>0.71399938901986071</c:v>
                </c:pt>
                <c:pt idx="7">
                  <c:v>0.63156024539441125</c:v>
                </c:pt>
                <c:pt idx="8">
                  <c:v>0.56151689265538174</c:v>
                </c:pt>
                <c:pt idx="9">
                  <c:v>0.48225330819182721</c:v>
                </c:pt>
                <c:pt idx="10">
                  <c:v>0.53513038371745969</c:v>
                </c:pt>
                <c:pt idx="11">
                  <c:v>0.52123361702307602</c:v>
                </c:pt>
                <c:pt idx="12">
                  <c:v>0.48074780230929676</c:v>
                </c:pt>
                <c:pt idx="13">
                  <c:v>0.13727188425640097</c:v>
                </c:pt>
                <c:pt idx="14">
                  <c:v>0.28768143828453463</c:v>
                </c:pt>
                <c:pt idx="15">
                  <c:v>0.40219352703657463</c:v>
                </c:pt>
              </c:numCache>
            </c:numRef>
          </c:yVal>
          <c:smooth val="1"/>
          <c:extLst>
            <c:ext xmlns:c16="http://schemas.microsoft.com/office/drawing/2014/chart" uri="{C3380CC4-5D6E-409C-BE32-E72D297353CC}">
              <c16:uniqueId val="{00000005-AF67-493A-A8F1-74E7E4942007}"/>
            </c:ext>
          </c:extLst>
        </c:ser>
        <c:ser>
          <c:idx val="0"/>
          <c:order val="3"/>
          <c:tx>
            <c:strRef>
              <c:f>PlantData!$C$7</c:f>
              <c:strCache>
                <c:ptCount val="1"/>
                <c:pt idx="0">
                  <c:v>Agua Fria PV-3</c:v>
                </c:pt>
              </c:strCache>
            </c:strRef>
          </c:tx>
          <c:spPr>
            <a:ln w="12700" cap="rnd">
              <a:noFill/>
              <a:prstDash val="sysDot"/>
              <a:round/>
            </a:ln>
            <a:effectLst/>
          </c:spPr>
          <c:marker>
            <c:symbol val="circle"/>
            <c:size val="5"/>
            <c:spPr>
              <a:solidFill>
                <a:schemeClr val="accent1"/>
              </a:solidFill>
              <a:ln w="9525">
                <a:solidFill>
                  <a:schemeClr val="accent1"/>
                </a:solidFill>
              </a:ln>
              <a:effectLst/>
            </c:spPr>
          </c:marker>
          <c:xVal>
            <c:numRef>
              <c:f>PlantData!$BB$6:$BX$6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PlantData!$BB$7:$BX$7</c:f>
              <c:numCache>
                <c:formatCode>0.00</c:formatCode>
                <c:ptCount val="23"/>
                <c:pt idx="0">
                  <c:v>0.72908004236912194</c:v>
                </c:pt>
                <c:pt idx="1">
                  <c:v>0.55094910650373186</c:v>
                </c:pt>
                <c:pt idx="2">
                  <c:v>0.20694499711322348</c:v>
                </c:pt>
                <c:pt idx="3">
                  <c:v>0.53401533955605685</c:v>
                </c:pt>
                <c:pt idx="4">
                  <c:v>0.74949521341200953</c:v>
                </c:pt>
                <c:pt idx="5">
                  <c:v>0.82707357960922245</c:v>
                </c:pt>
                <c:pt idx="6">
                  <c:v>0.38232763244472634</c:v>
                </c:pt>
                <c:pt idx="7">
                  <c:v>0.8373184480151511</c:v>
                </c:pt>
                <c:pt idx="8">
                  <c:v>0.85881771015527997</c:v>
                </c:pt>
                <c:pt idx="9">
                  <c:v>0.84382390551832398</c:v>
                </c:pt>
                <c:pt idx="10">
                  <c:v>0.76655690967362655</c:v>
                </c:pt>
                <c:pt idx="11">
                  <c:v>0.49735261616124876</c:v>
                </c:pt>
                <c:pt idx="12">
                  <c:v>0</c:v>
                </c:pt>
                <c:pt idx="13">
                  <c:v>0.30141821640539301</c:v>
                </c:pt>
                <c:pt idx="14">
                  <c:v>0.42964990284737592</c:v>
                </c:pt>
                <c:pt idx="15">
                  <c:v>0.55916273857820276</c:v>
                </c:pt>
                <c:pt idx="16">
                  <c:v>0.27198673955770158</c:v>
                </c:pt>
                <c:pt idx="17">
                  <c:v>0</c:v>
                </c:pt>
                <c:pt idx="18">
                  <c:v>0</c:v>
                </c:pt>
                <c:pt idx="19">
                  <c:v>0</c:v>
                </c:pt>
                <c:pt idx="20">
                  <c:v>0</c:v>
                </c:pt>
                <c:pt idx="21">
                  <c:v>4.3063836069786303E-2</c:v>
                </c:pt>
                <c:pt idx="22">
                  <c:v>0.16281613062996497</c:v>
                </c:pt>
              </c:numCache>
            </c:numRef>
          </c:yVal>
          <c:smooth val="0"/>
          <c:extLst>
            <c:ext xmlns:c16="http://schemas.microsoft.com/office/drawing/2014/chart" uri="{C3380CC4-5D6E-409C-BE32-E72D297353CC}">
              <c16:uniqueId val="{00000006-AF67-493A-A8F1-74E7E4942007}"/>
            </c:ext>
          </c:extLst>
        </c:ser>
        <c:ser>
          <c:idx val="1"/>
          <c:order val="4"/>
          <c:tx>
            <c:strRef>
              <c:f>PlantData!$C$8</c:f>
              <c:strCache>
                <c:ptCount val="1"/>
                <c:pt idx="0">
                  <c:v>Nellis Sunpower</c:v>
                </c:pt>
              </c:strCache>
            </c:strRef>
          </c:tx>
          <c:spPr>
            <a:ln w="12700" cap="rnd">
              <a:noFill/>
              <a:prstDash val="sysDot"/>
              <a:round/>
            </a:ln>
            <a:effectLst/>
          </c:spPr>
          <c:marker>
            <c:symbol val="circle"/>
            <c:size val="5"/>
            <c:spPr>
              <a:solidFill>
                <a:schemeClr val="accent2"/>
              </a:solidFill>
              <a:ln w="9525">
                <a:solidFill>
                  <a:schemeClr val="accent2"/>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PlantData!$BB$8:$BR$8</c:f>
              <c:numCache>
                <c:formatCode>0.00</c:formatCode>
                <c:ptCount val="17"/>
                <c:pt idx="0">
                  <c:v>1.015625</c:v>
                </c:pt>
                <c:pt idx="1">
                  <c:v>1.0050251256281406</c:v>
                </c:pt>
                <c:pt idx="2">
                  <c:v>0.98801166637206117</c:v>
                </c:pt>
                <c:pt idx="3">
                  <c:v>1.019116694048257</c:v>
                </c:pt>
                <c:pt idx="4">
                  <c:v>1.0253219017702644</c:v>
                </c:pt>
                <c:pt idx="5">
                  <c:v>1.0176249872897576</c:v>
                </c:pt>
                <c:pt idx="6">
                  <c:v>1.004833185811133</c:v>
                </c:pt>
                <c:pt idx="7">
                  <c:v>0.98483134787652638</c:v>
                </c:pt>
                <c:pt idx="8">
                  <c:v>0.64162664039483874</c:v>
                </c:pt>
                <c:pt idx="9">
                  <c:v>0.92234110504153655</c:v>
                </c:pt>
                <c:pt idx="10">
                  <c:v>0.88416417096533406</c:v>
                </c:pt>
                <c:pt idx="11">
                  <c:v>0.87420985500285731</c:v>
                </c:pt>
                <c:pt idx="12">
                  <c:v>0.82832397885082709</c:v>
                </c:pt>
                <c:pt idx="13">
                  <c:v>0.63973273613384696</c:v>
                </c:pt>
                <c:pt idx="14">
                  <c:v>0.66959727753855791</c:v>
                </c:pt>
                <c:pt idx="15">
                  <c:v>0.731852587592284</c:v>
                </c:pt>
                <c:pt idx="16">
                  <c:v>0.80463750837893555</c:v>
                </c:pt>
              </c:numCache>
            </c:numRef>
          </c:yVal>
          <c:smooth val="0"/>
          <c:extLst>
            <c:ext xmlns:c16="http://schemas.microsoft.com/office/drawing/2014/chart" uri="{C3380CC4-5D6E-409C-BE32-E72D297353CC}">
              <c16:uniqueId val="{00000007-AF67-493A-A8F1-74E7E4942007}"/>
            </c:ext>
          </c:extLst>
        </c:ser>
        <c:ser>
          <c:idx val="2"/>
          <c:order val="5"/>
          <c:tx>
            <c:strRef>
              <c:f>PlantData!$C$9</c:f>
              <c:strCache>
                <c:ptCount val="1"/>
                <c:pt idx="0">
                  <c:v>SunE Alamosa1</c:v>
                </c:pt>
              </c:strCache>
            </c:strRef>
          </c:tx>
          <c:spPr>
            <a:ln w="12700" cap="rnd">
              <a:noFill/>
              <a:prstDash val="sysDot"/>
              <a:round/>
            </a:ln>
            <a:effectLst/>
          </c:spPr>
          <c:marker>
            <c:symbol val="circle"/>
            <c:size val="5"/>
            <c:spPr>
              <a:solidFill>
                <a:schemeClr val="accent3"/>
              </a:solidFill>
              <a:ln w="9525">
                <a:solidFill>
                  <a:schemeClr val="accent3"/>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PlantData!$BB$9:$BR$9</c:f>
              <c:numCache>
                <c:formatCode>0.00</c:formatCode>
                <c:ptCount val="17"/>
                <c:pt idx="0">
                  <c:v>0.86156351293016908</c:v>
                </c:pt>
                <c:pt idx="1">
                  <c:v>0.86213917790401451</c:v>
                </c:pt>
                <c:pt idx="2">
                  <c:v>0.87406650235041639</c:v>
                </c:pt>
                <c:pt idx="3">
                  <c:v>0.88788795992287439</c:v>
                </c:pt>
                <c:pt idx="4">
                  <c:v>0.88111824615715939</c:v>
                </c:pt>
                <c:pt idx="5">
                  <c:v>0.85198462509892503</c:v>
                </c:pt>
                <c:pt idx="6">
                  <c:v>0.84076838687239086</c:v>
                </c:pt>
                <c:pt idx="7">
                  <c:v>0.13427458989843302</c:v>
                </c:pt>
                <c:pt idx="8">
                  <c:v>0.13484702472646379</c:v>
                </c:pt>
                <c:pt idx="9">
                  <c:v>1.1499999999999999</c:v>
                </c:pt>
                <c:pt idx="10">
                  <c:v>0.82358963403313246</c:v>
                </c:pt>
                <c:pt idx="11">
                  <c:v>0.80581339165191135</c:v>
                </c:pt>
                <c:pt idx="12">
                  <c:v>0.74415302251885529</c:v>
                </c:pt>
                <c:pt idx="13">
                  <c:v>0.64628863143426585</c:v>
                </c:pt>
                <c:pt idx="14">
                  <c:v>0.7237630095906884</c:v>
                </c:pt>
                <c:pt idx="15">
                  <c:v>0.60172495516561963</c:v>
                </c:pt>
                <c:pt idx="16">
                  <c:v>0.71540008510015962</c:v>
                </c:pt>
              </c:numCache>
            </c:numRef>
          </c:yVal>
          <c:smooth val="0"/>
          <c:extLst>
            <c:ext xmlns:c16="http://schemas.microsoft.com/office/drawing/2014/chart" uri="{C3380CC4-5D6E-409C-BE32-E72D297353CC}">
              <c16:uniqueId val="{00000008-AF67-493A-A8F1-74E7E4942007}"/>
            </c:ext>
          </c:extLst>
        </c:ser>
        <c:ser>
          <c:idx val="3"/>
          <c:order val="6"/>
          <c:tx>
            <c:strRef>
              <c:f>PlantData!$C$10</c:f>
              <c:strCache>
                <c:ptCount val="1"/>
                <c:pt idx="0">
                  <c:v>Atlantic Cty ConvCtr</c:v>
                </c:pt>
              </c:strCache>
            </c:strRef>
          </c:tx>
          <c:spPr>
            <a:ln w="12700" cap="rnd">
              <a:noFill/>
              <a:prstDash val="sysDot"/>
              <a:round/>
            </a:ln>
            <a:effectLst/>
          </c:spPr>
          <c:marker>
            <c:symbol val="circle"/>
            <c:size val="5"/>
            <c:spPr>
              <a:solidFill>
                <a:schemeClr val="accent4"/>
              </a:solidFill>
              <a:ln w="9525">
                <a:solidFill>
                  <a:schemeClr val="accent4"/>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PlantData!$BB$10:$BQ$10</c:f>
              <c:numCache>
                <c:formatCode>0.00</c:formatCode>
                <c:ptCount val="16"/>
                <c:pt idx="0">
                  <c:v>0.89389555950122512</c:v>
                </c:pt>
                <c:pt idx="1">
                  <c:v>0.9831287823903434</c:v>
                </c:pt>
                <c:pt idx="2">
                  <c:v>1.0014478711775401</c:v>
                </c:pt>
                <c:pt idx="3">
                  <c:v>1.0054964208564288</c:v>
                </c:pt>
                <c:pt idx="4">
                  <c:v>0.93935587901701012</c:v>
                </c:pt>
                <c:pt idx="5">
                  <c:v>0.98680813315407667</c:v>
                </c:pt>
                <c:pt idx="6">
                  <c:v>0.99276572626997239</c:v>
                </c:pt>
                <c:pt idx="7">
                  <c:v>1.0245218897433699</c:v>
                </c:pt>
                <c:pt idx="8">
                  <c:v>1.0054585305143209</c:v>
                </c:pt>
                <c:pt idx="9">
                  <c:v>0.97975640071965719</c:v>
                </c:pt>
                <c:pt idx="10">
                  <c:v>1.0587260902800208</c:v>
                </c:pt>
                <c:pt idx="11">
                  <c:v>1.0425400920918948</c:v>
                </c:pt>
                <c:pt idx="12">
                  <c:v>1.0244492649845158</c:v>
                </c:pt>
                <c:pt idx="13">
                  <c:v>1.0668365356124532</c:v>
                </c:pt>
                <c:pt idx="14">
                  <c:v>0.97620569584193784</c:v>
                </c:pt>
                <c:pt idx="15">
                  <c:v>0.72268578207759449</c:v>
                </c:pt>
              </c:numCache>
            </c:numRef>
          </c:yVal>
          <c:smooth val="0"/>
          <c:extLst>
            <c:ext xmlns:c16="http://schemas.microsoft.com/office/drawing/2014/chart" uri="{C3380CC4-5D6E-409C-BE32-E72D297353CC}">
              <c16:uniqueId val="{00000009-AF67-493A-A8F1-74E7E4942007}"/>
            </c:ext>
          </c:extLst>
        </c:ser>
        <c:ser>
          <c:idx val="4"/>
          <c:order val="7"/>
          <c:tx>
            <c:strRef>
              <c:f>PlantData!$C$11</c:f>
              <c:strCache>
                <c:ptCount val="1"/>
                <c:pt idx="0">
                  <c:v>MMA Bolthouse</c:v>
                </c:pt>
              </c:strCache>
            </c:strRef>
          </c:tx>
          <c:spPr>
            <a:ln w="12700" cap="rnd">
              <a:noFill/>
              <a:prstDash val="sysDot"/>
              <a:round/>
            </a:ln>
            <a:effectLst/>
          </c:spPr>
          <c:marker>
            <c:symbol val="circle"/>
            <c:size val="5"/>
            <c:spPr>
              <a:solidFill>
                <a:schemeClr val="accent5"/>
              </a:solidFill>
              <a:ln w="9525">
                <a:solidFill>
                  <a:schemeClr val="accent5"/>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PlantData!$BB$11:$BQ$11</c:f>
              <c:numCache>
                <c:formatCode>0.00</c:formatCode>
                <c:ptCount val="16"/>
                <c:pt idx="0">
                  <c:v>0.58633487313494093</c:v>
                </c:pt>
                <c:pt idx="1">
                  <c:v>0.60348141867953564</c:v>
                </c:pt>
                <c:pt idx="2">
                  <c:v>1.0078391651739538</c:v>
                </c:pt>
                <c:pt idx="3">
                  <c:v>0.996979347895674</c:v>
                </c:pt>
                <c:pt idx="4">
                  <c:v>0.95983517137119456</c:v>
                </c:pt>
                <c:pt idx="5">
                  <c:v>0.97322685862989111</c:v>
                </c:pt>
                <c:pt idx="6">
                  <c:v>0.54036862562873644</c:v>
                </c:pt>
                <c:pt idx="7">
                  <c:v>0.90826539409102469</c:v>
                </c:pt>
                <c:pt idx="8">
                  <c:v>0.7900880364441718</c:v>
                </c:pt>
                <c:pt idx="9">
                  <c:v>0.45797981858334735</c:v>
                </c:pt>
                <c:pt idx="10">
                  <c:v>0.81147140623031899</c:v>
                </c:pt>
                <c:pt idx="11">
                  <c:v>0.68162739650555237</c:v>
                </c:pt>
                <c:pt idx="12">
                  <c:v>0.38159824302896089</c:v>
                </c:pt>
                <c:pt idx="13">
                  <c:v>0.21232109791581905</c:v>
                </c:pt>
                <c:pt idx="14">
                  <c:v>2.3156461544796531E-2</c:v>
                </c:pt>
                <c:pt idx="15">
                  <c:v>1.6766444302170721E-2</c:v>
                </c:pt>
              </c:numCache>
            </c:numRef>
          </c:yVal>
          <c:smooth val="0"/>
          <c:extLst>
            <c:ext xmlns:c16="http://schemas.microsoft.com/office/drawing/2014/chart" uri="{C3380CC4-5D6E-409C-BE32-E72D297353CC}">
              <c16:uniqueId val="{0000000A-AF67-493A-A8F1-74E7E4942007}"/>
            </c:ext>
          </c:extLst>
        </c:ser>
        <c:ser>
          <c:idx val="5"/>
          <c:order val="8"/>
          <c:tx>
            <c:strRef>
              <c:f>PlantData!$C$12</c:f>
              <c:strCache>
                <c:ptCount val="1"/>
                <c:pt idx="0">
                  <c:v>Copper Mtn10 (FS)</c:v>
                </c:pt>
              </c:strCache>
            </c:strRef>
          </c:tx>
          <c:spPr>
            <a:ln w="12700" cap="rnd">
              <a:noFill/>
              <a:prstDash val="sysDot"/>
              <a:round/>
            </a:ln>
            <a:effectLst/>
          </c:spPr>
          <c:marker>
            <c:symbol val="circle"/>
            <c:size val="5"/>
            <c:spPr>
              <a:solidFill>
                <a:schemeClr val="accent6"/>
              </a:solidFill>
              <a:ln w="9525">
                <a:solidFill>
                  <a:schemeClr val="accent6"/>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PlantData!$BB$12:$BQ$12</c:f>
              <c:numCache>
                <c:formatCode>0.00</c:formatCode>
                <c:ptCount val="16"/>
                <c:pt idx="0">
                  <c:v>0.95044134804953506</c:v>
                </c:pt>
                <c:pt idx="1">
                  <c:v>0.93250671184533862</c:v>
                </c:pt>
                <c:pt idx="2">
                  <c:v>0.95492071220662389</c:v>
                </c:pt>
                <c:pt idx="3">
                  <c:v>0.94631192399525366</c:v>
                </c:pt>
                <c:pt idx="4">
                  <c:v>0.91212028376305121</c:v>
                </c:pt>
                <c:pt idx="5">
                  <c:v>0.8939380543496902</c:v>
                </c:pt>
                <c:pt idx="6">
                  <c:v>0.89915368835437881</c:v>
                </c:pt>
                <c:pt idx="7">
                  <c:v>0.86622544220841791</c:v>
                </c:pt>
                <c:pt idx="8">
                  <c:v>0.88245338591118561</c:v>
                </c:pt>
                <c:pt idx="9">
                  <c:v>0.89946518977214518</c:v>
                </c:pt>
                <c:pt idx="10">
                  <c:v>1.040863086118992</c:v>
                </c:pt>
                <c:pt idx="11">
                  <c:v>1.017857095492988</c:v>
                </c:pt>
                <c:pt idx="12">
                  <c:v>0.87073538724378385</c:v>
                </c:pt>
                <c:pt idx="13">
                  <c:v>0.88738104078646562</c:v>
                </c:pt>
                <c:pt idx="14">
                  <c:v>0.90374838962285176</c:v>
                </c:pt>
                <c:pt idx="15">
                  <c:v>0.85090972452679814</c:v>
                </c:pt>
              </c:numCache>
            </c:numRef>
          </c:yVal>
          <c:smooth val="0"/>
          <c:extLst>
            <c:ext xmlns:c16="http://schemas.microsoft.com/office/drawing/2014/chart" uri="{C3380CC4-5D6E-409C-BE32-E72D297353CC}">
              <c16:uniqueId val="{0000000B-AF67-493A-A8F1-74E7E4942007}"/>
            </c:ext>
          </c:extLst>
        </c:ser>
        <c:ser>
          <c:idx val="6"/>
          <c:order val="9"/>
          <c:tx>
            <c:strRef>
              <c:f>PlantData!$C$13</c:f>
              <c:strCache>
                <c:ptCount val="1"/>
                <c:pt idx="0">
                  <c:v>CSU Fresno MMA</c:v>
                </c:pt>
              </c:strCache>
            </c:strRef>
          </c:tx>
          <c:spPr>
            <a:ln w="12700" cap="rnd">
              <a:no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PlantData!$BB$13:$BR$13</c:f>
              <c:numCache>
                <c:formatCode>0.00</c:formatCode>
                <c:ptCount val="17"/>
                <c:pt idx="0">
                  <c:v>0.9321266968325792</c:v>
                </c:pt>
                <c:pt idx="1">
                  <c:v>1.0751884828148499</c:v>
                </c:pt>
                <c:pt idx="2">
                  <c:v>0.73323515839079167</c:v>
                </c:pt>
                <c:pt idx="3">
                  <c:v>0.64373845217303494</c:v>
                </c:pt>
                <c:pt idx="4">
                  <c:v>1.0261880570858803</c:v>
                </c:pt>
                <c:pt idx="5">
                  <c:v>1.0366473248519699</c:v>
                </c:pt>
                <c:pt idx="6">
                  <c:v>0.96791409927509175</c:v>
                </c:pt>
                <c:pt idx="7">
                  <c:v>0.98148143991622561</c:v>
                </c:pt>
                <c:pt idx="8">
                  <c:v>0.97228343674645135</c:v>
                </c:pt>
                <c:pt idx="9">
                  <c:v>0.98190297519142233</c:v>
                </c:pt>
                <c:pt idx="10">
                  <c:v>0.87945405394583143</c:v>
                </c:pt>
                <c:pt idx="11">
                  <c:v>1.0143369631073136</c:v>
                </c:pt>
                <c:pt idx="12">
                  <c:v>0.7887742893662274</c:v>
                </c:pt>
                <c:pt idx="13">
                  <c:v>0.73064362057356824</c:v>
                </c:pt>
                <c:pt idx="14">
                  <c:v>0.41049536955746851</c:v>
                </c:pt>
                <c:pt idx="15">
                  <c:v>0.76239633012337116</c:v>
                </c:pt>
                <c:pt idx="16">
                  <c:v>1.0071618813605576</c:v>
                </c:pt>
              </c:numCache>
            </c:numRef>
          </c:yVal>
          <c:smooth val="0"/>
          <c:extLst>
            <c:ext xmlns:c16="http://schemas.microsoft.com/office/drawing/2014/chart" uri="{C3380CC4-5D6E-409C-BE32-E72D297353CC}">
              <c16:uniqueId val="{0000000C-AF67-493A-A8F1-74E7E4942007}"/>
            </c:ext>
          </c:extLst>
        </c:ser>
        <c:ser>
          <c:idx val="7"/>
          <c:order val="10"/>
          <c:tx>
            <c:strRef>
              <c:f>PlantData!$C$14</c:f>
              <c:strCache>
                <c:ptCount val="1"/>
                <c:pt idx="0">
                  <c:v>Deer Island</c:v>
                </c:pt>
              </c:strCache>
            </c:strRef>
          </c:tx>
          <c:spPr>
            <a:ln w="12700" cap="rnd">
              <a:no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PlantData!$BB$14:$BP$14</c:f>
              <c:numCache>
                <c:formatCode>0.00</c:formatCode>
                <c:ptCount val="15"/>
                <c:pt idx="0">
                  <c:v>0.69329211806078583</c:v>
                </c:pt>
                <c:pt idx="1">
                  <c:v>0.94808994162053417</c:v>
                </c:pt>
                <c:pt idx="2">
                  <c:v>0.95502225412350783</c:v>
                </c:pt>
                <c:pt idx="3">
                  <c:v>0</c:v>
                </c:pt>
                <c:pt idx="4">
                  <c:v>0.91427721624581937</c:v>
                </c:pt>
                <c:pt idx="5">
                  <c:v>0.95958803907724788</c:v>
                </c:pt>
                <c:pt idx="6">
                  <c:v>0.91353524535268849</c:v>
                </c:pt>
                <c:pt idx="7">
                  <c:v>0.88811449625463668</c:v>
                </c:pt>
                <c:pt idx="8">
                  <c:v>0.90263144631008152</c:v>
                </c:pt>
                <c:pt idx="9">
                  <c:v>1.1499999999999999</c:v>
                </c:pt>
                <c:pt idx="10">
                  <c:v>0.85756397690185082</c:v>
                </c:pt>
                <c:pt idx="11">
                  <c:v>0.90043083530821166</c:v>
                </c:pt>
                <c:pt idx="12">
                  <c:v>0.71575834408004357</c:v>
                </c:pt>
                <c:pt idx="13">
                  <c:v>0.71591870987105466</c:v>
                </c:pt>
                <c:pt idx="14">
                  <c:v>0.7149113870631959</c:v>
                </c:pt>
              </c:numCache>
            </c:numRef>
          </c:yVal>
          <c:smooth val="0"/>
          <c:extLst>
            <c:ext xmlns:c16="http://schemas.microsoft.com/office/drawing/2014/chart" uri="{C3380CC4-5D6E-409C-BE32-E72D297353CC}">
              <c16:uniqueId val="{0000000D-AF67-493A-A8F1-74E7E4942007}"/>
            </c:ext>
          </c:extLst>
        </c:ser>
        <c:ser>
          <c:idx val="8"/>
          <c:order val="11"/>
          <c:tx>
            <c:strRef>
              <c:f>PlantData!$C$15</c:f>
              <c:strCache>
                <c:ptCount val="1"/>
                <c:pt idx="0">
                  <c:v>Denver airport MMA</c:v>
                </c:pt>
              </c:strCache>
            </c:strRef>
          </c:tx>
          <c:spPr>
            <a:ln w="12700" cap="rnd">
              <a:no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PlantData!$BB$15:$BQ$15</c:f>
              <c:numCache>
                <c:formatCode>0.00</c:formatCode>
                <c:ptCount val="16"/>
                <c:pt idx="0">
                  <c:v>0.90417327136101655</c:v>
                </c:pt>
                <c:pt idx="1">
                  <c:v>0.96287693858668033</c:v>
                </c:pt>
                <c:pt idx="2">
                  <c:v>0.92226178650119783</c:v>
                </c:pt>
                <c:pt idx="3">
                  <c:v>0.9779361901035919</c:v>
                </c:pt>
                <c:pt idx="4">
                  <c:v>0.41632275079613068</c:v>
                </c:pt>
                <c:pt idx="5">
                  <c:v>0.76533739588972993</c:v>
                </c:pt>
                <c:pt idx="6">
                  <c:v>0.86651205314185831</c:v>
                </c:pt>
                <c:pt idx="7">
                  <c:v>0.92207689598293952</c:v>
                </c:pt>
                <c:pt idx="8">
                  <c:v>0.81307637454167114</c:v>
                </c:pt>
                <c:pt idx="9">
                  <c:v>0.73782887229937133</c:v>
                </c:pt>
                <c:pt idx="10">
                  <c:v>0.61098640142432714</c:v>
                </c:pt>
                <c:pt idx="11">
                  <c:v>0.67041370372568543</c:v>
                </c:pt>
                <c:pt idx="12">
                  <c:v>0.43158667617891461</c:v>
                </c:pt>
                <c:pt idx="13">
                  <c:v>8.1532979971079944E-2</c:v>
                </c:pt>
                <c:pt idx="14">
                  <c:v>0.47526762194197353</c:v>
                </c:pt>
                <c:pt idx="15">
                  <c:v>0.46148447908040591</c:v>
                </c:pt>
              </c:numCache>
            </c:numRef>
          </c:yVal>
          <c:smooth val="0"/>
          <c:extLst>
            <c:ext xmlns:c16="http://schemas.microsoft.com/office/drawing/2014/chart" uri="{C3380CC4-5D6E-409C-BE32-E72D297353CC}">
              <c16:uniqueId val="{0000000E-AF67-493A-A8F1-74E7E4942007}"/>
            </c:ext>
          </c:extLst>
        </c:ser>
        <c:ser>
          <c:idx val="9"/>
          <c:order val="12"/>
          <c:tx>
            <c:strRef>
              <c:f>PlantData!$C$16</c:f>
              <c:strCache>
                <c:ptCount val="1"/>
                <c:pt idx="0">
                  <c:v>Lanai Sunpower</c:v>
                </c:pt>
              </c:strCache>
            </c:strRef>
          </c:tx>
          <c:spPr>
            <a:ln w="12700" cap="rnd">
              <a:no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PlantData!$BB$16:$BQ$16</c:f>
              <c:numCache>
                <c:formatCode>0.00</c:formatCode>
                <c:ptCount val="16"/>
                <c:pt idx="0">
                  <c:v>0.47746905133110534</c:v>
                </c:pt>
                <c:pt idx="1">
                  <c:v>0.61105543606959722</c:v>
                </c:pt>
                <c:pt idx="2">
                  <c:v>0.63355604364368989</c:v>
                </c:pt>
                <c:pt idx="3">
                  <c:v>0.8194624285516694</c:v>
                </c:pt>
                <c:pt idx="4">
                  <c:v>0.61400542064472341</c:v>
                </c:pt>
                <c:pt idx="5">
                  <c:v>0.62237418730595118</c:v>
                </c:pt>
                <c:pt idx="6">
                  <c:v>0.71399938901986071</c:v>
                </c:pt>
                <c:pt idx="7">
                  <c:v>0.83427976135091597</c:v>
                </c:pt>
                <c:pt idx="8">
                  <c:v>0.73335024398355475</c:v>
                </c:pt>
                <c:pt idx="9">
                  <c:v>0.48225330819182721</c:v>
                </c:pt>
                <c:pt idx="10">
                  <c:v>0.52946052903056162</c:v>
                </c:pt>
                <c:pt idx="11">
                  <c:v>0.31542514737915917</c:v>
                </c:pt>
                <c:pt idx="12">
                  <c:v>0</c:v>
                </c:pt>
                <c:pt idx="13">
                  <c:v>5.3161641075107478E-2</c:v>
                </c:pt>
                <c:pt idx="14">
                  <c:v>0</c:v>
                </c:pt>
                <c:pt idx="15">
                  <c:v>0</c:v>
                </c:pt>
              </c:numCache>
            </c:numRef>
          </c:yVal>
          <c:smooth val="0"/>
          <c:extLst>
            <c:ext xmlns:c16="http://schemas.microsoft.com/office/drawing/2014/chart" uri="{C3380CC4-5D6E-409C-BE32-E72D297353CC}">
              <c16:uniqueId val="{0000000F-AF67-493A-A8F1-74E7E4942007}"/>
            </c:ext>
          </c:extLst>
        </c:ser>
        <c:ser>
          <c:idx val="11"/>
          <c:order val="13"/>
          <c:tx>
            <c:strRef>
              <c:f>PlantData!$C$17</c:f>
              <c:strCache>
                <c:ptCount val="1"/>
                <c:pt idx="0">
                  <c:v>MF Mesa Ln</c:v>
                </c:pt>
              </c:strCache>
            </c:strRef>
          </c:tx>
          <c:spPr>
            <a:ln w="12700" cap="rnd">
              <a:noFill/>
              <a:prstDash val="sysDot"/>
              <a:round/>
            </a:ln>
            <a:effectLst/>
          </c:spPr>
          <c:marker>
            <c:symbol val="circle"/>
            <c:size val="5"/>
            <c:spPr>
              <a:solidFill>
                <a:schemeClr val="accent6">
                  <a:lumMod val="60000"/>
                </a:schemeClr>
              </a:solidFill>
              <a:ln w="9525">
                <a:solidFill>
                  <a:schemeClr val="accent6">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PlantData!$BB$17:$BQ$17</c:f>
              <c:numCache>
                <c:formatCode>0.00</c:formatCode>
                <c:ptCount val="16"/>
                <c:pt idx="0">
                  <c:v>0.85543238355545026</c:v>
                </c:pt>
                <c:pt idx="1">
                  <c:v>0.97823972488784183</c:v>
                </c:pt>
                <c:pt idx="2">
                  <c:v>0.93803659703434117</c:v>
                </c:pt>
                <c:pt idx="3">
                  <c:v>0.9729807711336762</c:v>
                </c:pt>
                <c:pt idx="4">
                  <c:v>0.95557340886878306</c:v>
                </c:pt>
                <c:pt idx="5">
                  <c:v>0.91087902059158066</c:v>
                </c:pt>
                <c:pt idx="6">
                  <c:v>0.95975656651849395</c:v>
                </c:pt>
                <c:pt idx="7">
                  <c:v>1.0001480206527387</c:v>
                </c:pt>
                <c:pt idx="8">
                  <c:v>0.89943189669025403</c:v>
                </c:pt>
                <c:pt idx="9">
                  <c:v>0.80973768314409422</c:v>
                </c:pt>
                <c:pt idx="10">
                  <c:v>0.94157159375666022</c:v>
                </c:pt>
                <c:pt idx="11">
                  <c:v>0.89504185210842113</c:v>
                </c:pt>
                <c:pt idx="12">
                  <c:v>0.90999634643955418</c:v>
                </c:pt>
                <c:pt idx="13">
                  <c:v>0.88637339330846454</c:v>
                </c:pt>
                <c:pt idx="14">
                  <c:v>0.79319200920646094</c:v>
                </c:pt>
                <c:pt idx="15">
                  <c:v>0.88080520018748498</c:v>
                </c:pt>
              </c:numCache>
            </c:numRef>
          </c:yVal>
          <c:smooth val="0"/>
          <c:extLst>
            <c:ext xmlns:c16="http://schemas.microsoft.com/office/drawing/2014/chart" uri="{C3380CC4-5D6E-409C-BE32-E72D297353CC}">
              <c16:uniqueId val="{00000010-AF67-493A-A8F1-74E7E4942007}"/>
            </c:ext>
          </c:extLst>
        </c:ser>
        <c:ser>
          <c:idx val="12"/>
          <c:order val="14"/>
          <c:tx>
            <c:strRef>
              <c:f>PlantData!$C$18</c:f>
              <c:strCache>
                <c:ptCount val="1"/>
                <c:pt idx="0">
                  <c:v>Pennsauken</c:v>
                </c:pt>
              </c:strCache>
            </c:strRef>
          </c:tx>
          <c:spPr>
            <a:ln w="12700" cap="rnd">
              <a:noFill/>
              <a:prstDash val="sysDot"/>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PlantData!$BB$18:$BQ$18</c:f>
              <c:numCache>
                <c:formatCode>0.00</c:formatCode>
                <c:ptCount val="16"/>
                <c:pt idx="0">
                  <c:v>0.82513281803273486</c:v>
                </c:pt>
                <c:pt idx="1">
                  <c:v>0.940888972993839</c:v>
                </c:pt>
                <c:pt idx="2">
                  <c:v>0.81214029657899522</c:v>
                </c:pt>
                <c:pt idx="3">
                  <c:v>0.77276517146102985</c:v>
                </c:pt>
                <c:pt idx="4">
                  <c:v>0.78804178878826248</c:v>
                </c:pt>
                <c:pt idx="5">
                  <c:v>0.80249820714527909</c:v>
                </c:pt>
                <c:pt idx="6">
                  <c:v>0.76785062592509135</c:v>
                </c:pt>
                <c:pt idx="7">
                  <c:v>0.7556452839450436</c:v>
                </c:pt>
                <c:pt idx="8">
                  <c:v>0.74523523884095677</c:v>
                </c:pt>
                <c:pt idx="9">
                  <c:v>0.76877554184014818</c:v>
                </c:pt>
                <c:pt idx="10">
                  <c:v>0.66566300514634902</c:v>
                </c:pt>
                <c:pt idx="11">
                  <c:v>0.75128194022313033</c:v>
                </c:pt>
                <c:pt idx="12">
                  <c:v>0.72079633999325121</c:v>
                </c:pt>
                <c:pt idx="13">
                  <c:v>0.6906475546038795</c:v>
                </c:pt>
                <c:pt idx="14">
                  <c:v>0.71741070054296618</c:v>
                </c:pt>
                <c:pt idx="15">
                  <c:v>0.61901679394422493</c:v>
                </c:pt>
              </c:numCache>
            </c:numRef>
          </c:yVal>
          <c:smooth val="0"/>
          <c:extLst>
            <c:ext xmlns:c16="http://schemas.microsoft.com/office/drawing/2014/chart" uri="{C3380CC4-5D6E-409C-BE32-E72D297353CC}">
              <c16:uniqueId val="{00000011-AF67-493A-A8F1-74E7E4942007}"/>
            </c:ext>
          </c:extLst>
        </c:ser>
        <c:ser>
          <c:idx val="13"/>
          <c:order val="15"/>
          <c:tx>
            <c:strRef>
              <c:f>PlantData!$C$19</c:f>
              <c:strCache>
                <c:ptCount val="1"/>
                <c:pt idx="0">
                  <c:v>SAS Solar Farm</c:v>
                </c:pt>
              </c:strCache>
            </c:strRef>
          </c:tx>
          <c:spPr>
            <a:ln w="12700" cap="rnd">
              <a:noFill/>
              <a:prstDash val="sysDot"/>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PlantData!$BB$19:$BQ$19</c:f>
              <c:numCache>
                <c:formatCode>0.00</c:formatCode>
                <c:ptCount val="16"/>
                <c:pt idx="0">
                  <c:v>0.40511215853817695</c:v>
                </c:pt>
                <c:pt idx="1">
                  <c:v>0.64418786984987375</c:v>
                </c:pt>
                <c:pt idx="2">
                  <c:v>0.95159509506163176</c:v>
                </c:pt>
                <c:pt idx="3">
                  <c:v>0.93526667501118654</c:v>
                </c:pt>
                <c:pt idx="4">
                  <c:v>0.84167286704524291</c:v>
                </c:pt>
                <c:pt idx="5">
                  <c:v>0.9109510302879088</c:v>
                </c:pt>
                <c:pt idx="6">
                  <c:v>0.88162020426151599</c:v>
                </c:pt>
                <c:pt idx="7">
                  <c:v>0.89695569293247401</c:v>
                </c:pt>
                <c:pt idx="8">
                  <c:v>0.83542878763150508</c:v>
                </c:pt>
                <c:pt idx="9">
                  <c:v>0.69945962036618736</c:v>
                </c:pt>
                <c:pt idx="10">
                  <c:v>0.50841108005091851</c:v>
                </c:pt>
                <c:pt idx="11">
                  <c:v>0.54990724184923845</c:v>
                </c:pt>
                <c:pt idx="12">
                  <c:v>0.50878122538113635</c:v>
                </c:pt>
                <c:pt idx="13">
                  <c:v>0.54168104397527794</c:v>
                </c:pt>
                <c:pt idx="14">
                  <c:v>0.48990627999807496</c:v>
                </c:pt>
                <c:pt idx="15">
                  <c:v>0.48016533720866172</c:v>
                </c:pt>
              </c:numCache>
            </c:numRef>
          </c:yVal>
          <c:smooth val="0"/>
          <c:extLst>
            <c:ext xmlns:c16="http://schemas.microsoft.com/office/drawing/2014/chart" uri="{C3380CC4-5D6E-409C-BE32-E72D297353CC}">
              <c16:uniqueId val="{00000012-AF67-493A-A8F1-74E7E4942007}"/>
            </c:ext>
          </c:extLst>
        </c:ser>
        <c:ser>
          <c:idx val="14"/>
          <c:order val="16"/>
          <c:tx>
            <c:strRef>
              <c:f>PlantData!$C$20</c:f>
              <c:strCache>
                <c:ptCount val="1"/>
                <c:pt idx="0">
                  <c:v>Sacramento Soleil</c:v>
                </c:pt>
              </c:strCache>
            </c:strRef>
          </c:tx>
          <c:spPr>
            <a:ln w="12700" cap="rnd">
              <a:noFill/>
              <a:prstDash val="sysDot"/>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PlantData!$BB$6:$BM$6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PlantData!$BB$20:$BM$20</c:f>
              <c:numCache>
                <c:formatCode>0.00</c:formatCode>
                <c:ptCount val="12"/>
                <c:pt idx="0">
                  <c:v>0.85876737435078587</c:v>
                </c:pt>
                <c:pt idx="1">
                  <c:v>0.89277365526789976</c:v>
                </c:pt>
                <c:pt idx="2">
                  <c:v>0.91578137613345478</c:v>
                </c:pt>
                <c:pt idx="3">
                  <c:v>0.88367137474568025</c:v>
                </c:pt>
                <c:pt idx="4">
                  <c:v>0.92396899906073349</c:v>
                </c:pt>
                <c:pt idx="5">
                  <c:v>0.88369606548533497</c:v>
                </c:pt>
                <c:pt idx="6">
                  <c:v>0.90808308284307437</c:v>
                </c:pt>
                <c:pt idx="7">
                  <c:v>0.88785187697150159</c:v>
                </c:pt>
                <c:pt idx="8">
                  <c:v>0.90662863313672803</c:v>
                </c:pt>
                <c:pt idx="9">
                  <c:v>0.81900038739378245</c:v>
                </c:pt>
                <c:pt idx="10">
                  <c:v>0.77438236084221312</c:v>
                </c:pt>
                <c:pt idx="11">
                  <c:v>0.73198635691973701</c:v>
                </c:pt>
              </c:numCache>
            </c:numRef>
          </c:yVal>
          <c:smooth val="0"/>
          <c:extLst>
            <c:ext xmlns:c16="http://schemas.microsoft.com/office/drawing/2014/chart" uri="{C3380CC4-5D6E-409C-BE32-E72D297353CC}">
              <c16:uniqueId val="{00000013-AF67-493A-A8F1-74E7E4942007}"/>
            </c:ext>
          </c:extLst>
        </c:ser>
        <c:ser>
          <c:idx val="15"/>
          <c:order val="17"/>
          <c:tx>
            <c:strRef>
              <c:f>PlantData!$C$21</c:f>
              <c:strCache>
                <c:ptCount val="1"/>
                <c:pt idx="0">
                  <c:v>Western 102</c:v>
                </c:pt>
              </c:strCache>
            </c:strRef>
          </c:tx>
          <c:spPr>
            <a:ln w="12700" cap="rnd">
              <a:noFill/>
              <a:prstDash val="sysDot"/>
              <a:round/>
            </a:ln>
            <a:effectLst/>
          </c:spPr>
          <c:marker>
            <c:symbol val="circle"/>
            <c:size val="5"/>
            <c:spPr>
              <a:solidFill>
                <a:schemeClr val="accent4">
                  <a:lumMod val="80000"/>
                  <a:lumOff val="20000"/>
                </a:schemeClr>
              </a:solidFill>
              <a:ln w="9525">
                <a:solidFill>
                  <a:srgbClr val="00B05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PlantData!$BB$21:$BQ$21</c:f>
              <c:numCache>
                <c:formatCode>0.00</c:formatCode>
                <c:ptCount val="16"/>
                <c:pt idx="0">
                  <c:v>0.62499947353688989</c:v>
                </c:pt>
                <c:pt idx="1">
                  <c:v>0.46239126179925705</c:v>
                </c:pt>
                <c:pt idx="2">
                  <c:v>1.0322855618783104</c:v>
                </c:pt>
                <c:pt idx="3">
                  <c:v>0.99140463410623081</c:v>
                </c:pt>
                <c:pt idx="4">
                  <c:v>0.96363793402674525</c:v>
                </c:pt>
                <c:pt idx="5">
                  <c:v>0.94615989046831406</c:v>
                </c:pt>
                <c:pt idx="6">
                  <c:v>0.96802407926571199</c:v>
                </c:pt>
                <c:pt idx="7">
                  <c:v>0.96104266791667115</c:v>
                </c:pt>
                <c:pt idx="8">
                  <c:v>0.96318371624924271</c:v>
                </c:pt>
                <c:pt idx="9">
                  <c:v>0.94293549838382507</c:v>
                </c:pt>
                <c:pt idx="10">
                  <c:v>0.99771477191244717</c:v>
                </c:pt>
                <c:pt idx="11">
                  <c:v>0.86120803518158295</c:v>
                </c:pt>
                <c:pt idx="12">
                  <c:v>0.56892614593276847</c:v>
                </c:pt>
                <c:pt idx="13">
                  <c:v>0.54067555294772152</c:v>
                </c:pt>
                <c:pt idx="14">
                  <c:v>0.49906625060266868</c:v>
                </c:pt>
                <c:pt idx="15">
                  <c:v>0.53180380654722303</c:v>
                </c:pt>
              </c:numCache>
            </c:numRef>
          </c:yVal>
          <c:smooth val="0"/>
          <c:extLst>
            <c:ext xmlns:c16="http://schemas.microsoft.com/office/drawing/2014/chart" uri="{C3380CC4-5D6E-409C-BE32-E72D297353CC}">
              <c16:uniqueId val="{00000014-AF67-493A-A8F1-74E7E4942007}"/>
            </c:ext>
          </c:extLst>
        </c:ser>
        <c:ser>
          <c:idx val="16"/>
          <c:order val="18"/>
          <c:tx>
            <c:strRef>
              <c:f>PlantData!$C$22</c:f>
              <c:strCache>
                <c:ptCount val="1"/>
                <c:pt idx="0">
                  <c:v>Wild Horse</c:v>
                </c:pt>
              </c:strCache>
            </c:strRef>
          </c:tx>
          <c:spPr>
            <a:ln w="12700" cap="rnd">
              <a:noFill/>
              <a:prstDash val="sysDot"/>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PlantData!$BB$22:$BP$22</c:f>
              <c:numCache>
                <c:formatCode>0.00</c:formatCode>
                <c:ptCount val="15"/>
                <c:pt idx="0">
                  <c:v>1.1499999999999999</c:v>
                </c:pt>
                <c:pt idx="1">
                  <c:v>1.1066117886697027</c:v>
                </c:pt>
                <c:pt idx="2">
                  <c:v>1.067349572758393</c:v>
                </c:pt>
                <c:pt idx="3">
                  <c:v>1.0262570576516028</c:v>
                </c:pt>
                <c:pt idx="4">
                  <c:v>1.1177190141996209</c:v>
                </c:pt>
                <c:pt idx="5">
                  <c:v>1.0337532260328532</c:v>
                </c:pt>
                <c:pt idx="6">
                  <c:v>0.68739198291568215</c:v>
                </c:pt>
                <c:pt idx="7">
                  <c:v>0.7009001089916379</c:v>
                </c:pt>
                <c:pt idx="8">
                  <c:v>0.56151689265538174</c:v>
                </c:pt>
                <c:pt idx="9">
                  <c:v>0.13782047719900598</c:v>
                </c:pt>
                <c:pt idx="10">
                  <c:v>0.70568750028372274</c:v>
                </c:pt>
                <c:pt idx="11">
                  <c:v>0.81473950362919945</c:v>
                </c:pt>
                <c:pt idx="12">
                  <c:v>0.93812418895159255</c:v>
                </c:pt>
                <c:pt idx="13">
                  <c:v>0.98576194921508731</c:v>
                </c:pt>
                <c:pt idx="14">
                  <c:v>1.0055911353605851</c:v>
                </c:pt>
              </c:numCache>
            </c:numRef>
          </c:yVal>
          <c:smooth val="0"/>
          <c:extLst>
            <c:ext xmlns:c16="http://schemas.microsoft.com/office/drawing/2014/chart" uri="{C3380CC4-5D6E-409C-BE32-E72D297353CC}">
              <c16:uniqueId val="{00000015-AF67-493A-A8F1-74E7E4942007}"/>
            </c:ext>
          </c:extLst>
        </c:ser>
        <c:ser>
          <c:idx val="17"/>
          <c:order val="19"/>
          <c:tx>
            <c:strRef>
              <c:f>PlantData!$C$23</c:f>
              <c:strCache>
                <c:ptCount val="1"/>
                <c:pt idx="0">
                  <c:v>Aqua Ingrams Mill</c:v>
                </c:pt>
              </c:strCache>
            </c:strRef>
          </c:tx>
          <c:spPr>
            <a:ln w="12700" cap="rnd">
              <a:noFill/>
              <a:prstDash val="sysDot"/>
              <a:round/>
            </a:ln>
            <a:effectLst/>
          </c:spPr>
          <c:marker>
            <c:symbol val="circle"/>
            <c:size val="5"/>
            <c:spPr>
              <a:solidFill>
                <a:schemeClr val="accent6">
                  <a:lumMod val="80000"/>
                  <a:lumOff val="20000"/>
                </a:schemeClr>
              </a:solidFill>
              <a:ln w="9525">
                <a:solidFill>
                  <a:srgbClr val="C0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PlantData!$BB$23:$BO$23</c:f>
              <c:numCache>
                <c:formatCode>0.00</c:formatCode>
                <c:ptCount val="14"/>
                <c:pt idx="0">
                  <c:v>0.84932844202016089</c:v>
                </c:pt>
                <c:pt idx="1">
                  <c:v>0.81930292280576833</c:v>
                </c:pt>
                <c:pt idx="2">
                  <c:v>0</c:v>
                </c:pt>
                <c:pt idx="3">
                  <c:v>0.8458220254866855</c:v>
                </c:pt>
                <c:pt idx="4">
                  <c:v>0.80133405992445006</c:v>
                </c:pt>
                <c:pt idx="5">
                  <c:v>0.79963555004487974</c:v>
                </c:pt>
                <c:pt idx="6">
                  <c:v>0.68985081213419952</c:v>
                </c:pt>
                <c:pt idx="7">
                  <c:v>0.79098583719077264</c:v>
                </c:pt>
                <c:pt idx="8">
                  <c:v>0.7445894544052194</c:v>
                </c:pt>
                <c:pt idx="9">
                  <c:v>0.87359381960053983</c:v>
                </c:pt>
                <c:pt idx="10">
                  <c:v>0.72404305312341743</c:v>
                </c:pt>
                <c:pt idx="11">
                  <c:v>0.88174014799311551</c:v>
                </c:pt>
                <c:pt idx="12">
                  <c:v>0.53895009699678198</c:v>
                </c:pt>
                <c:pt idx="13">
                  <c:v>0.50921185953056891</c:v>
                </c:pt>
              </c:numCache>
            </c:numRef>
          </c:yVal>
          <c:smooth val="0"/>
          <c:extLst>
            <c:ext xmlns:c16="http://schemas.microsoft.com/office/drawing/2014/chart" uri="{C3380CC4-5D6E-409C-BE32-E72D297353CC}">
              <c16:uniqueId val="{00000016-AF67-493A-A8F1-74E7E4942007}"/>
            </c:ext>
          </c:extLst>
        </c:ser>
        <c:ser>
          <c:idx val="18"/>
          <c:order val="20"/>
          <c:tx>
            <c:strRef>
              <c:f>PlantData!$C$24</c:f>
              <c:strCache>
                <c:ptCount val="1"/>
                <c:pt idx="0">
                  <c:v>Calpine Vineland Solar LLC</c:v>
                </c:pt>
              </c:strCache>
            </c:strRef>
          </c:tx>
          <c:spPr>
            <a:ln w="12700" cap="rnd">
              <a:noFill/>
              <a:prstDash val="sysDot"/>
              <a:round/>
            </a:ln>
            <a:effectLst/>
          </c:spPr>
          <c:marker>
            <c:symbol val="circle"/>
            <c:size val="5"/>
            <c:spPr>
              <a:solidFill>
                <a:schemeClr val="accent1">
                  <a:lumMod val="80000"/>
                </a:schemeClr>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PlantData!$BB$24:$BP$24</c:f>
              <c:numCache>
                <c:formatCode>0.00</c:formatCode>
                <c:ptCount val="15"/>
                <c:pt idx="0">
                  <c:v>1.1499999999999999</c:v>
                </c:pt>
                <c:pt idx="1">
                  <c:v>0.93329526659240214</c:v>
                </c:pt>
                <c:pt idx="2">
                  <c:v>1.1499999999999999</c:v>
                </c:pt>
                <c:pt idx="3">
                  <c:v>0.92210075402621572</c:v>
                </c:pt>
                <c:pt idx="4">
                  <c:v>0.95123112915668306</c:v>
                </c:pt>
                <c:pt idx="5">
                  <c:v>0.93624599191935165</c:v>
                </c:pt>
                <c:pt idx="6">
                  <c:v>0.97667202395458141</c:v>
                </c:pt>
                <c:pt idx="7">
                  <c:v>0.96021458000851179</c:v>
                </c:pt>
                <c:pt idx="8">
                  <c:v>0.89516547793193413</c:v>
                </c:pt>
                <c:pt idx="9">
                  <c:v>0.92230574854949232</c:v>
                </c:pt>
                <c:pt idx="10">
                  <c:v>0.88391789823457056</c:v>
                </c:pt>
                <c:pt idx="11">
                  <c:v>0.98091205450175101</c:v>
                </c:pt>
                <c:pt idx="12">
                  <c:v>0.98997137902044896</c:v>
                </c:pt>
                <c:pt idx="13">
                  <c:v>1.0178661451052344</c:v>
                </c:pt>
                <c:pt idx="14">
                  <c:v>0.97310165517117186</c:v>
                </c:pt>
              </c:numCache>
            </c:numRef>
          </c:yVal>
          <c:smooth val="0"/>
          <c:extLst>
            <c:ext xmlns:c16="http://schemas.microsoft.com/office/drawing/2014/chart" uri="{C3380CC4-5D6E-409C-BE32-E72D297353CC}">
              <c16:uniqueId val="{00000017-AF67-493A-A8F1-74E7E4942007}"/>
            </c:ext>
          </c:extLst>
        </c:ser>
        <c:ser>
          <c:idx val="19"/>
          <c:order val="21"/>
          <c:tx>
            <c:strRef>
              <c:f>PlantData!$C$25</c:f>
              <c:strCache>
                <c:ptCount val="1"/>
                <c:pt idx="0">
                  <c:v>Chuckawalla SunE</c:v>
                </c:pt>
              </c:strCache>
            </c:strRef>
          </c:tx>
          <c:spPr>
            <a:ln w="12700" cap="rnd">
              <a:noFill/>
              <a:prstDash val="sysDot"/>
              <a:round/>
            </a:ln>
            <a:effectLst/>
          </c:spPr>
          <c:marker>
            <c:symbol val="circle"/>
            <c:size val="5"/>
            <c:spPr>
              <a:solidFill>
                <a:schemeClr val="accent2">
                  <a:lumMod val="80000"/>
                </a:schemeClr>
              </a:solidFill>
              <a:ln w="9525">
                <a:solidFill>
                  <a:schemeClr val="accent2">
                    <a:lumMod val="8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PlantData!$BB$25:$BQ$25</c:f>
              <c:numCache>
                <c:formatCode>0.00</c:formatCode>
                <c:ptCount val="16"/>
                <c:pt idx="0">
                  <c:v>0.9397279776459756</c:v>
                </c:pt>
                <c:pt idx="1">
                  <c:v>0.94626822730540161</c:v>
                </c:pt>
                <c:pt idx="2">
                  <c:v>0.97477608844883712</c:v>
                </c:pt>
                <c:pt idx="3">
                  <c:v>0.79604288422915137</c:v>
                </c:pt>
                <c:pt idx="4">
                  <c:v>0.95137766530490397</c:v>
                </c:pt>
                <c:pt idx="5">
                  <c:v>0.92972730721323993</c:v>
                </c:pt>
                <c:pt idx="6">
                  <c:v>0.88965998544847691</c:v>
                </c:pt>
                <c:pt idx="7">
                  <c:v>1.1499999999999999</c:v>
                </c:pt>
                <c:pt idx="8">
                  <c:v>0.83036789319248561</c:v>
                </c:pt>
                <c:pt idx="9">
                  <c:v>0.72336313579878453</c:v>
                </c:pt>
                <c:pt idx="10">
                  <c:v>0.85917960396383719</c:v>
                </c:pt>
                <c:pt idx="11">
                  <c:v>0.78990630259889538</c:v>
                </c:pt>
                <c:pt idx="12">
                  <c:v>0.71030981984560804</c:v>
                </c:pt>
                <c:pt idx="13">
                  <c:v>0.23361564604990759</c:v>
                </c:pt>
                <c:pt idx="14">
                  <c:v>0.55883804196497677</c:v>
                </c:pt>
                <c:pt idx="15">
                  <c:v>0.67719329310559118</c:v>
                </c:pt>
              </c:numCache>
            </c:numRef>
          </c:yVal>
          <c:smooth val="0"/>
          <c:extLst>
            <c:ext xmlns:c16="http://schemas.microsoft.com/office/drawing/2014/chart" uri="{C3380CC4-5D6E-409C-BE32-E72D297353CC}">
              <c16:uniqueId val="{00000018-AF67-493A-A8F1-74E7E4942007}"/>
            </c:ext>
          </c:extLst>
        </c:ser>
        <c:ser>
          <c:idx val="20"/>
          <c:order val="22"/>
          <c:tx>
            <c:strRef>
              <c:f>PlantData!$C$26</c:f>
              <c:strCache>
                <c:ptCount val="1"/>
                <c:pt idx="0">
                  <c:v>DeSoto</c:v>
                </c:pt>
              </c:strCache>
            </c:strRef>
          </c:tx>
          <c:spPr>
            <a:ln w="12700" cap="rnd">
              <a:noFill/>
              <a:prstDash val="sysDot"/>
              <a:round/>
            </a:ln>
            <a:effectLst/>
          </c:spPr>
          <c:marker>
            <c:symbol val="circle"/>
            <c:size val="5"/>
            <c:spPr>
              <a:solidFill>
                <a:schemeClr val="accent3">
                  <a:lumMod val="80000"/>
                </a:schemeClr>
              </a:solidFill>
              <a:ln w="9525">
                <a:solidFill>
                  <a:srgbClr val="C0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PlantData!$BB$26:$BP$26</c:f>
              <c:numCache>
                <c:formatCode>0.00</c:formatCode>
                <c:ptCount val="15"/>
                <c:pt idx="0">
                  <c:v>1.1447120810616873</c:v>
                </c:pt>
                <c:pt idx="1">
                  <c:v>1.1181985147922018</c:v>
                </c:pt>
                <c:pt idx="2">
                  <c:v>1.1282179301930526</c:v>
                </c:pt>
                <c:pt idx="3">
                  <c:v>1.0855019565960997</c:v>
                </c:pt>
                <c:pt idx="4">
                  <c:v>1.0382776322405904</c:v>
                </c:pt>
                <c:pt idx="5">
                  <c:v>1.1010379623553797</c:v>
                </c:pt>
                <c:pt idx="6">
                  <c:v>1.0759187428988659</c:v>
                </c:pt>
                <c:pt idx="7">
                  <c:v>1.0713233879102675</c:v>
                </c:pt>
                <c:pt idx="8">
                  <c:v>1.0472650195377127</c:v>
                </c:pt>
                <c:pt idx="9">
                  <c:v>1.0272034140226431</c:v>
                </c:pt>
                <c:pt idx="10">
                  <c:v>0.91573508927047642</c:v>
                </c:pt>
                <c:pt idx="11">
                  <c:v>0.99192734090234791</c:v>
                </c:pt>
                <c:pt idx="12">
                  <c:v>0.85519917129471823</c:v>
                </c:pt>
                <c:pt idx="13">
                  <c:v>0.7663868075145468</c:v>
                </c:pt>
                <c:pt idx="14">
                  <c:v>0.6459741309634246</c:v>
                </c:pt>
              </c:numCache>
            </c:numRef>
          </c:yVal>
          <c:smooth val="0"/>
          <c:extLst>
            <c:ext xmlns:c16="http://schemas.microsoft.com/office/drawing/2014/chart" uri="{C3380CC4-5D6E-409C-BE32-E72D297353CC}">
              <c16:uniqueId val="{00000019-AF67-493A-A8F1-74E7E4942007}"/>
            </c:ext>
          </c:extLst>
        </c:ser>
        <c:ser>
          <c:idx val="21"/>
          <c:order val="23"/>
          <c:tx>
            <c:strRef>
              <c:f>PlantData!$C$27</c:f>
              <c:strCache>
                <c:ptCount val="1"/>
                <c:pt idx="0">
                  <c:v>Exelon Chicago</c:v>
                </c:pt>
              </c:strCache>
            </c:strRef>
          </c:tx>
          <c:spPr>
            <a:ln w="12700" cap="rnd">
              <a:noFill/>
              <a:prstDash val="sysDot"/>
              <a:round/>
            </a:ln>
            <a:effectLst/>
          </c:spPr>
          <c:marker>
            <c:symbol val="circle"/>
            <c:size val="5"/>
            <c:spPr>
              <a:solidFill>
                <a:schemeClr val="accent4">
                  <a:lumMod val="80000"/>
                </a:schemeClr>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PlantData!$BB$27:$BQ$27</c:f>
              <c:numCache>
                <c:formatCode>0.00</c:formatCode>
                <c:ptCount val="16"/>
                <c:pt idx="0">
                  <c:v>0.97024285279653288</c:v>
                </c:pt>
                <c:pt idx="1">
                  <c:v>0.96939664714700013</c:v>
                </c:pt>
                <c:pt idx="2">
                  <c:v>1.0447988369508445</c:v>
                </c:pt>
                <c:pt idx="3">
                  <c:v>0.99524877547808144</c:v>
                </c:pt>
                <c:pt idx="4">
                  <c:v>1.0166257693962071</c:v>
                </c:pt>
                <c:pt idx="5">
                  <c:v>0.99353071674133187</c:v>
                </c:pt>
                <c:pt idx="6">
                  <c:v>0.99682684749574446</c:v>
                </c:pt>
                <c:pt idx="7">
                  <c:v>1.0178915475775578</c:v>
                </c:pt>
                <c:pt idx="8">
                  <c:v>0.97823933271607333</c:v>
                </c:pt>
                <c:pt idx="9">
                  <c:v>1.0111406926833415</c:v>
                </c:pt>
                <c:pt idx="10">
                  <c:v>0.99711039884967956</c:v>
                </c:pt>
                <c:pt idx="11">
                  <c:v>0.95500841508594458</c:v>
                </c:pt>
                <c:pt idx="12">
                  <c:v>0.98464764218151402</c:v>
                </c:pt>
                <c:pt idx="13">
                  <c:v>0.92143600479995114</c:v>
                </c:pt>
                <c:pt idx="14">
                  <c:v>0.85896221294256359</c:v>
                </c:pt>
                <c:pt idx="15">
                  <c:v>0.95135165888600792</c:v>
                </c:pt>
              </c:numCache>
            </c:numRef>
          </c:yVal>
          <c:smooth val="0"/>
          <c:extLst>
            <c:ext xmlns:c16="http://schemas.microsoft.com/office/drawing/2014/chart" uri="{C3380CC4-5D6E-409C-BE32-E72D297353CC}">
              <c16:uniqueId val="{0000001A-AF67-493A-A8F1-74E7E4942007}"/>
            </c:ext>
          </c:extLst>
        </c:ser>
        <c:ser>
          <c:idx val="22"/>
          <c:order val="24"/>
          <c:tx>
            <c:strRef>
              <c:f>PlantData!$C$28</c:f>
              <c:strCache>
                <c:ptCount val="1"/>
                <c:pt idx="0">
                  <c:v>Hall's Warehouse</c:v>
                </c:pt>
              </c:strCache>
            </c:strRef>
          </c:tx>
          <c:spPr>
            <a:ln w="12700" cap="rnd">
              <a:noFill/>
              <a:prstDash val="sysDot"/>
              <a:round/>
            </a:ln>
            <a:effectLst/>
          </c:spPr>
          <c:marker>
            <c:symbol val="circle"/>
            <c:size val="5"/>
            <c:spPr>
              <a:solidFill>
                <a:schemeClr val="accent5">
                  <a:lumMod val="80000"/>
                </a:schemeClr>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PlantData!$BB$28:$BQ$28</c:f>
              <c:numCache>
                <c:formatCode>0.00</c:formatCode>
                <c:ptCount val="16"/>
                <c:pt idx="0">
                  <c:v>0.87523150448372389</c:v>
                </c:pt>
                <c:pt idx="1">
                  <c:v>0.97741851847245964</c:v>
                </c:pt>
                <c:pt idx="2">
                  <c:v>0.90625746260411122</c:v>
                </c:pt>
                <c:pt idx="3">
                  <c:v>0.96874635100024997</c:v>
                </c:pt>
                <c:pt idx="4">
                  <c:v>0.8920026258840611</c:v>
                </c:pt>
                <c:pt idx="5">
                  <c:v>0.61396515005826247</c:v>
                </c:pt>
                <c:pt idx="6">
                  <c:v>0.72696250493707582</c:v>
                </c:pt>
                <c:pt idx="7">
                  <c:v>0.70542194206335551</c:v>
                </c:pt>
                <c:pt idx="8">
                  <c:v>0.86770521616109353</c:v>
                </c:pt>
                <c:pt idx="9">
                  <c:v>0.80648934697814678</c:v>
                </c:pt>
                <c:pt idx="10">
                  <c:v>0.76578518395678297</c:v>
                </c:pt>
                <c:pt idx="11">
                  <c:v>0.71575407310762018</c:v>
                </c:pt>
                <c:pt idx="12">
                  <c:v>0.67463979516376649</c:v>
                </c:pt>
                <c:pt idx="13">
                  <c:v>0.85228064501043443</c:v>
                </c:pt>
                <c:pt idx="14">
                  <c:v>0.79986066721812488</c:v>
                </c:pt>
                <c:pt idx="15">
                  <c:v>0.72016357369500106</c:v>
                </c:pt>
              </c:numCache>
            </c:numRef>
          </c:yVal>
          <c:smooth val="0"/>
          <c:extLst>
            <c:ext xmlns:c16="http://schemas.microsoft.com/office/drawing/2014/chart" uri="{C3380CC4-5D6E-409C-BE32-E72D297353CC}">
              <c16:uniqueId val="{0000001B-AF67-493A-A8F1-74E7E4942007}"/>
            </c:ext>
          </c:extLst>
        </c:ser>
        <c:ser>
          <c:idx val="23"/>
          <c:order val="25"/>
          <c:tx>
            <c:strRef>
              <c:f>PlantData!$C$29</c:f>
              <c:strCache>
                <c:ptCount val="1"/>
                <c:pt idx="0">
                  <c:v>Kohl's San Bernardino SunE</c:v>
                </c:pt>
              </c:strCache>
            </c:strRef>
          </c:tx>
          <c:spPr>
            <a:ln w="12700" cap="rnd">
              <a:noFill/>
              <a:prstDash val="sysDot"/>
              <a:round/>
            </a:ln>
            <a:effectLst/>
          </c:spPr>
          <c:marker>
            <c:symbol val="circle"/>
            <c:size val="5"/>
            <c:spPr>
              <a:solidFill>
                <a:srgbClr val="92D050"/>
              </a:solidFill>
              <a:ln w="9525">
                <a:solidFill>
                  <a:schemeClr val="bg2">
                    <a:lumMod val="1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PlantData!$BB$29:$BQ$29</c:f>
              <c:numCache>
                <c:formatCode>0.00</c:formatCode>
                <c:ptCount val="16"/>
                <c:pt idx="0">
                  <c:v>0.90504472924699808</c:v>
                </c:pt>
                <c:pt idx="1">
                  <c:v>0.89271160561876106</c:v>
                </c:pt>
                <c:pt idx="2">
                  <c:v>1.1499999999999999</c:v>
                </c:pt>
                <c:pt idx="3">
                  <c:v>0.91524676122308857</c:v>
                </c:pt>
                <c:pt idx="4">
                  <c:v>0.88809240353828423</c:v>
                </c:pt>
                <c:pt idx="5">
                  <c:v>0.81555836486441147</c:v>
                </c:pt>
                <c:pt idx="6">
                  <c:v>0.97646052861196742</c:v>
                </c:pt>
                <c:pt idx="7">
                  <c:v>0.43951750099699755</c:v>
                </c:pt>
                <c:pt idx="8">
                  <c:v>0</c:v>
                </c:pt>
                <c:pt idx="9">
                  <c:v>0.52405250641852774</c:v>
                </c:pt>
                <c:pt idx="10">
                  <c:v>0.71055854100933258</c:v>
                </c:pt>
                <c:pt idx="11">
                  <c:v>0.7595452975172492</c:v>
                </c:pt>
                <c:pt idx="12">
                  <c:v>0.76336210805753679</c:v>
                </c:pt>
                <c:pt idx="13">
                  <c:v>0.85736364827681688</c:v>
                </c:pt>
                <c:pt idx="14">
                  <c:v>0.55590033008979767</c:v>
                </c:pt>
                <c:pt idx="15">
                  <c:v>0.50277115951997264</c:v>
                </c:pt>
              </c:numCache>
            </c:numRef>
          </c:yVal>
          <c:smooth val="0"/>
          <c:extLst>
            <c:ext xmlns:c16="http://schemas.microsoft.com/office/drawing/2014/chart" uri="{C3380CC4-5D6E-409C-BE32-E72D297353CC}">
              <c16:uniqueId val="{0000001C-AF67-493A-A8F1-74E7E4942007}"/>
            </c:ext>
          </c:extLst>
        </c:ser>
        <c:ser>
          <c:idx val="24"/>
          <c:order val="26"/>
          <c:tx>
            <c:strRef>
              <c:f>PlantData!$C$30</c:f>
              <c:strCache>
                <c:ptCount val="1"/>
                <c:pt idx="0">
                  <c:v>Mariani Packing SunE</c:v>
                </c:pt>
              </c:strCache>
            </c:strRef>
          </c:tx>
          <c:spPr>
            <a:ln w="12700" cap="rnd">
              <a:noFill/>
              <a:prstDash val="sysDot"/>
              <a:round/>
            </a:ln>
            <a:effectLst/>
          </c:spPr>
          <c:marker>
            <c:symbol val="circle"/>
            <c:size val="5"/>
            <c:spPr>
              <a:solidFill>
                <a:srgbClr val="002060"/>
              </a:solidFill>
              <a:ln w="9525">
                <a:solidFill>
                  <a:schemeClr val="accent1">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PlantData!$BB$30:$BQ$30</c:f>
              <c:numCache>
                <c:formatCode>0.00</c:formatCode>
                <c:ptCount val="16"/>
                <c:pt idx="0">
                  <c:v>0.97508835019461948</c:v>
                </c:pt>
                <c:pt idx="1">
                  <c:v>0.5557849429614552</c:v>
                </c:pt>
                <c:pt idx="2">
                  <c:v>0.97997842278659186</c:v>
                </c:pt>
                <c:pt idx="3">
                  <c:v>0.9958132419172786</c:v>
                </c:pt>
                <c:pt idx="4">
                  <c:v>1.0676049391313194</c:v>
                </c:pt>
                <c:pt idx="5">
                  <c:v>0.99733092812824931</c:v>
                </c:pt>
                <c:pt idx="6">
                  <c:v>1.0119079402728264</c:v>
                </c:pt>
                <c:pt idx="7">
                  <c:v>0.94261581175943177</c:v>
                </c:pt>
                <c:pt idx="8">
                  <c:v>0.85887197990040387</c:v>
                </c:pt>
                <c:pt idx="9">
                  <c:v>0.70833537976558925</c:v>
                </c:pt>
                <c:pt idx="10">
                  <c:v>0.90039803688650888</c:v>
                </c:pt>
                <c:pt idx="11">
                  <c:v>0.91214964220902661</c:v>
                </c:pt>
                <c:pt idx="12">
                  <c:v>0.81245294935306722</c:v>
                </c:pt>
                <c:pt idx="13">
                  <c:v>0.2841710836413367</c:v>
                </c:pt>
                <c:pt idx="14">
                  <c:v>0.46691519159915357</c:v>
                </c:pt>
                <c:pt idx="15">
                  <c:v>0.65991544148772974</c:v>
                </c:pt>
              </c:numCache>
            </c:numRef>
          </c:yVal>
          <c:smooth val="0"/>
          <c:extLst>
            <c:ext xmlns:c16="http://schemas.microsoft.com/office/drawing/2014/chart" uri="{C3380CC4-5D6E-409C-BE32-E72D297353CC}">
              <c16:uniqueId val="{0000001D-AF67-493A-A8F1-74E7E4942007}"/>
            </c:ext>
          </c:extLst>
        </c:ser>
        <c:ser>
          <c:idx val="25"/>
          <c:order val="27"/>
          <c:tx>
            <c:strRef>
              <c:f>PlantData!$C$31</c:f>
              <c:strCache>
                <c:ptCount val="1"/>
                <c:pt idx="0">
                  <c:v>PPL Merck</c:v>
                </c:pt>
              </c:strCache>
            </c:strRef>
          </c:tx>
          <c:spPr>
            <a:ln w="12700" cap="rnd">
              <a:noFill/>
              <a:prstDash val="sysDot"/>
              <a:round/>
            </a:ln>
            <a:effectLst/>
          </c:spPr>
          <c:marker>
            <c:symbol val="circle"/>
            <c:size val="5"/>
            <c:spPr>
              <a:solidFill>
                <a:srgbClr val="00B050"/>
              </a:solidFill>
              <a:ln w="9525">
                <a:solidFill>
                  <a:schemeClr val="accent2">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PlantData!$BB$31:$BQ$31</c:f>
              <c:numCache>
                <c:formatCode>0.00</c:formatCode>
                <c:ptCount val="16"/>
                <c:pt idx="0">
                  <c:v>0.77053649099145882</c:v>
                </c:pt>
                <c:pt idx="1">
                  <c:v>0.70760804400333988</c:v>
                </c:pt>
                <c:pt idx="2">
                  <c:v>0.78069775420422216</c:v>
                </c:pt>
                <c:pt idx="3">
                  <c:v>0.75329385861815168</c:v>
                </c:pt>
                <c:pt idx="4">
                  <c:v>0.3250161100658634</c:v>
                </c:pt>
                <c:pt idx="5">
                  <c:v>0.77451434686815401</c:v>
                </c:pt>
                <c:pt idx="6">
                  <c:v>0.81167579029924442</c:v>
                </c:pt>
                <c:pt idx="7">
                  <c:v>0.71691992346076272</c:v>
                </c:pt>
                <c:pt idx="8">
                  <c:v>0.67654002193256002</c:v>
                </c:pt>
                <c:pt idx="9">
                  <c:v>0.745003346094123</c:v>
                </c:pt>
                <c:pt idx="10">
                  <c:v>0.72828132794058653</c:v>
                </c:pt>
                <c:pt idx="11">
                  <c:v>0.63160641581946642</c:v>
                </c:pt>
                <c:pt idx="12">
                  <c:v>0.5687308959765931</c:v>
                </c:pt>
                <c:pt idx="13">
                  <c:v>0.35014883737822605</c:v>
                </c:pt>
                <c:pt idx="14">
                  <c:v>0</c:v>
                </c:pt>
              </c:numCache>
            </c:numRef>
          </c:yVal>
          <c:smooth val="0"/>
          <c:extLst>
            <c:ext xmlns:c16="http://schemas.microsoft.com/office/drawing/2014/chart" uri="{C3380CC4-5D6E-409C-BE32-E72D297353CC}">
              <c16:uniqueId val="{0000001E-AF67-493A-A8F1-74E7E4942007}"/>
            </c:ext>
          </c:extLst>
        </c:ser>
        <c:ser>
          <c:idx val="26"/>
          <c:order val="28"/>
          <c:tx>
            <c:strRef>
              <c:f>PlantData!$C$32</c:f>
              <c:strCache>
                <c:ptCount val="1"/>
                <c:pt idx="0">
                  <c:v>PSEG Hackettstown</c:v>
                </c:pt>
              </c:strCache>
            </c:strRef>
          </c:tx>
          <c:spPr>
            <a:ln w="12700" cap="rnd">
              <a:noFill/>
              <a:prstDash val="sysDot"/>
              <a:round/>
            </a:ln>
            <a:effectLst/>
          </c:spPr>
          <c:marker>
            <c:symbol val="circle"/>
            <c:size val="5"/>
            <c:spPr>
              <a:solidFill>
                <a:srgbClr val="7030A0"/>
              </a:solidFill>
              <a:ln w="9525">
                <a:solidFill>
                  <a:schemeClr val="accent3">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PlantData!$BB$32:$BP$32</c:f>
              <c:numCache>
                <c:formatCode>0.00</c:formatCode>
                <c:ptCount val="15"/>
                <c:pt idx="0">
                  <c:v>0.94239931350925032</c:v>
                </c:pt>
                <c:pt idx="1">
                  <c:v>0.83253993882836619</c:v>
                </c:pt>
                <c:pt idx="2">
                  <c:v>0.95050685950053893</c:v>
                </c:pt>
                <c:pt idx="3">
                  <c:v>0.92599721924712286</c:v>
                </c:pt>
                <c:pt idx="4">
                  <c:v>0.87949272730757655</c:v>
                </c:pt>
                <c:pt idx="5">
                  <c:v>0.87017819342810521</c:v>
                </c:pt>
                <c:pt idx="6">
                  <c:v>0.93011731759935268</c:v>
                </c:pt>
                <c:pt idx="7">
                  <c:v>0.85653629669628262</c:v>
                </c:pt>
                <c:pt idx="8">
                  <c:v>0.77468495089268785</c:v>
                </c:pt>
                <c:pt idx="9">
                  <c:v>0.8590584290091049</c:v>
                </c:pt>
                <c:pt idx="10">
                  <c:v>0.86012546122485611</c:v>
                </c:pt>
                <c:pt idx="11">
                  <c:v>0.8132776217801444</c:v>
                </c:pt>
                <c:pt idx="12">
                  <c:v>0.87353317419917342</c:v>
                </c:pt>
                <c:pt idx="13">
                  <c:v>0.83760065590797883</c:v>
                </c:pt>
                <c:pt idx="14">
                  <c:v>0.64876450306409528</c:v>
                </c:pt>
              </c:numCache>
            </c:numRef>
          </c:yVal>
          <c:smooth val="0"/>
          <c:extLst>
            <c:ext xmlns:c16="http://schemas.microsoft.com/office/drawing/2014/chart" uri="{C3380CC4-5D6E-409C-BE32-E72D297353CC}">
              <c16:uniqueId val="{0000001F-AF67-493A-A8F1-74E7E4942007}"/>
            </c:ext>
          </c:extLst>
        </c:ser>
        <c:ser>
          <c:idx val="27"/>
          <c:order val="29"/>
          <c:tx>
            <c:strRef>
              <c:f>PlantData!$C$33</c:f>
              <c:strCache>
                <c:ptCount val="1"/>
                <c:pt idx="0">
                  <c:v>RV CSU</c:v>
                </c:pt>
              </c:strCache>
            </c:strRef>
          </c:tx>
          <c:spPr>
            <a:ln w="12700" cap="rnd">
              <a:noFill/>
              <a:prstDash val="sysDot"/>
              <a:round/>
            </a:ln>
            <a:effectLst/>
          </c:spPr>
          <c:marker>
            <c:symbol val="circle"/>
            <c:size val="5"/>
            <c:spPr>
              <a:solidFill>
                <a:srgbClr val="002060"/>
              </a:solidFill>
              <a:ln w="9525">
                <a:solidFill>
                  <a:schemeClr val="accent4">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PlantData!$BB$33:$BP$33</c:f>
              <c:numCache>
                <c:formatCode>0.00</c:formatCode>
                <c:ptCount val="15"/>
                <c:pt idx="0">
                  <c:v>0.96111813176931404</c:v>
                </c:pt>
                <c:pt idx="1">
                  <c:v>0.95533919508368215</c:v>
                </c:pt>
                <c:pt idx="2">
                  <c:v>0.98763659521880631</c:v>
                </c:pt>
                <c:pt idx="3">
                  <c:v>0.95565909696109363</c:v>
                </c:pt>
                <c:pt idx="4">
                  <c:v>0.83037825720399105</c:v>
                </c:pt>
                <c:pt idx="5">
                  <c:v>0.85192562378346937</c:v>
                </c:pt>
                <c:pt idx="6">
                  <c:v>1.1499999999999999</c:v>
                </c:pt>
                <c:pt idx="7">
                  <c:v>0.9637933234143049</c:v>
                </c:pt>
                <c:pt idx="8">
                  <c:v>0.9804914601958773</c:v>
                </c:pt>
                <c:pt idx="9">
                  <c:v>0.87382883773304831</c:v>
                </c:pt>
                <c:pt idx="10">
                  <c:v>0.87559141083658365</c:v>
                </c:pt>
                <c:pt idx="11">
                  <c:v>0.88439425977473307</c:v>
                </c:pt>
                <c:pt idx="12">
                  <c:v>0.67555262368401536</c:v>
                </c:pt>
                <c:pt idx="13">
                  <c:v>0.74535967871743625</c:v>
                </c:pt>
                <c:pt idx="14">
                  <c:v>0.52353931771288242</c:v>
                </c:pt>
              </c:numCache>
            </c:numRef>
          </c:yVal>
          <c:smooth val="0"/>
          <c:extLst>
            <c:ext xmlns:c16="http://schemas.microsoft.com/office/drawing/2014/chart" uri="{C3380CC4-5D6E-409C-BE32-E72D297353CC}">
              <c16:uniqueId val="{00000020-AF67-493A-A8F1-74E7E4942007}"/>
            </c:ext>
          </c:extLst>
        </c:ser>
        <c:ser>
          <c:idx val="29"/>
          <c:order val="30"/>
          <c:tx>
            <c:strRef>
              <c:f>PlantData!$C$34</c:f>
              <c:strCache>
                <c:ptCount val="1"/>
                <c:pt idx="0">
                  <c:v>Solar Blythe (NRG)</c:v>
                </c:pt>
              </c:strCache>
            </c:strRef>
          </c:tx>
          <c:spPr>
            <a:ln w="12700" cap="rnd">
              <a:noFill/>
              <a:prstDash val="sysDot"/>
              <a:round/>
            </a:ln>
            <a:effectLst/>
          </c:spPr>
          <c:marker>
            <c:symbol val="circle"/>
            <c:size val="5"/>
            <c:spPr>
              <a:solidFill>
                <a:srgbClr val="C00000"/>
              </a:solidFill>
              <a:ln w="12700">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PlantData!$BB$34:$BP$34</c:f>
              <c:numCache>
                <c:formatCode>0.00</c:formatCode>
                <c:ptCount val="15"/>
                <c:pt idx="0">
                  <c:v>1.0131452752749142</c:v>
                </c:pt>
                <c:pt idx="1">
                  <c:v>1.0472384788191529</c:v>
                </c:pt>
                <c:pt idx="2">
                  <c:v>0.97928263153905348</c:v>
                </c:pt>
                <c:pt idx="3">
                  <c:v>0.98247075160357589</c:v>
                </c:pt>
                <c:pt idx="4">
                  <c:v>0.96907945847900556</c:v>
                </c:pt>
                <c:pt idx="5">
                  <c:v>0.95661232520871764</c:v>
                </c:pt>
                <c:pt idx="6">
                  <c:v>0.95224669192526179</c:v>
                </c:pt>
                <c:pt idx="7">
                  <c:v>0.92626034103322674</c:v>
                </c:pt>
                <c:pt idx="8">
                  <c:v>0.89459468042439505</c:v>
                </c:pt>
                <c:pt idx="9">
                  <c:v>0.92096626890772693</c:v>
                </c:pt>
                <c:pt idx="10">
                  <c:v>0.8880106697400677</c:v>
                </c:pt>
                <c:pt idx="11">
                  <c:v>0.88596647035702369</c:v>
                </c:pt>
                <c:pt idx="12">
                  <c:v>0.90671276103016496</c:v>
                </c:pt>
                <c:pt idx="13">
                  <c:v>0.87892906329338694</c:v>
                </c:pt>
                <c:pt idx="14">
                  <c:v>0.91055115104084594</c:v>
                </c:pt>
              </c:numCache>
            </c:numRef>
          </c:yVal>
          <c:smooth val="0"/>
          <c:extLst>
            <c:ext xmlns:c16="http://schemas.microsoft.com/office/drawing/2014/chart" uri="{C3380CC4-5D6E-409C-BE32-E72D297353CC}">
              <c16:uniqueId val="{00000021-AF67-493A-A8F1-74E7E4942007}"/>
            </c:ext>
          </c:extLst>
        </c:ser>
        <c:ser>
          <c:idx val="30"/>
          <c:order val="31"/>
          <c:tx>
            <c:strRef>
              <c:f>PlantData!$C$35</c:f>
              <c:strCache>
                <c:ptCount val="1"/>
                <c:pt idx="0">
                  <c:v>Solar PV #02 (SCE)</c:v>
                </c:pt>
              </c:strCache>
            </c:strRef>
          </c:tx>
          <c:spPr>
            <a:ln w="12700" cap="rnd">
              <a:noFill/>
              <a:prstDash val="sysDot"/>
              <a:round/>
            </a:ln>
            <a:effectLst/>
          </c:spPr>
          <c:marker>
            <c:symbol val="circle"/>
            <c:size val="5"/>
            <c:spPr>
              <a:solidFill>
                <a:srgbClr val="FFC000"/>
              </a:solidFill>
              <a:ln w="9525">
                <a:solidFill>
                  <a:schemeClr val="accent1">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PlantData!$BB$35:$BO$35</c:f>
              <c:numCache>
                <c:formatCode>0.00</c:formatCode>
                <c:ptCount val="14"/>
                <c:pt idx="0">
                  <c:v>0.79023088965567567</c:v>
                </c:pt>
                <c:pt idx="1">
                  <c:v>0.73328141568380012</c:v>
                </c:pt>
                <c:pt idx="2">
                  <c:v>0.49823861357973603</c:v>
                </c:pt>
                <c:pt idx="3">
                  <c:v>0.53687254934687978</c:v>
                </c:pt>
                <c:pt idx="4">
                  <c:v>0.44879094371265577</c:v>
                </c:pt>
                <c:pt idx="5">
                  <c:v>0.40086657488453264</c:v>
                </c:pt>
                <c:pt idx="6">
                  <c:v>0.51520626006446857</c:v>
                </c:pt>
                <c:pt idx="7">
                  <c:v>0.33406144273915944</c:v>
                </c:pt>
                <c:pt idx="8">
                  <c:v>0.21128474545103654</c:v>
                </c:pt>
                <c:pt idx="9">
                  <c:v>0.38455074480108808</c:v>
                </c:pt>
                <c:pt idx="10">
                  <c:v>0.4221495339730203</c:v>
                </c:pt>
                <c:pt idx="11">
                  <c:v>0.69928304323263712</c:v>
                </c:pt>
                <c:pt idx="12">
                  <c:v>0.4193158740721864</c:v>
                </c:pt>
                <c:pt idx="13">
                  <c:v>0</c:v>
                </c:pt>
              </c:numCache>
            </c:numRef>
          </c:yVal>
          <c:smooth val="0"/>
          <c:extLst>
            <c:ext xmlns:c16="http://schemas.microsoft.com/office/drawing/2014/chart" uri="{C3380CC4-5D6E-409C-BE32-E72D297353CC}">
              <c16:uniqueId val="{00000022-AF67-493A-A8F1-74E7E4942007}"/>
            </c:ext>
          </c:extLst>
        </c:ser>
        <c:ser>
          <c:idx val="31"/>
          <c:order val="32"/>
          <c:tx>
            <c:strRef>
              <c:f>PlantData!$C$36</c:f>
              <c:strCache>
                <c:ptCount val="1"/>
                <c:pt idx="0">
                  <c:v>SunE Anheuser</c:v>
                </c:pt>
              </c:strCache>
            </c:strRef>
          </c:tx>
          <c:spPr>
            <a:ln w="12700" cap="rnd">
              <a:noFill/>
              <a:prstDash val="sysDot"/>
              <a:round/>
            </a:ln>
            <a:effectLst/>
          </c:spPr>
          <c:marker>
            <c:symbol val="circle"/>
            <c:size val="5"/>
            <c:spPr>
              <a:solidFill>
                <a:srgbClr val="FFFF00"/>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PlantData!$BB$36:$BQ$36</c:f>
              <c:numCache>
                <c:formatCode>0.00</c:formatCode>
                <c:ptCount val="16"/>
                <c:pt idx="0">
                  <c:v>0.98831913316945474</c:v>
                </c:pt>
                <c:pt idx="1">
                  <c:v>0.93297733026723084</c:v>
                </c:pt>
                <c:pt idx="2">
                  <c:v>0.98425493151308596</c:v>
                </c:pt>
                <c:pt idx="3">
                  <c:v>0.97419926758449593</c:v>
                </c:pt>
                <c:pt idx="4">
                  <c:v>1.0055938056842659</c:v>
                </c:pt>
                <c:pt idx="5">
                  <c:v>0.96013764765937837</c:v>
                </c:pt>
                <c:pt idx="6">
                  <c:v>0.94834904601439651</c:v>
                </c:pt>
                <c:pt idx="7">
                  <c:v>1.1499999999999999</c:v>
                </c:pt>
                <c:pt idx="8">
                  <c:v>0.75886517742532233</c:v>
                </c:pt>
                <c:pt idx="9">
                  <c:v>0.79594035067575142</c:v>
                </c:pt>
                <c:pt idx="10">
                  <c:v>0.74485294913001665</c:v>
                </c:pt>
                <c:pt idx="11">
                  <c:v>0.6530103550619234</c:v>
                </c:pt>
                <c:pt idx="12">
                  <c:v>0.80847542320680921</c:v>
                </c:pt>
                <c:pt idx="13">
                  <c:v>0.79580938790383526</c:v>
                </c:pt>
                <c:pt idx="14">
                  <c:v>0.35883297132157171</c:v>
                </c:pt>
                <c:pt idx="15">
                  <c:v>0.57305905290670989</c:v>
                </c:pt>
              </c:numCache>
            </c:numRef>
          </c:yVal>
          <c:smooth val="0"/>
          <c:extLst>
            <c:ext xmlns:c16="http://schemas.microsoft.com/office/drawing/2014/chart" uri="{C3380CC4-5D6E-409C-BE32-E72D297353CC}">
              <c16:uniqueId val="{00000023-AF67-493A-A8F1-74E7E4942007}"/>
            </c:ext>
          </c:extLst>
        </c:ser>
        <c:ser>
          <c:idx val="32"/>
          <c:order val="33"/>
          <c:tx>
            <c:strRef>
              <c:f>PlantData!$C$37</c:f>
              <c:strCache>
                <c:ptCount val="1"/>
                <c:pt idx="0">
                  <c:v>SunE Ironwood</c:v>
                </c:pt>
              </c:strCache>
            </c:strRef>
          </c:tx>
          <c:spPr>
            <a:ln w="12700" cap="rnd">
              <a:noFill/>
              <a:prstDash val="sysDot"/>
              <a:round/>
            </a:ln>
            <a:effectLst/>
          </c:spPr>
          <c:marker>
            <c:symbol val="circle"/>
            <c:size val="5"/>
            <c:spPr>
              <a:solidFill>
                <a:schemeClr val="accent4">
                  <a:lumMod val="75000"/>
                </a:schemeClr>
              </a:solidFill>
              <a:ln w="9525">
                <a:solidFill>
                  <a:schemeClr val="accent3">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PlantData!$BB$37:$BQ$37</c:f>
              <c:numCache>
                <c:formatCode>0.00</c:formatCode>
                <c:ptCount val="16"/>
                <c:pt idx="0">
                  <c:v>0.9656169098269326</c:v>
                </c:pt>
                <c:pt idx="1">
                  <c:v>0.98439763565594796</c:v>
                </c:pt>
                <c:pt idx="2">
                  <c:v>1.0131794222687542</c:v>
                </c:pt>
                <c:pt idx="3">
                  <c:v>0.93081660194696814</c:v>
                </c:pt>
                <c:pt idx="4">
                  <c:v>0.86594345091956093</c:v>
                </c:pt>
                <c:pt idx="5">
                  <c:v>0.88028065726143223</c:v>
                </c:pt>
                <c:pt idx="6">
                  <c:v>0.8152247924334346</c:v>
                </c:pt>
                <c:pt idx="7">
                  <c:v>1.1499999999999999</c:v>
                </c:pt>
                <c:pt idx="8">
                  <c:v>0.63434402927210198</c:v>
                </c:pt>
                <c:pt idx="9">
                  <c:v>0.86793650170811398</c:v>
                </c:pt>
                <c:pt idx="10">
                  <c:v>0.70847137110967795</c:v>
                </c:pt>
                <c:pt idx="11">
                  <c:v>0.79316908483707849</c:v>
                </c:pt>
                <c:pt idx="12">
                  <c:v>0.68060477244317452</c:v>
                </c:pt>
                <c:pt idx="13">
                  <c:v>0.16990682711532482</c:v>
                </c:pt>
                <c:pt idx="14">
                  <c:v>0.50304072727966109</c:v>
                </c:pt>
                <c:pt idx="15">
                  <c:v>0.40219352703657463</c:v>
                </c:pt>
              </c:numCache>
            </c:numRef>
          </c:yVal>
          <c:smooth val="0"/>
          <c:extLst>
            <c:ext xmlns:c16="http://schemas.microsoft.com/office/drawing/2014/chart" uri="{C3380CC4-5D6E-409C-BE32-E72D297353CC}">
              <c16:uniqueId val="{00000024-AF67-493A-A8F1-74E7E4942007}"/>
            </c:ext>
          </c:extLst>
        </c:ser>
        <c:ser>
          <c:idx val="33"/>
          <c:order val="34"/>
          <c:tx>
            <c:strRef>
              <c:f>PlantData!$C$38</c:f>
              <c:strCache>
                <c:ptCount val="1"/>
                <c:pt idx="0">
                  <c:v>SunE LV Sutton</c:v>
                </c:pt>
              </c:strCache>
            </c:strRef>
          </c:tx>
          <c:spPr>
            <a:ln w="12700" cap="rnd">
              <a:noFill/>
              <a:prstDash val="sysDot"/>
              <a:round/>
            </a:ln>
            <a:effectLst/>
          </c:spPr>
          <c:marker>
            <c:symbol val="circle"/>
            <c:size val="5"/>
            <c:spPr>
              <a:solidFill>
                <a:srgbClr val="00B0F0"/>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PlantData!$BB$38:$BQ$38</c:f>
              <c:numCache>
                <c:formatCode>0.00</c:formatCode>
                <c:ptCount val="16"/>
                <c:pt idx="0">
                  <c:v>0.73858934353616212</c:v>
                </c:pt>
                <c:pt idx="1">
                  <c:v>1.012182397477694</c:v>
                </c:pt>
                <c:pt idx="2">
                  <c:v>0.99487763332364265</c:v>
                </c:pt>
                <c:pt idx="3">
                  <c:v>0.95384687434543236</c:v>
                </c:pt>
                <c:pt idx="4">
                  <c:v>0.86508913981347091</c:v>
                </c:pt>
                <c:pt idx="5">
                  <c:v>0.99187031320707153</c:v>
                </c:pt>
                <c:pt idx="6">
                  <c:v>0.94649266173392566</c:v>
                </c:pt>
                <c:pt idx="7">
                  <c:v>0.63451380692185755</c:v>
                </c:pt>
                <c:pt idx="8">
                  <c:v>0.79660347189425884</c:v>
                </c:pt>
                <c:pt idx="9">
                  <c:v>0.49332961694120786</c:v>
                </c:pt>
                <c:pt idx="10">
                  <c:v>0.91957674591970195</c:v>
                </c:pt>
                <c:pt idx="11">
                  <c:v>0.77300409598418784</c:v>
                </c:pt>
                <c:pt idx="12">
                  <c:v>0.71161277991816496</c:v>
                </c:pt>
                <c:pt idx="13">
                  <c:v>0.17960378470749772</c:v>
                </c:pt>
                <c:pt idx="14">
                  <c:v>0.62312509784775627</c:v>
                </c:pt>
                <c:pt idx="15">
                  <c:v>0.60941861064662661</c:v>
                </c:pt>
              </c:numCache>
            </c:numRef>
          </c:yVal>
          <c:smooth val="0"/>
          <c:extLst>
            <c:ext xmlns:c16="http://schemas.microsoft.com/office/drawing/2014/chart" uri="{C3380CC4-5D6E-409C-BE32-E72D297353CC}">
              <c16:uniqueId val="{00000025-AF67-493A-A8F1-74E7E4942007}"/>
            </c:ext>
          </c:extLst>
        </c:ser>
        <c:ser>
          <c:idx val="34"/>
          <c:order val="35"/>
          <c:tx>
            <c:strRef>
              <c:f>PlantData!$C$39</c:f>
              <c:strCache>
                <c:ptCount val="1"/>
                <c:pt idx="0">
                  <c:v>SunE Oxnard</c:v>
                </c:pt>
              </c:strCache>
            </c:strRef>
          </c:tx>
          <c:spPr>
            <a:ln w="12700" cap="rnd">
              <a:noFill/>
              <a:prstDash val="sysDot"/>
              <a:round/>
            </a:ln>
            <a:effectLst/>
          </c:spPr>
          <c:marker>
            <c:symbol val="circle"/>
            <c:size val="5"/>
            <c:spPr>
              <a:solidFill>
                <a:schemeClr val="accent1">
                  <a:lumMod val="20000"/>
                  <a:lumOff val="80000"/>
                </a:schemeClr>
              </a:solidFill>
              <a:ln w="9525">
                <a:solidFill>
                  <a:srgbClr val="7030A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PlantData!$BB$39:$BP$39</c:f>
              <c:numCache>
                <c:formatCode>0.00</c:formatCode>
                <c:ptCount val="15"/>
                <c:pt idx="0">
                  <c:v>0.91854737575688739</c:v>
                </c:pt>
                <c:pt idx="1">
                  <c:v>0.90430174171446775</c:v>
                </c:pt>
                <c:pt idx="2">
                  <c:v>0.90042097994709336</c:v>
                </c:pt>
                <c:pt idx="3">
                  <c:v>0.97268433462209158</c:v>
                </c:pt>
                <c:pt idx="4">
                  <c:v>1.0403325433045592</c:v>
                </c:pt>
                <c:pt idx="5">
                  <c:v>1.0279205232577342</c:v>
                </c:pt>
                <c:pt idx="6">
                  <c:v>0.98795895351482999</c:v>
                </c:pt>
                <c:pt idx="7">
                  <c:v>0.89249737002577545</c:v>
                </c:pt>
                <c:pt idx="8">
                  <c:v>0.88395894522338747</c:v>
                </c:pt>
                <c:pt idx="9">
                  <c:v>0.92221363192435368</c:v>
                </c:pt>
                <c:pt idx="10">
                  <c:v>0.97288880634142183</c:v>
                </c:pt>
                <c:pt idx="11">
                  <c:v>0.96951478471846708</c:v>
                </c:pt>
                <c:pt idx="12">
                  <c:v>1.1499999999999999</c:v>
                </c:pt>
                <c:pt idx="13">
                  <c:v>0.82070603557975963</c:v>
                </c:pt>
                <c:pt idx="14">
                  <c:v>0.91374408458381895</c:v>
                </c:pt>
              </c:numCache>
            </c:numRef>
          </c:yVal>
          <c:smooth val="0"/>
          <c:extLst>
            <c:ext xmlns:c16="http://schemas.microsoft.com/office/drawing/2014/chart" uri="{C3380CC4-5D6E-409C-BE32-E72D297353CC}">
              <c16:uniqueId val="{00000026-AF67-493A-A8F1-74E7E4942007}"/>
            </c:ext>
          </c:extLst>
        </c:ser>
        <c:ser>
          <c:idx val="35"/>
          <c:order val="36"/>
          <c:tx>
            <c:strRef>
              <c:f>PlantData!$C$40</c:f>
              <c:strCache>
                <c:ptCount val="1"/>
                <c:pt idx="0">
                  <c:v>SunE Moreno Valley</c:v>
                </c:pt>
              </c:strCache>
            </c:strRef>
          </c:tx>
          <c:spPr>
            <a:ln w="12700" cap="rnd">
              <a:noFill/>
              <a:prstDash val="sysDot"/>
              <a:round/>
            </a:ln>
            <a:effectLst/>
          </c:spPr>
          <c:marker>
            <c:symbol val="circle"/>
            <c:size val="5"/>
            <c:spPr>
              <a:solidFill>
                <a:schemeClr val="bg1">
                  <a:lumMod val="85000"/>
                </a:schemeClr>
              </a:solidFill>
              <a:ln w="9525">
                <a:solidFill>
                  <a:schemeClr val="accent6">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PlantData!$BB$40:$BQ$40</c:f>
              <c:numCache>
                <c:formatCode>0.00</c:formatCode>
                <c:ptCount val="16"/>
                <c:pt idx="0">
                  <c:v>0.98211698311534656</c:v>
                </c:pt>
                <c:pt idx="1">
                  <c:v>0.96738984903151315</c:v>
                </c:pt>
                <c:pt idx="2">
                  <c:v>0.96484065406225494</c:v>
                </c:pt>
                <c:pt idx="3">
                  <c:v>0.96869607436849359</c:v>
                </c:pt>
                <c:pt idx="4">
                  <c:v>0.92565916097842127</c:v>
                </c:pt>
                <c:pt idx="5">
                  <c:v>0.92228647119116702</c:v>
                </c:pt>
                <c:pt idx="6">
                  <c:v>0.8971829887448538</c:v>
                </c:pt>
                <c:pt idx="7">
                  <c:v>0.47668070261922391</c:v>
                </c:pt>
                <c:pt idx="8">
                  <c:v>0.60635453229964453</c:v>
                </c:pt>
                <c:pt idx="9">
                  <c:v>0.86012089734626318</c:v>
                </c:pt>
                <c:pt idx="10">
                  <c:v>0.45613387338006839</c:v>
                </c:pt>
                <c:pt idx="11">
                  <c:v>0.75405134042424038</c:v>
                </c:pt>
                <c:pt idx="12">
                  <c:v>0.69239303907165195</c:v>
                </c:pt>
                <c:pt idx="13">
                  <c:v>0.56066538541390676</c:v>
                </c:pt>
                <c:pt idx="14">
                  <c:v>0.66054454791284978</c:v>
                </c:pt>
                <c:pt idx="15">
                  <c:v>0.47456511558712133</c:v>
                </c:pt>
              </c:numCache>
            </c:numRef>
          </c:yVal>
          <c:smooth val="0"/>
          <c:extLst>
            <c:ext xmlns:c16="http://schemas.microsoft.com/office/drawing/2014/chart" uri="{C3380CC4-5D6E-409C-BE32-E72D297353CC}">
              <c16:uniqueId val="{00000027-AF67-493A-A8F1-74E7E4942007}"/>
            </c:ext>
          </c:extLst>
        </c:ser>
        <c:ser>
          <c:idx val="36"/>
          <c:order val="37"/>
          <c:tx>
            <c:strRef>
              <c:f>PlantData!$C$41</c:f>
              <c:strCache>
                <c:ptCount val="1"/>
                <c:pt idx="0">
                  <c:v>SunE Apple Valley</c:v>
                </c:pt>
              </c:strCache>
            </c:strRef>
          </c:tx>
          <c:spPr>
            <a:ln w="12700" cap="rnd">
              <a:noFill/>
              <a:prstDash val="sysDot"/>
              <a:round/>
            </a:ln>
            <a:effectLst/>
          </c:spPr>
          <c:marker>
            <c:symbol val="circle"/>
            <c:size val="5"/>
            <c:spPr>
              <a:solidFill>
                <a:srgbClr val="C00000"/>
              </a:solidFill>
              <a:ln w="9525">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PlantData!$BB$41:$BP$41</c:f>
              <c:numCache>
                <c:formatCode>0.00</c:formatCode>
                <c:ptCount val="15"/>
                <c:pt idx="0">
                  <c:v>0.93977223691069589</c:v>
                </c:pt>
                <c:pt idx="1">
                  <c:v>0.99042071870393844</c:v>
                </c:pt>
                <c:pt idx="2">
                  <c:v>0.9250275158503003</c:v>
                </c:pt>
                <c:pt idx="3">
                  <c:v>0.99583687928885189</c:v>
                </c:pt>
                <c:pt idx="4">
                  <c:v>0.98899455030001049</c:v>
                </c:pt>
                <c:pt idx="5">
                  <c:v>0.92252798374431078</c:v>
                </c:pt>
                <c:pt idx="6">
                  <c:v>0.92561981640879554</c:v>
                </c:pt>
                <c:pt idx="7">
                  <c:v>0.63156024539441125</c:v>
                </c:pt>
                <c:pt idx="8">
                  <c:v>0.90843367437246325</c:v>
                </c:pt>
                <c:pt idx="9">
                  <c:v>0.87616524506516613</c:v>
                </c:pt>
                <c:pt idx="10">
                  <c:v>0.90774125092151614</c:v>
                </c:pt>
                <c:pt idx="11">
                  <c:v>0.71598945831850047</c:v>
                </c:pt>
                <c:pt idx="12">
                  <c:v>0.86239108512963314</c:v>
                </c:pt>
                <c:pt idx="13">
                  <c:v>0.38738756582294059</c:v>
                </c:pt>
                <c:pt idx="14">
                  <c:v>0.28768143828453463</c:v>
                </c:pt>
              </c:numCache>
            </c:numRef>
          </c:yVal>
          <c:smooth val="0"/>
          <c:extLst>
            <c:ext xmlns:c16="http://schemas.microsoft.com/office/drawing/2014/chart" uri="{C3380CC4-5D6E-409C-BE32-E72D297353CC}">
              <c16:uniqueId val="{00000028-AF67-493A-A8F1-74E7E4942007}"/>
            </c:ext>
          </c:extLst>
        </c:ser>
        <c:ser>
          <c:idx val="37"/>
          <c:order val="38"/>
          <c:tx>
            <c:strRef>
              <c:f>PlantData!$C$42</c:f>
              <c:strCache>
                <c:ptCount val="1"/>
                <c:pt idx="0">
                  <c:v>PG&amp;E Vaca-Dixon</c:v>
                </c:pt>
              </c:strCache>
            </c:strRef>
          </c:tx>
          <c:spPr>
            <a:ln w="12700" cap="rnd">
              <a:noFill/>
              <a:prstDash val="sysDot"/>
              <a:round/>
            </a:ln>
            <a:effectLst/>
          </c:spPr>
          <c:marker>
            <c:symbol val="circle"/>
            <c:size val="5"/>
            <c:spPr>
              <a:solidFill>
                <a:srgbClr val="92D050"/>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PlantData!$BB$42:$BP$42</c:f>
              <c:numCache>
                <c:formatCode>0.00</c:formatCode>
                <c:ptCount val="15"/>
                <c:pt idx="0">
                  <c:v>1.0062694940557826</c:v>
                </c:pt>
                <c:pt idx="1">
                  <c:v>1.0489883054979781</c:v>
                </c:pt>
                <c:pt idx="2">
                  <c:v>1.0241725630469876</c:v>
                </c:pt>
                <c:pt idx="3">
                  <c:v>1.1478335182813311</c:v>
                </c:pt>
                <c:pt idx="4">
                  <c:v>0.9940530675790421</c:v>
                </c:pt>
                <c:pt idx="5">
                  <c:v>1.0899380591411845</c:v>
                </c:pt>
                <c:pt idx="6">
                  <c:v>0.99713721198550742</c:v>
                </c:pt>
                <c:pt idx="7">
                  <c:v>0.8543634722665544</c:v>
                </c:pt>
                <c:pt idx="8">
                  <c:v>1.0174357426774554</c:v>
                </c:pt>
                <c:pt idx="9">
                  <c:v>0.77250283686569932</c:v>
                </c:pt>
                <c:pt idx="10">
                  <c:v>0.90393007756490251</c:v>
                </c:pt>
                <c:pt idx="11">
                  <c:v>0.78510904056697117</c:v>
                </c:pt>
                <c:pt idx="12">
                  <c:v>1.0053873404768534</c:v>
                </c:pt>
                <c:pt idx="13">
                  <c:v>0.95223863099589123</c:v>
                </c:pt>
                <c:pt idx="14">
                  <c:v>0.83539876054712958</c:v>
                </c:pt>
              </c:numCache>
            </c:numRef>
          </c:yVal>
          <c:smooth val="0"/>
          <c:extLst>
            <c:ext xmlns:c16="http://schemas.microsoft.com/office/drawing/2014/chart" uri="{C3380CC4-5D6E-409C-BE32-E72D297353CC}">
              <c16:uniqueId val="{00000029-AF67-493A-A8F1-74E7E4942007}"/>
            </c:ext>
          </c:extLst>
        </c:ser>
        <c:ser>
          <c:idx val="38"/>
          <c:order val="39"/>
          <c:tx>
            <c:strRef>
              <c:f>PlantData!$C$43</c:f>
              <c:strCache>
                <c:ptCount val="1"/>
                <c:pt idx="0">
                  <c:v>WWRF Rifle SunE</c:v>
                </c:pt>
              </c:strCache>
            </c:strRef>
          </c:tx>
          <c:spPr>
            <a:ln w="12700" cap="rnd">
              <a:noFill/>
              <a:prstDash val="sysDot"/>
              <a:round/>
            </a:ln>
            <a:effectLst/>
          </c:spPr>
          <c:marker>
            <c:symbol val="circle"/>
            <c:size val="5"/>
            <c:spPr>
              <a:solidFill>
                <a:schemeClr val="accent3">
                  <a:lumMod val="70000"/>
                  <a:lumOff val="30000"/>
                </a:schemeClr>
              </a:solidFill>
              <a:ln w="9525">
                <a:solidFill>
                  <a:schemeClr val="tx2">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PlantData!$BB$43:$BP$43</c:f>
              <c:numCache>
                <c:formatCode>0.00</c:formatCode>
                <c:ptCount val="15"/>
                <c:pt idx="0">
                  <c:v>0.72795568268795274</c:v>
                </c:pt>
                <c:pt idx="1">
                  <c:v>0.6982624985703102</c:v>
                </c:pt>
                <c:pt idx="2">
                  <c:v>0.7492170473836266</c:v>
                </c:pt>
                <c:pt idx="3">
                  <c:v>0.69319889062671813</c:v>
                </c:pt>
                <c:pt idx="4">
                  <c:v>0.70884205484411533</c:v>
                </c:pt>
                <c:pt idx="5">
                  <c:v>0</c:v>
                </c:pt>
                <c:pt idx="6">
                  <c:v>0.71791062552299512</c:v>
                </c:pt>
                <c:pt idx="7">
                  <c:v>0.67988751105210499</c:v>
                </c:pt>
                <c:pt idx="8">
                  <c:v>0.72003557578359256</c:v>
                </c:pt>
                <c:pt idx="9">
                  <c:v>0.69725025877183422</c:v>
                </c:pt>
                <c:pt idx="10">
                  <c:v>0.67421776134174127</c:v>
                </c:pt>
                <c:pt idx="11">
                  <c:v>0.49165930337965585</c:v>
                </c:pt>
                <c:pt idx="12">
                  <c:v>0.51721086004770356</c:v>
                </c:pt>
                <c:pt idx="13">
                  <c:v>0.24992779722402747</c:v>
                </c:pt>
                <c:pt idx="14">
                  <c:v>0.42590931452032882</c:v>
                </c:pt>
              </c:numCache>
            </c:numRef>
          </c:yVal>
          <c:smooth val="0"/>
          <c:extLst>
            <c:ext xmlns:c16="http://schemas.microsoft.com/office/drawing/2014/chart" uri="{C3380CC4-5D6E-409C-BE32-E72D297353CC}">
              <c16:uniqueId val="{0000002A-AF67-493A-A8F1-74E7E4942007}"/>
            </c:ext>
          </c:extLst>
        </c:ser>
        <c:ser>
          <c:idx val="39"/>
          <c:order val="40"/>
          <c:tx>
            <c:strRef>
              <c:f>PlantData!$C$44</c:f>
              <c:strCache>
                <c:ptCount val="1"/>
                <c:pt idx="0">
                  <c:v>Woodland Walgreens SunE</c:v>
                </c:pt>
              </c:strCache>
            </c:strRef>
          </c:tx>
          <c:spPr>
            <a:ln w="12700" cap="rnd">
              <a:noFill/>
              <a:prstDash val="sysDot"/>
              <a:round/>
            </a:ln>
            <a:effectLst/>
          </c:spPr>
          <c:marker>
            <c:symbol val="circle"/>
            <c:size val="5"/>
            <c:spPr>
              <a:solidFill>
                <a:schemeClr val="accent4">
                  <a:lumMod val="70000"/>
                  <a:lumOff val="30000"/>
                </a:schemeClr>
              </a:solidFill>
              <a:ln w="9525">
                <a:solidFill>
                  <a:schemeClr val="tx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PlantData!$BB$44:$BQ$44</c:f>
              <c:numCache>
                <c:formatCode>0.00</c:formatCode>
                <c:ptCount val="16"/>
                <c:pt idx="0">
                  <c:v>1.0082735992674154</c:v>
                </c:pt>
                <c:pt idx="1">
                  <c:v>0.94634724755361543</c:v>
                </c:pt>
                <c:pt idx="2">
                  <c:v>0.98052414362736684</c:v>
                </c:pt>
                <c:pt idx="3">
                  <c:v>0.9416661970248934</c:v>
                </c:pt>
                <c:pt idx="4">
                  <c:v>0.88239058104922885</c:v>
                </c:pt>
                <c:pt idx="5">
                  <c:v>0.91094817451511245</c:v>
                </c:pt>
                <c:pt idx="6">
                  <c:v>0.84856426935257312</c:v>
                </c:pt>
                <c:pt idx="7">
                  <c:v>0.26687147567920122</c:v>
                </c:pt>
                <c:pt idx="8">
                  <c:v>0.38482668548890714</c:v>
                </c:pt>
                <c:pt idx="9">
                  <c:v>0.4875526150856872</c:v>
                </c:pt>
                <c:pt idx="10">
                  <c:v>0.92405543712485883</c:v>
                </c:pt>
                <c:pt idx="11">
                  <c:v>0.79670411866218294</c:v>
                </c:pt>
                <c:pt idx="12">
                  <c:v>0.70612183417235574</c:v>
                </c:pt>
                <c:pt idx="13">
                  <c:v>0.60444528823413757</c:v>
                </c:pt>
                <c:pt idx="14">
                  <c:v>0.46567665069308617</c:v>
                </c:pt>
                <c:pt idx="15">
                  <c:v>0.54833444490753414</c:v>
                </c:pt>
              </c:numCache>
            </c:numRef>
          </c:yVal>
          <c:smooth val="0"/>
          <c:extLst>
            <c:ext xmlns:c16="http://schemas.microsoft.com/office/drawing/2014/chart" uri="{C3380CC4-5D6E-409C-BE32-E72D297353CC}">
              <c16:uniqueId val="{0000002B-AF67-493A-A8F1-74E7E4942007}"/>
            </c:ext>
          </c:extLst>
        </c:ser>
        <c:ser>
          <c:idx val="40"/>
          <c:order val="41"/>
          <c:tx>
            <c:strRef>
              <c:f>PlantData!$C$45</c:f>
              <c:strCache>
                <c:ptCount val="1"/>
                <c:pt idx="0">
                  <c:v>Bayville Central</c:v>
                </c:pt>
              </c:strCache>
            </c:strRef>
          </c:tx>
          <c:spPr>
            <a:ln w="12700" cap="rnd">
              <a:noFill/>
              <a:prstDash val="sysDot"/>
              <a:round/>
            </a:ln>
            <a:effectLst/>
          </c:spPr>
          <c:marker>
            <c:symbol val="circle"/>
            <c:size val="5"/>
            <c:spPr>
              <a:solidFill>
                <a:schemeClr val="accent5">
                  <a:lumMod val="70000"/>
                  <a:lumOff val="30000"/>
                </a:schemeClr>
              </a:solidFill>
              <a:ln w="9525">
                <a:solidFill>
                  <a:schemeClr val="tx1"/>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PlantData!$BB$45:$BP$45</c:f>
              <c:numCache>
                <c:formatCode>0.00</c:formatCode>
                <c:ptCount val="15"/>
                <c:pt idx="0">
                  <c:v>0.60088389615911775</c:v>
                </c:pt>
                <c:pt idx="1">
                  <c:v>0.63729899368009613</c:v>
                </c:pt>
                <c:pt idx="2">
                  <c:v>0.69084659734912002</c:v>
                </c:pt>
                <c:pt idx="3">
                  <c:v>0.67464115461432184</c:v>
                </c:pt>
                <c:pt idx="4">
                  <c:v>0.70345748533905417</c:v>
                </c:pt>
                <c:pt idx="5">
                  <c:v>0.78933293343931321</c:v>
                </c:pt>
                <c:pt idx="6">
                  <c:v>0.83895695177744145</c:v>
                </c:pt>
                <c:pt idx="7">
                  <c:v>0.66822879624019371</c:v>
                </c:pt>
                <c:pt idx="8">
                  <c:v>0.62546918620623304</c:v>
                </c:pt>
                <c:pt idx="9">
                  <c:v>0.26361158763757592</c:v>
                </c:pt>
                <c:pt idx="10">
                  <c:v>0.27949320683866907</c:v>
                </c:pt>
                <c:pt idx="11">
                  <c:v>0.6993182206285794</c:v>
                </c:pt>
                <c:pt idx="12">
                  <c:v>0.64107723595816024</c:v>
                </c:pt>
                <c:pt idx="13">
                  <c:v>0.54676727053736407</c:v>
                </c:pt>
                <c:pt idx="14">
                  <c:v>0.51387063861449944</c:v>
                </c:pt>
              </c:numCache>
            </c:numRef>
          </c:yVal>
          <c:smooth val="0"/>
          <c:extLst>
            <c:ext xmlns:c16="http://schemas.microsoft.com/office/drawing/2014/chart" uri="{C3380CC4-5D6E-409C-BE32-E72D297353CC}">
              <c16:uniqueId val="{0000002C-AF67-493A-A8F1-74E7E4942007}"/>
            </c:ext>
          </c:extLst>
        </c:ser>
        <c:ser>
          <c:idx val="41"/>
          <c:order val="42"/>
          <c:tx>
            <c:strRef>
              <c:f>PlantData!$C$46</c:f>
              <c:strCache>
                <c:ptCount val="1"/>
                <c:pt idx="0">
                  <c:v>Blue Wing</c:v>
                </c:pt>
              </c:strCache>
            </c:strRef>
          </c:tx>
          <c:spPr>
            <a:ln w="12700" cap="rnd">
              <a:noFill/>
              <a:prstDash val="sysDot"/>
              <a:round/>
            </a:ln>
            <a:effectLst/>
          </c:spPr>
          <c:marker>
            <c:symbol val="circle"/>
            <c:size val="5"/>
            <c:spPr>
              <a:solidFill>
                <a:schemeClr val="accent6">
                  <a:lumMod val="70000"/>
                  <a:lumOff val="3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PlantData!$BB$46:$BO$46</c:f>
              <c:numCache>
                <c:formatCode>0.00</c:formatCode>
                <c:ptCount val="14"/>
                <c:pt idx="0">
                  <c:v>1.1083968567034146</c:v>
                </c:pt>
                <c:pt idx="1">
                  <c:v>0.97992816875779154</c:v>
                </c:pt>
                <c:pt idx="2">
                  <c:v>0.92601851242217381</c:v>
                </c:pt>
                <c:pt idx="3">
                  <c:v>0.90918092641362525</c:v>
                </c:pt>
                <c:pt idx="4">
                  <c:v>0.86747187266790426</c:v>
                </c:pt>
                <c:pt idx="5">
                  <c:v>0.91996845039011599</c:v>
                </c:pt>
                <c:pt idx="6">
                  <c:v>0.90113960225223599</c:v>
                </c:pt>
                <c:pt idx="7">
                  <c:v>0.87364047070296547</c:v>
                </c:pt>
                <c:pt idx="8">
                  <c:v>0.8748883256501041</c:v>
                </c:pt>
                <c:pt idx="9">
                  <c:v>0.82766214703574648</c:v>
                </c:pt>
                <c:pt idx="10">
                  <c:v>0.80756895573019305</c:v>
                </c:pt>
                <c:pt idx="11">
                  <c:v>0.87186727587407886</c:v>
                </c:pt>
                <c:pt idx="12">
                  <c:v>0.73107708607167554</c:v>
                </c:pt>
                <c:pt idx="13">
                  <c:v>0.7881211717304405</c:v>
                </c:pt>
              </c:numCache>
            </c:numRef>
          </c:yVal>
          <c:smooth val="0"/>
          <c:extLst>
            <c:ext xmlns:c16="http://schemas.microsoft.com/office/drawing/2014/chart" uri="{C3380CC4-5D6E-409C-BE32-E72D297353CC}">
              <c16:uniqueId val="{0000002D-AF67-493A-A8F1-74E7E4942007}"/>
            </c:ext>
          </c:extLst>
        </c:ser>
        <c:ser>
          <c:idx val="42"/>
          <c:order val="43"/>
          <c:tx>
            <c:strRef>
              <c:f>PlantData!$C$47</c:f>
              <c:strCache>
                <c:ptCount val="1"/>
                <c:pt idx="0">
                  <c:v>Copper Mtn 48 (FS)</c:v>
                </c:pt>
              </c:strCache>
            </c:strRef>
          </c:tx>
          <c:spPr>
            <a:ln w="12700" cap="rnd">
              <a:noFill/>
              <a:prstDash val="sysDot"/>
              <a:round/>
            </a:ln>
            <a:effectLst/>
          </c:spPr>
          <c:marker>
            <c:symbol val="circle"/>
            <c:size val="5"/>
            <c:spPr>
              <a:solidFill>
                <a:srgbClr val="FFFF00"/>
              </a:solidFill>
              <a:ln w="9525">
                <a:solidFill>
                  <a:schemeClr val="accent1">
                    <a:lumMod val="7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PlantData!$BB$47:$BO$47</c:f>
              <c:numCache>
                <c:formatCode>0.00</c:formatCode>
                <c:ptCount val="14"/>
                <c:pt idx="0">
                  <c:v>0.97165879043566761</c:v>
                </c:pt>
                <c:pt idx="1">
                  <c:v>0.96148357582371002</c:v>
                </c:pt>
                <c:pt idx="2">
                  <c:v>0.95607772301713589</c:v>
                </c:pt>
                <c:pt idx="3">
                  <c:v>0.94449479836366101</c:v>
                </c:pt>
                <c:pt idx="4">
                  <c:v>0.93529453024088649</c:v>
                </c:pt>
                <c:pt idx="5">
                  <c:v>0.90638243280350661</c:v>
                </c:pt>
                <c:pt idx="6">
                  <c:v>0.93793409498424662</c:v>
                </c:pt>
                <c:pt idx="7">
                  <c:v>0.93334231717355631</c:v>
                </c:pt>
                <c:pt idx="8">
                  <c:v>0.91714778856873069</c:v>
                </c:pt>
                <c:pt idx="9">
                  <c:v>0.94358353823039987</c:v>
                </c:pt>
                <c:pt idx="10">
                  <c:v>0.8920746764747528</c:v>
                </c:pt>
                <c:pt idx="11">
                  <c:v>0.9322411065574655</c:v>
                </c:pt>
                <c:pt idx="12">
                  <c:v>0.89080530327192908</c:v>
                </c:pt>
                <c:pt idx="13">
                  <c:v>0.90560033005345164</c:v>
                </c:pt>
              </c:numCache>
            </c:numRef>
          </c:yVal>
          <c:smooth val="0"/>
          <c:extLst>
            <c:ext xmlns:c16="http://schemas.microsoft.com/office/drawing/2014/chart" uri="{C3380CC4-5D6E-409C-BE32-E72D297353CC}">
              <c16:uniqueId val="{0000002E-AF67-493A-A8F1-74E7E4942007}"/>
            </c:ext>
          </c:extLst>
        </c:ser>
        <c:ser>
          <c:idx val="43"/>
          <c:order val="44"/>
          <c:tx>
            <c:strRef>
              <c:f>PlantData!$C$48</c:f>
              <c:strCache>
                <c:ptCount val="1"/>
                <c:pt idx="0">
                  <c:v>CalRenew-1</c:v>
                </c:pt>
              </c:strCache>
            </c:strRef>
          </c:tx>
          <c:spPr>
            <a:ln w="12700" cap="rnd">
              <a:noFill/>
              <a:prstDash val="sysDot"/>
              <a:round/>
            </a:ln>
            <a:effectLst/>
          </c:spPr>
          <c:marker>
            <c:symbol val="circle"/>
            <c:size val="5"/>
            <c:spPr>
              <a:solidFill>
                <a:srgbClr val="00B0F0"/>
              </a:solidFill>
              <a:ln w="9525">
                <a:solidFill>
                  <a:srgbClr val="FF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PlantData!$BB$48:$BO$48</c:f>
              <c:numCache>
                <c:formatCode>0.00</c:formatCode>
                <c:ptCount val="14"/>
                <c:pt idx="0">
                  <c:v>0.95321386182506673</c:v>
                </c:pt>
                <c:pt idx="1">
                  <c:v>1.0152690065278398</c:v>
                </c:pt>
                <c:pt idx="2">
                  <c:v>1.0503645834065614</c:v>
                </c:pt>
                <c:pt idx="3">
                  <c:v>1.0198218013017404</c:v>
                </c:pt>
                <c:pt idx="4">
                  <c:v>1.0018311370922006</c:v>
                </c:pt>
                <c:pt idx="5">
                  <c:v>0.9251101635727792</c:v>
                </c:pt>
                <c:pt idx="6">
                  <c:v>0.9761574872763642</c:v>
                </c:pt>
                <c:pt idx="7">
                  <c:v>0.98405841288974849</c:v>
                </c:pt>
                <c:pt idx="8">
                  <c:v>0.89958668157058308</c:v>
                </c:pt>
                <c:pt idx="9">
                  <c:v>0.92589293374704318</c:v>
                </c:pt>
                <c:pt idx="10">
                  <c:v>0.53399940606950036</c:v>
                </c:pt>
                <c:pt idx="11">
                  <c:v>0.86380668796970694</c:v>
                </c:pt>
                <c:pt idx="12">
                  <c:v>0.64770616949547422</c:v>
                </c:pt>
                <c:pt idx="13">
                  <c:v>0.13727188425640097</c:v>
                </c:pt>
              </c:numCache>
            </c:numRef>
          </c:yVal>
          <c:smooth val="0"/>
          <c:extLst>
            <c:ext xmlns:c16="http://schemas.microsoft.com/office/drawing/2014/chart" uri="{C3380CC4-5D6E-409C-BE32-E72D297353CC}">
              <c16:uniqueId val="{0000002F-AF67-493A-A8F1-74E7E4942007}"/>
            </c:ext>
          </c:extLst>
        </c:ser>
        <c:ser>
          <c:idx val="44"/>
          <c:order val="45"/>
          <c:tx>
            <c:strRef>
              <c:f>PlantData!$C$49</c:f>
              <c:strCache>
                <c:ptCount val="1"/>
                <c:pt idx="0">
                  <c:v>Carson</c:v>
                </c:pt>
              </c:strCache>
            </c:strRef>
          </c:tx>
          <c:spPr>
            <a:ln w="12700" cap="rnd">
              <a:noFill/>
              <a:prstDash val="sysDot"/>
              <a:round/>
            </a:ln>
            <a:effectLst/>
          </c:spPr>
          <c:marker>
            <c:symbol val="circle"/>
            <c:size val="5"/>
            <c:spPr>
              <a:solidFill>
                <a:srgbClr val="C00000"/>
              </a:solidFill>
              <a:ln w="9525">
                <a:solidFill>
                  <a:srgbClr val="00B05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PlantData!$BB$49:$BP$49</c:f>
              <c:numCache>
                <c:formatCode>0.00</c:formatCode>
                <c:ptCount val="15"/>
                <c:pt idx="0">
                  <c:v>0.92319639436578449</c:v>
                </c:pt>
                <c:pt idx="1">
                  <c:v>0.95502601211107963</c:v>
                </c:pt>
                <c:pt idx="2">
                  <c:v>0.95552649674787249</c:v>
                </c:pt>
                <c:pt idx="3">
                  <c:v>0.77178042150548021</c:v>
                </c:pt>
                <c:pt idx="4">
                  <c:v>0.65439419784912689</c:v>
                </c:pt>
                <c:pt idx="5">
                  <c:v>0.75150368478136886</c:v>
                </c:pt>
                <c:pt idx="6">
                  <c:v>0.84424712966982951</c:v>
                </c:pt>
                <c:pt idx="7">
                  <c:v>0.68918133034271789</c:v>
                </c:pt>
                <c:pt idx="8">
                  <c:v>0.52051178157290379</c:v>
                </c:pt>
                <c:pt idx="9">
                  <c:v>0</c:v>
                </c:pt>
                <c:pt idx="10">
                  <c:v>0.73094494141814204</c:v>
                </c:pt>
                <c:pt idx="11">
                  <c:v>1.0683601106348271</c:v>
                </c:pt>
                <c:pt idx="12">
                  <c:v>0.95621905308271904</c:v>
                </c:pt>
                <c:pt idx="13">
                  <c:v>0.97724672921839095</c:v>
                </c:pt>
                <c:pt idx="14">
                  <c:v>1.0268306840673196</c:v>
                </c:pt>
              </c:numCache>
            </c:numRef>
          </c:yVal>
          <c:smooth val="0"/>
          <c:extLst>
            <c:ext xmlns:c16="http://schemas.microsoft.com/office/drawing/2014/chart" uri="{C3380CC4-5D6E-409C-BE32-E72D297353CC}">
              <c16:uniqueId val="{00000030-AF67-493A-A8F1-74E7E4942007}"/>
            </c:ext>
          </c:extLst>
        </c:ser>
        <c:ser>
          <c:idx val="45"/>
          <c:order val="46"/>
          <c:tx>
            <c:strRef>
              <c:f>PlantData!$C$51</c:f>
              <c:strCache>
                <c:ptCount val="1"/>
                <c:pt idx="0">
                  <c:v>Crayola</c:v>
                </c:pt>
              </c:strCache>
            </c:strRef>
          </c:tx>
          <c:spPr>
            <a:ln w="12700" cap="rnd">
              <a:noFill/>
              <a:prstDash val="sysDot"/>
              <a:round/>
            </a:ln>
            <a:effectLst/>
          </c:spPr>
          <c:marker>
            <c:symbol val="circle"/>
            <c:size val="5"/>
            <c:spPr>
              <a:solidFill>
                <a:srgbClr val="7030A0"/>
              </a:solidFill>
              <a:ln w="9525">
                <a:solidFill>
                  <a:schemeClr val="accent4"/>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PlantData!$BB$51:$BN$51</c:f>
              <c:numCache>
                <c:formatCode>0.00</c:formatCode>
                <c:ptCount val="13"/>
                <c:pt idx="0">
                  <c:v>0.61298497621163872</c:v>
                </c:pt>
                <c:pt idx="1">
                  <c:v>0.732174628169311</c:v>
                </c:pt>
                <c:pt idx="2">
                  <c:v>0.76441162670687357</c:v>
                </c:pt>
                <c:pt idx="3">
                  <c:v>1.0889149674740692</c:v>
                </c:pt>
                <c:pt idx="4">
                  <c:v>0.66021295722960494</c:v>
                </c:pt>
                <c:pt idx="5">
                  <c:v>0.63978846038394932</c:v>
                </c:pt>
                <c:pt idx="6">
                  <c:v>0.66636258848877894</c:v>
                </c:pt>
                <c:pt idx="7">
                  <c:v>0.67299280454707944</c:v>
                </c:pt>
                <c:pt idx="8">
                  <c:v>0.63552834517314027</c:v>
                </c:pt>
                <c:pt idx="9">
                  <c:v>0.71241083517939152</c:v>
                </c:pt>
                <c:pt idx="10">
                  <c:v>0.69420867850381884</c:v>
                </c:pt>
                <c:pt idx="11">
                  <c:v>0.67683578731903749</c:v>
                </c:pt>
                <c:pt idx="12">
                  <c:v>0.60569045468076588</c:v>
                </c:pt>
              </c:numCache>
            </c:numRef>
          </c:yVal>
          <c:smooth val="0"/>
          <c:extLst>
            <c:ext xmlns:c16="http://schemas.microsoft.com/office/drawing/2014/chart" uri="{C3380CC4-5D6E-409C-BE32-E72D297353CC}">
              <c16:uniqueId val="{00000031-AF67-493A-A8F1-74E7E4942007}"/>
            </c:ext>
          </c:extLst>
        </c:ser>
        <c:ser>
          <c:idx val="46"/>
          <c:order val="47"/>
          <c:tx>
            <c:strRef>
              <c:f>PlantData!$C$52</c:f>
              <c:strCache>
                <c:ptCount val="1"/>
                <c:pt idx="0">
                  <c:v>Duke Egy 10240</c:v>
                </c:pt>
              </c:strCache>
            </c:strRef>
          </c:tx>
          <c:spPr>
            <a:ln w="12700" cap="rnd">
              <a:noFill/>
              <a:prstDash val="sysDot"/>
              <a:round/>
            </a:ln>
            <a:effectLst/>
          </c:spPr>
          <c:marker>
            <c:symbol val="circle"/>
            <c:size val="5"/>
            <c:spPr>
              <a:solidFill>
                <a:srgbClr val="00B0F0"/>
              </a:solidFill>
              <a:ln w="9525">
                <a:solidFill>
                  <a:schemeClr val="bg2">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PlantData!$BB$52:$BO$52</c:f>
              <c:numCache>
                <c:formatCode>0.00</c:formatCode>
                <c:ptCount val="14"/>
                <c:pt idx="0">
                  <c:v>0.87200367460427863</c:v>
                </c:pt>
                <c:pt idx="1">
                  <c:v>0.97539867500064092</c:v>
                </c:pt>
                <c:pt idx="2">
                  <c:v>0.9341603010757118</c:v>
                </c:pt>
                <c:pt idx="3">
                  <c:v>0.93850851623296372</c:v>
                </c:pt>
                <c:pt idx="4">
                  <c:v>0.86149241588067593</c:v>
                </c:pt>
                <c:pt idx="5">
                  <c:v>0.88819236625306475</c:v>
                </c:pt>
                <c:pt idx="6">
                  <c:v>0.69487322501866366</c:v>
                </c:pt>
                <c:pt idx="7">
                  <c:v>0.58644304777476886</c:v>
                </c:pt>
                <c:pt idx="8">
                  <c:v>0.71322931698061975</c:v>
                </c:pt>
                <c:pt idx="9">
                  <c:v>0.71431701888156274</c:v>
                </c:pt>
                <c:pt idx="10">
                  <c:v>0.7408451533896091</c:v>
                </c:pt>
                <c:pt idx="11">
                  <c:v>0.52123361702307602</c:v>
                </c:pt>
                <c:pt idx="12">
                  <c:v>0.55534921915270785</c:v>
                </c:pt>
              </c:numCache>
            </c:numRef>
          </c:yVal>
          <c:smooth val="0"/>
          <c:extLst>
            <c:ext xmlns:c16="http://schemas.microsoft.com/office/drawing/2014/chart" uri="{C3380CC4-5D6E-409C-BE32-E72D297353CC}">
              <c16:uniqueId val="{00000032-AF67-493A-A8F1-74E7E4942007}"/>
            </c:ext>
          </c:extLst>
        </c:ser>
        <c:ser>
          <c:idx val="47"/>
          <c:order val="48"/>
          <c:tx>
            <c:strRef>
              <c:f>PlantData!$C$53</c:f>
              <c:strCache>
                <c:ptCount val="1"/>
                <c:pt idx="0">
                  <c:v>Duke Egy 1725</c:v>
                </c:pt>
              </c:strCache>
            </c:strRef>
          </c:tx>
          <c:spPr>
            <a:ln w="12700" cap="rnd">
              <a:noFill/>
              <a:prstDash val="sysDot"/>
              <a:round/>
            </a:ln>
            <a:effectLst/>
          </c:spPr>
          <c:marker>
            <c:symbol val="circle"/>
            <c:size val="5"/>
            <c:spPr>
              <a:solidFill>
                <a:srgbClr val="FFC000"/>
              </a:solidFill>
              <a:ln w="9525">
                <a:solidFill>
                  <a:schemeClr val="accent6">
                    <a:lumMod val="7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PlantData!$BB$53:$BP$53</c:f>
              <c:numCache>
                <c:formatCode>0.00</c:formatCode>
                <c:ptCount val="15"/>
                <c:pt idx="0">
                  <c:v>0.94088885461924987</c:v>
                </c:pt>
                <c:pt idx="1">
                  <c:v>0.23257892358577023</c:v>
                </c:pt>
                <c:pt idx="2">
                  <c:v>0.28787869938677724</c:v>
                </c:pt>
                <c:pt idx="3">
                  <c:v>0.95390807274362688</c:v>
                </c:pt>
                <c:pt idx="4">
                  <c:v>0.95994422689526926</c:v>
                </c:pt>
                <c:pt idx="5">
                  <c:v>0.96476806723142627</c:v>
                </c:pt>
                <c:pt idx="6">
                  <c:v>1.0455537233140173</c:v>
                </c:pt>
                <c:pt idx="7">
                  <c:v>0.97511932787796796</c:v>
                </c:pt>
                <c:pt idx="8">
                  <c:v>0.87479094857963535</c:v>
                </c:pt>
                <c:pt idx="9">
                  <c:v>0.81930024023990322</c:v>
                </c:pt>
                <c:pt idx="10">
                  <c:v>0.84326642262318785</c:v>
                </c:pt>
                <c:pt idx="11">
                  <c:v>0.52381792639375691</c:v>
                </c:pt>
                <c:pt idx="12">
                  <c:v>0.6305760722950291</c:v>
                </c:pt>
                <c:pt idx="13">
                  <c:v>0.5173957516266906</c:v>
                </c:pt>
                <c:pt idx="14">
                  <c:v>0.58924139285280019</c:v>
                </c:pt>
              </c:numCache>
            </c:numRef>
          </c:yVal>
          <c:smooth val="0"/>
          <c:extLst>
            <c:ext xmlns:c16="http://schemas.microsoft.com/office/drawing/2014/chart" uri="{C3380CC4-5D6E-409C-BE32-E72D297353CC}">
              <c16:uniqueId val="{00000033-AF67-493A-A8F1-74E7E4942007}"/>
            </c:ext>
          </c:extLst>
        </c:ser>
        <c:ser>
          <c:idx val="48"/>
          <c:order val="49"/>
          <c:tx>
            <c:strRef>
              <c:f>PlantData!$C$54</c:f>
              <c:strCache>
                <c:ptCount val="1"/>
                <c:pt idx="0">
                  <c:v>Duke Egy 657</c:v>
                </c:pt>
              </c:strCache>
            </c:strRef>
          </c:tx>
          <c:spPr>
            <a:ln w="12700" cap="rnd">
              <a:noFill/>
              <a:prstDash val="sysDot"/>
              <a:round/>
            </a:ln>
            <a:effectLst/>
          </c:spPr>
          <c:marker>
            <c:symbol val="circle"/>
            <c:size val="5"/>
            <c:spPr>
              <a:solidFill>
                <a:schemeClr val="accent1">
                  <a:lumMod val="50000"/>
                  <a:lumOff val="50000"/>
                </a:schemeClr>
              </a:solidFill>
              <a:ln w="9525">
                <a:solidFill>
                  <a:schemeClr val="accent2">
                    <a:lumMod val="75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PlantData!$BB$54:$BP$54</c:f>
              <c:numCache>
                <c:formatCode>0.00</c:formatCode>
                <c:ptCount val="15"/>
                <c:pt idx="0">
                  <c:v>1.0054821415569357</c:v>
                </c:pt>
                <c:pt idx="1">
                  <c:v>0.9862247799759648</c:v>
                </c:pt>
                <c:pt idx="2">
                  <c:v>0.81680186814158751</c:v>
                </c:pt>
                <c:pt idx="3">
                  <c:v>0.91238570573000377</c:v>
                </c:pt>
                <c:pt idx="4">
                  <c:v>0.99971565905420912</c:v>
                </c:pt>
                <c:pt idx="5">
                  <c:v>0.97264216440791484</c:v>
                </c:pt>
                <c:pt idx="6">
                  <c:v>0.90128248802421862</c:v>
                </c:pt>
                <c:pt idx="7">
                  <c:v>0.74174372781290954</c:v>
                </c:pt>
                <c:pt idx="8">
                  <c:v>0.66697445923341259</c:v>
                </c:pt>
                <c:pt idx="9">
                  <c:v>0.42422561560174504</c:v>
                </c:pt>
                <c:pt idx="10">
                  <c:v>0.40391753931930235</c:v>
                </c:pt>
                <c:pt idx="11">
                  <c:v>0.21450053580080825</c:v>
                </c:pt>
              </c:numCache>
            </c:numRef>
          </c:yVal>
          <c:smooth val="0"/>
          <c:extLst>
            <c:ext xmlns:c16="http://schemas.microsoft.com/office/drawing/2014/chart" uri="{C3380CC4-5D6E-409C-BE32-E72D297353CC}">
              <c16:uniqueId val="{00000034-AF67-493A-A8F1-74E7E4942007}"/>
            </c:ext>
          </c:extLst>
        </c:ser>
        <c:ser>
          <c:idx val="49"/>
          <c:order val="50"/>
          <c:tx>
            <c:strRef>
              <c:f>PlantData!$C$55</c:f>
              <c:strCache>
                <c:ptCount val="1"/>
                <c:pt idx="0">
                  <c:v>Dow Jones</c:v>
                </c:pt>
              </c:strCache>
            </c:strRef>
          </c:tx>
          <c:spPr>
            <a:ln w="12700" cap="rnd">
              <a:noFill/>
              <a:prstDash val="sysDot"/>
              <a:round/>
            </a:ln>
            <a:effectLst/>
          </c:spPr>
          <c:marker>
            <c:symbol val="circle"/>
            <c:size val="5"/>
            <c:spPr>
              <a:solidFill>
                <a:schemeClr val="accent2">
                  <a:lumMod val="50000"/>
                  <a:lumOff val="5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PlantData!$BB$55:$BO$55</c:f>
              <c:numCache>
                <c:formatCode>0.00</c:formatCode>
                <c:ptCount val="14"/>
                <c:pt idx="0">
                  <c:v>0.90361177026642492</c:v>
                </c:pt>
                <c:pt idx="1">
                  <c:v>1.0137516646672524</c:v>
                </c:pt>
                <c:pt idx="2">
                  <c:v>0.99504108352724252</c:v>
                </c:pt>
                <c:pt idx="3">
                  <c:v>0.96016723535284088</c:v>
                </c:pt>
                <c:pt idx="4">
                  <c:v>0.99404615573411981</c:v>
                </c:pt>
                <c:pt idx="5">
                  <c:v>1.0364978619287759</c:v>
                </c:pt>
                <c:pt idx="6">
                  <c:v>0.92431962326275241</c:v>
                </c:pt>
                <c:pt idx="7">
                  <c:v>0.81505595206464754</c:v>
                </c:pt>
                <c:pt idx="8">
                  <c:v>0.98494458241982852</c:v>
                </c:pt>
                <c:pt idx="9">
                  <c:v>0.96400641245117979</c:v>
                </c:pt>
                <c:pt idx="10">
                  <c:v>0.96079755922308474</c:v>
                </c:pt>
                <c:pt idx="11">
                  <c:v>0.70746141612673208</c:v>
                </c:pt>
                <c:pt idx="12">
                  <c:v>0.86932143333747613</c:v>
                </c:pt>
                <c:pt idx="13">
                  <c:v>0</c:v>
                </c:pt>
              </c:numCache>
            </c:numRef>
          </c:yVal>
          <c:smooth val="0"/>
          <c:extLst>
            <c:ext xmlns:c16="http://schemas.microsoft.com/office/drawing/2014/chart" uri="{C3380CC4-5D6E-409C-BE32-E72D297353CC}">
              <c16:uniqueId val="{00000035-AF67-493A-A8F1-74E7E4942007}"/>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a:t>
            </a:r>
          </a:p>
          <a:p>
            <a:pPr>
              <a:defRPr b="1"/>
            </a:pPr>
            <a:r>
              <a:rPr lang="en-US" b="1" baseline="0"/>
              <a:t>Median (p50) degradation 3.3%/yr; p90 degr. 6.6%/yr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p50</c:v>
                </c:pt>
              </c:strCache>
            </c:strRef>
          </c:tx>
          <c:spPr>
            <a:ln w="6350" cap="rnd">
              <a:solidFill>
                <a:srgbClr val="FF0000">
                  <a:alpha val="50000"/>
                </a:srgbClr>
              </a:solidFill>
              <a:round/>
            </a:ln>
            <a:effectLst/>
          </c:spPr>
          <c:marker>
            <c:symbol val="none"/>
          </c:marker>
          <c:trendline>
            <c:spPr>
              <a:ln w="50800" cap="rnd">
                <a:solidFill>
                  <a:srgbClr val="FF0000"/>
                </a:solidFill>
                <a:prstDash val="solid"/>
              </a:ln>
              <a:effectLst/>
            </c:spPr>
            <c:trendlineType val="linear"/>
            <c:dispRSqr val="1"/>
            <c:dispEq val="1"/>
            <c:trendlineLbl>
              <c:layout>
                <c:manualLayout>
                  <c:x val="0.22740330853138771"/>
                  <c:y val="1.0805020193314935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1"/>
          <c:extLst>
            <c:ext xmlns:c16="http://schemas.microsoft.com/office/drawing/2014/chart" uri="{C3380CC4-5D6E-409C-BE32-E72D297353CC}">
              <c16:uniqueId val="{00000001-25BD-4E8C-B407-D32914C6C0B7}"/>
            </c:ext>
          </c:extLst>
        </c:ser>
        <c:ser>
          <c:idx val="50"/>
          <c:order val="1"/>
          <c:tx>
            <c:strRef>
              <c:f>PlantData!$BA$113</c:f>
              <c:strCache>
                <c:ptCount val="1"/>
                <c:pt idx="0">
                  <c:v>p90 (obs.rank)</c:v>
                </c:pt>
              </c:strCache>
            </c:strRef>
          </c:tx>
          <c:spPr>
            <a:ln w="6350" cap="rnd">
              <a:solidFill>
                <a:srgbClr val="FF0000">
                  <a:alpha val="50000"/>
                </a:srgbClr>
              </a:solidFill>
              <a:round/>
            </a:ln>
            <a:effectLst/>
          </c:spPr>
          <c:marker>
            <c:symbol val="none"/>
          </c:marker>
          <c:trendline>
            <c:spPr>
              <a:ln w="50800" cap="rnd">
                <a:solidFill>
                  <a:srgbClr val="C00000"/>
                </a:solidFill>
                <a:prstDash val="solid"/>
              </a:ln>
              <a:effectLst/>
            </c:spPr>
            <c:trendlineType val="linear"/>
            <c:dispRSqr val="1"/>
            <c:dispEq val="1"/>
            <c:trendlineLbl>
              <c:layout>
                <c:manualLayout>
                  <c:x val="0.21977028100845192"/>
                  <c:y val="5.6468016646484237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0.73858934353616212</c:v>
                </c:pt>
                <c:pt idx="1">
                  <c:v>0.70760804400333988</c:v>
                </c:pt>
                <c:pt idx="2">
                  <c:v>0.7492170473836266</c:v>
                </c:pt>
                <c:pt idx="3">
                  <c:v>0.77178042150548021</c:v>
                </c:pt>
                <c:pt idx="4">
                  <c:v>0.70461202905769504</c:v>
                </c:pt>
                <c:pt idx="5">
                  <c:v>0.76136818881943491</c:v>
                </c:pt>
                <c:pt idx="6">
                  <c:v>0.71399938901986071</c:v>
                </c:pt>
                <c:pt idx="7">
                  <c:v>0.63156024539441125</c:v>
                </c:pt>
                <c:pt idx="8">
                  <c:v>0.56151689265538174</c:v>
                </c:pt>
                <c:pt idx="9">
                  <c:v>0.48225330819182721</c:v>
                </c:pt>
                <c:pt idx="10">
                  <c:v>0.53513038371745969</c:v>
                </c:pt>
                <c:pt idx="11">
                  <c:v>0.52123361702307602</c:v>
                </c:pt>
                <c:pt idx="12">
                  <c:v>0.48074780230929676</c:v>
                </c:pt>
                <c:pt idx="13">
                  <c:v>0.13727188425640097</c:v>
                </c:pt>
                <c:pt idx="14">
                  <c:v>0.28768143828453463</c:v>
                </c:pt>
                <c:pt idx="15">
                  <c:v>0.40219352703657463</c:v>
                </c:pt>
              </c:numCache>
            </c:numRef>
          </c:yVal>
          <c:smooth val="1"/>
          <c:extLst>
            <c:ext xmlns:c16="http://schemas.microsoft.com/office/drawing/2014/chart" uri="{C3380CC4-5D6E-409C-BE32-E72D297353CC}">
              <c16:uniqueId val="{00000005-25BD-4E8C-B407-D32914C6C0B7}"/>
            </c:ext>
          </c:extLst>
        </c:ser>
        <c:ser>
          <c:idx val="0"/>
          <c:order val="2"/>
          <c:tx>
            <c:strRef>
              <c:f>PlantData!$C$7</c:f>
              <c:strCache>
                <c:ptCount val="1"/>
                <c:pt idx="0">
                  <c:v>Agua Fria PV-3</c:v>
                </c:pt>
              </c:strCache>
            </c:strRef>
          </c:tx>
          <c:spPr>
            <a:ln w="12700" cap="rnd">
              <a:noFill/>
              <a:prstDash val="sysDot"/>
              <a:round/>
            </a:ln>
            <a:effectLst/>
          </c:spPr>
          <c:marker>
            <c:symbol val="circle"/>
            <c:size val="5"/>
            <c:spPr>
              <a:solidFill>
                <a:schemeClr val="accent1"/>
              </a:solidFill>
              <a:ln w="9525">
                <a:solidFill>
                  <a:schemeClr val="accent1"/>
                </a:solidFill>
              </a:ln>
              <a:effectLst/>
            </c:spPr>
          </c:marker>
          <c:xVal>
            <c:numRef>
              <c:f>PlantData!$BB$6:$BX$6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PlantData!$BB$7:$BX$7</c:f>
              <c:numCache>
                <c:formatCode>0.00</c:formatCode>
                <c:ptCount val="23"/>
                <c:pt idx="0">
                  <c:v>0.72908004236912194</c:v>
                </c:pt>
                <c:pt idx="1">
                  <c:v>0.55094910650373186</c:v>
                </c:pt>
                <c:pt idx="2">
                  <c:v>0.20694499711322348</c:v>
                </c:pt>
                <c:pt idx="3">
                  <c:v>0.53401533955605685</c:v>
                </c:pt>
                <c:pt idx="4">
                  <c:v>0.74949521341200953</c:v>
                </c:pt>
                <c:pt idx="5">
                  <c:v>0.82707357960922245</c:v>
                </c:pt>
                <c:pt idx="6">
                  <c:v>0.38232763244472634</c:v>
                </c:pt>
                <c:pt idx="7">
                  <c:v>0.8373184480151511</c:v>
                </c:pt>
                <c:pt idx="8">
                  <c:v>0.85881771015527997</c:v>
                </c:pt>
                <c:pt idx="9">
                  <c:v>0.84382390551832398</c:v>
                </c:pt>
                <c:pt idx="10">
                  <c:v>0.76655690967362655</c:v>
                </c:pt>
                <c:pt idx="11">
                  <c:v>0.49735261616124876</c:v>
                </c:pt>
                <c:pt idx="12">
                  <c:v>0</c:v>
                </c:pt>
                <c:pt idx="13">
                  <c:v>0.30141821640539301</c:v>
                </c:pt>
                <c:pt idx="14">
                  <c:v>0.42964990284737592</c:v>
                </c:pt>
                <c:pt idx="15">
                  <c:v>0.55916273857820276</c:v>
                </c:pt>
                <c:pt idx="16">
                  <c:v>0.27198673955770158</c:v>
                </c:pt>
                <c:pt idx="17">
                  <c:v>0</c:v>
                </c:pt>
                <c:pt idx="18">
                  <c:v>0</c:v>
                </c:pt>
                <c:pt idx="19">
                  <c:v>0</c:v>
                </c:pt>
                <c:pt idx="20">
                  <c:v>0</c:v>
                </c:pt>
                <c:pt idx="21">
                  <c:v>4.3063836069786303E-2</c:v>
                </c:pt>
                <c:pt idx="22">
                  <c:v>0.16281613062996497</c:v>
                </c:pt>
              </c:numCache>
            </c:numRef>
          </c:yVal>
          <c:smooth val="0"/>
          <c:extLst>
            <c:ext xmlns:c16="http://schemas.microsoft.com/office/drawing/2014/chart" uri="{C3380CC4-5D6E-409C-BE32-E72D297353CC}">
              <c16:uniqueId val="{00000006-25BD-4E8C-B407-D32914C6C0B7}"/>
            </c:ext>
          </c:extLst>
        </c:ser>
        <c:ser>
          <c:idx val="1"/>
          <c:order val="3"/>
          <c:tx>
            <c:strRef>
              <c:f>PlantData!$C$8</c:f>
              <c:strCache>
                <c:ptCount val="1"/>
                <c:pt idx="0">
                  <c:v>Nellis Sunpower</c:v>
                </c:pt>
              </c:strCache>
            </c:strRef>
          </c:tx>
          <c:spPr>
            <a:ln w="12700" cap="rnd">
              <a:noFill/>
              <a:prstDash val="sysDot"/>
              <a:round/>
            </a:ln>
            <a:effectLst/>
          </c:spPr>
          <c:marker>
            <c:symbol val="circle"/>
            <c:size val="5"/>
            <c:spPr>
              <a:solidFill>
                <a:schemeClr val="accent2"/>
              </a:solidFill>
              <a:ln w="9525">
                <a:solidFill>
                  <a:schemeClr val="accent2"/>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PlantData!$BB$8:$BR$8</c:f>
              <c:numCache>
                <c:formatCode>0.00</c:formatCode>
                <c:ptCount val="17"/>
                <c:pt idx="0">
                  <c:v>1.015625</c:v>
                </c:pt>
                <c:pt idx="1">
                  <c:v>1.0050251256281406</c:v>
                </c:pt>
                <c:pt idx="2">
                  <c:v>0.98801166637206117</c:v>
                </c:pt>
                <c:pt idx="3">
                  <c:v>1.019116694048257</c:v>
                </c:pt>
                <c:pt idx="4">
                  <c:v>1.0253219017702644</c:v>
                </c:pt>
                <c:pt idx="5">
                  <c:v>1.0176249872897576</c:v>
                </c:pt>
                <c:pt idx="6">
                  <c:v>1.004833185811133</c:v>
                </c:pt>
                <c:pt idx="7">
                  <c:v>0.98483134787652638</c:v>
                </c:pt>
                <c:pt idx="8">
                  <c:v>0.64162664039483874</c:v>
                </c:pt>
                <c:pt idx="9">
                  <c:v>0.92234110504153655</c:v>
                </c:pt>
                <c:pt idx="10">
                  <c:v>0.88416417096533406</c:v>
                </c:pt>
                <c:pt idx="11">
                  <c:v>0.87420985500285731</c:v>
                </c:pt>
                <c:pt idx="12">
                  <c:v>0.82832397885082709</c:v>
                </c:pt>
                <c:pt idx="13">
                  <c:v>0.63973273613384696</c:v>
                </c:pt>
                <c:pt idx="14">
                  <c:v>0.66959727753855791</c:v>
                </c:pt>
                <c:pt idx="15">
                  <c:v>0.731852587592284</c:v>
                </c:pt>
                <c:pt idx="16">
                  <c:v>0.80463750837893555</c:v>
                </c:pt>
              </c:numCache>
            </c:numRef>
          </c:yVal>
          <c:smooth val="0"/>
          <c:extLst>
            <c:ext xmlns:c16="http://schemas.microsoft.com/office/drawing/2014/chart" uri="{C3380CC4-5D6E-409C-BE32-E72D297353CC}">
              <c16:uniqueId val="{00000007-25BD-4E8C-B407-D32914C6C0B7}"/>
            </c:ext>
          </c:extLst>
        </c:ser>
        <c:ser>
          <c:idx val="2"/>
          <c:order val="4"/>
          <c:tx>
            <c:strRef>
              <c:f>PlantData!$C$9</c:f>
              <c:strCache>
                <c:ptCount val="1"/>
                <c:pt idx="0">
                  <c:v>SunE Alamosa1</c:v>
                </c:pt>
              </c:strCache>
            </c:strRef>
          </c:tx>
          <c:spPr>
            <a:ln w="12700" cap="rnd">
              <a:noFill/>
              <a:prstDash val="sysDot"/>
              <a:round/>
            </a:ln>
            <a:effectLst/>
          </c:spPr>
          <c:marker>
            <c:symbol val="circle"/>
            <c:size val="5"/>
            <c:spPr>
              <a:solidFill>
                <a:schemeClr val="accent3"/>
              </a:solidFill>
              <a:ln w="9525">
                <a:solidFill>
                  <a:schemeClr val="accent3"/>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PlantData!$BB$9:$BR$9</c:f>
              <c:numCache>
                <c:formatCode>0.00</c:formatCode>
                <c:ptCount val="17"/>
                <c:pt idx="0">
                  <c:v>0.86156351293016908</c:v>
                </c:pt>
                <c:pt idx="1">
                  <c:v>0.86213917790401451</c:v>
                </c:pt>
                <c:pt idx="2">
                  <c:v>0.87406650235041639</c:v>
                </c:pt>
                <c:pt idx="3">
                  <c:v>0.88788795992287439</c:v>
                </c:pt>
                <c:pt idx="4">
                  <c:v>0.88111824615715939</c:v>
                </c:pt>
                <c:pt idx="5">
                  <c:v>0.85198462509892503</c:v>
                </c:pt>
                <c:pt idx="6">
                  <c:v>0.84076838687239086</c:v>
                </c:pt>
                <c:pt idx="7">
                  <c:v>0.13427458989843302</c:v>
                </c:pt>
                <c:pt idx="8">
                  <c:v>0.13484702472646379</c:v>
                </c:pt>
                <c:pt idx="9">
                  <c:v>1.1499999999999999</c:v>
                </c:pt>
                <c:pt idx="10">
                  <c:v>0.82358963403313246</c:v>
                </c:pt>
                <c:pt idx="11">
                  <c:v>0.80581339165191135</c:v>
                </c:pt>
                <c:pt idx="12">
                  <c:v>0.74415302251885529</c:v>
                </c:pt>
                <c:pt idx="13">
                  <c:v>0.64628863143426585</c:v>
                </c:pt>
                <c:pt idx="14">
                  <c:v>0.7237630095906884</c:v>
                </c:pt>
                <c:pt idx="15">
                  <c:v>0.60172495516561963</c:v>
                </c:pt>
                <c:pt idx="16">
                  <c:v>0.71540008510015962</c:v>
                </c:pt>
              </c:numCache>
            </c:numRef>
          </c:yVal>
          <c:smooth val="0"/>
          <c:extLst>
            <c:ext xmlns:c16="http://schemas.microsoft.com/office/drawing/2014/chart" uri="{C3380CC4-5D6E-409C-BE32-E72D297353CC}">
              <c16:uniqueId val="{00000008-25BD-4E8C-B407-D32914C6C0B7}"/>
            </c:ext>
          </c:extLst>
        </c:ser>
        <c:ser>
          <c:idx val="3"/>
          <c:order val="5"/>
          <c:tx>
            <c:strRef>
              <c:f>PlantData!$C$10</c:f>
              <c:strCache>
                <c:ptCount val="1"/>
                <c:pt idx="0">
                  <c:v>Atlantic Cty ConvCtr</c:v>
                </c:pt>
              </c:strCache>
            </c:strRef>
          </c:tx>
          <c:spPr>
            <a:ln w="12700" cap="rnd">
              <a:noFill/>
              <a:prstDash val="sysDot"/>
              <a:round/>
            </a:ln>
            <a:effectLst/>
          </c:spPr>
          <c:marker>
            <c:symbol val="circle"/>
            <c:size val="5"/>
            <c:spPr>
              <a:solidFill>
                <a:schemeClr val="accent4"/>
              </a:solidFill>
              <a:ln w="9525">
                <a:solidFill>
                  <a:schemeClr val="accent4"/>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PlantData!$BB$10:$BQ$10</c:f>
              <c:numCache>
                <c:formatCode>0.00</c:formatCode>
                <c:ptCount val="16"/>
                <c:pt idx="0">
                  <c:v>0.89389555950122512</c:v>
                </c:pt>
                <c:pt idx="1">
                  <c:v>0.9831287823903434</c:v>
                </c:pt>
                <c:pt idx="2">
                  <c:v>1.0014478711775401</c:v>
                </c:pt>
                <c:pt idx="3">
                  <c:v>1.0054964208564288</c:v>
                </c:pt>
                <c:pt idx="4">
                  <c:v>0.93935587901701012</c:v>
                </c:pt>
                <c:pt idx="5">
                  <c:v>0.98680813315407667</c:v>
                </c:pt>
                <c:pt idx="6">
                  <c:v>0.99276572626997239</c:v>
                </c:pt>
                <c:pt idx="7">
                  <c:v>1.0245218897433699</c:v>
                </c:pt>
                <c:pt idx="8">
                  <c:v>1.0054585305143209</c:v>
                </c:pt>
                <c:pt idx="9">
                  <c:v>0.97975640071965719</c:v>
                </c:pt>
                <c:pt idx="10">
                  <c:v>1.0587260902800208</c:v>
                </c:pt>
                <c:pt idx="11">
                  <c:v>1.0425400920918948</c:v>
                </c:pt>
                <c:pt idx="12">
                  <c:v>1.0244492649845158</c:v>
                </c:pt>
                <c:pt idx="13">
                  <c:v>1.0668365356124532</c:v>
                </c:pt>
                <c:pt idx="14">
                  <c:v>0.97620569584193784</c:v>
                </c:pt>
                <c:pt idx="15">
                  <c:v>0.72268578207759449</c:v>
                </c:pt>
              </c:numCache>
            </c:numRef>
          </c:yVal>
          <c:smooth val="0"/>
          <c:extLst>
            <c:ext xmlns:c16="http://schemas.microsoft.com/office/drawing/2014/chart" uri="{C3380CC4-5D6E-409C-BE32-E72D297353CC}">
              <c16:uniqueId val="{00000009-25BD-4E8C-B407-D32914C6C0B7}"/>
            </c:ext>
          </c:extLst>
        </c:ser>
        <c:ser>
          <c:idx val="4"/>
          <c:order val="6"/>
          <c:tx>
            <c:strRef>
              <c:f>PlantData!$C$11</c:f>
              <c:strCache>
                <c:ptCount val="1"/>
                <c:pt idx="0">
                  <c:v>MMA Bolthouse</c:v>
                </c:pt>
              </c:strCache>
            </c:strRef>
          </c:tx>
          <c:spPr>
            <a:ln w="12700" cap="rnd">
              <a:noFill/>
              <a:prstDash val="sysDot"/>
              <a:round/>
            </a:ln>
            <a:effectLst/>
          </c:spPr>
          <c:marker>
            <c:symbol val="circle"/>
            <c:size val="5"/>
            <c:spPr>
              <a:solidFill>
                <a:schemeClr val="accent5"/>
              </a:solidFill>
              <a:ln w="9525">
                <a:solidFill>
                  <a:schemeClr val="accent5"/>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PlantData!$BB$11:$BQ$11</c:f>
              <c:numCache>
                <c:formatCode>0.00</c:formatCode>
                <c:ptCount val="16"/>
                <c:pt idx="0">
                  <c:v>0.58633487313494093</c:v>
                </c:pt>
                <c:pt idx="1">
                  <c:v>0.60348141867953564</c:v>
                </c:pt>
                <c:pt idx="2">
                  <c:v>1.0078391651739538</c:v>
                </c:pt>
                <c:pt idx="3">
                  <c:v>0.996979347895674</c:v>
                </c:pt>
                <c:pt idx="4">
                  <c:v>0.95983517137119456</c:v>
                </c:pt>
                <c:pt idx="5">
                  <c:v>0.97322685862989111</c:v>
                </c:pt>
                <c:pt idx="6">
                  <c:v>0.54036862562873644</c:v>
                </c:pt>
                <c:pt idx="7">
                  <c:v>0.90826539409102469</c:v>
                </c:pt>
                <c:pt idx="8">
                  <c:v>0.7900880364441718</c:v>
                </c:pt>
                <c:pt idx="9">
                  <c:v>0.45797981858334735</c:v>
                </c:pt>
                <c:pt idx="10">
                  <c:v>0.81147140623031899</c:v>
                </c:pt>
                <c:pt idx="11">
                  <c:v>0.68162739650555237</c:v>
                </c:pt>
                <c:pt idx="12">
                  <c:v>0.38159824302896089</c:v>
                </c:pt>
                <c:pt idx="13">
                  <c:v>0.21232109791581905</c:v>
                </c:pt>
                <c:pt idx="14">
                  <c:v>2.3156461544796531E-2</c:v>
                </c:pt>
                <c:pt idx="15">
                  <c:v>1.6766444302170721E-2</c:v>
                </c:pt>
              </c:numCache>
            </c:numRef>
          </c:yVal>
          <c:smooth val="0"/>
          <c:extLst>
            <c:ext xmlns:c16="http://schemas.microsoft.com/office/drawing/2014/chart" uri="{C3380CC4-5D6E-409C-BE32-E72D297353CC}">
              <c16:uniqueId val="{0000000A-25BD-4E8C-B407-D32914C6C0B7}"/>
            </c:ext>
          </c:extLst>
        </c:ser>
        <c:ser>
          <c:idx val="5"/>
          <c:order val="7"/>
          <c:tx>
            <c:strRef>
              <c:f>PlantData!$C$12</c:f>
              <c:strCache>
                <c:ptCount val="1"/>
                <c:pt idx="0">
                  <c:v>Copper Mtn10 (FS)</c:v>
                </c:pt>
              </c:strCache>
            </c:strRef>
          </c:tx>
          <c:spPr>
            <a:ln w="12700" cap="rnd">
              <a:noFill/>
              <a:prstDash val="sysDot"/>
              <a:round/>
            </a:ln>
            <a:effectLst/>
          </c:spPr>
          <c:marker>
            <c:symbol val="circle"/>
            <c:size val="5"/>
            <c:spPr>
              <a:solidFill>
                <a:schemeClr val="accent6"/>
              </a:solidFill>
              <a:ln w="9525">
                <a:solidFill>
                  <a:schemeClr val="accent6"/>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PlantData!$BB$12:$BQ$12</c:f>
              <c:numCache>
                <c:formatCode>0.00</c:formatCode>
                <c:ptCount val="16"/>
                <c:pt idx="0">
                  <c:v>0.95044134804953506</c:v>
                </c:pt>
                <c:pt idx="1">
                  <c:v>0.93250671184533862</c:v>
                </c:pt>
                <c:pt idx="2">
                  <c:v>0.95492071220662389</c:v>
                </c:pt>
                <c:pt idx="3">
                  <c:v>0.94631192399525366</c:v>
                </c:pt>
                <c:pt idx="4">
                  <c:v>0.91212028376305121</c:v>
                </c:pt>
                <c:pt idx="5">
                  <c:v>0.8939380543496902</c:v>
                </c:pt>
                <c:pt idx="6">
                  <c:v>0.89915368835437881</c:v>
                </c:pt>
                <c:pt idx="7">
                  <c:v>0.86622544220841791</c:v>
                </c:pt>
                <c:pt idx="8">
                  <c:v>0.88245338591118561</c:v>
                </c:pt>
                <c:pt idx="9">
                  <c:v>0.89946518977214518</c:v>
                </c:pt>
                <c:pt idx="10">
                  <c:v>1.040863086118992</c:v>
                </c:pt>
                <c:pt idx="11">
                  <c:v>1.017857095492988</c:v>
                </c:pt>
                <c:pt idx="12">
                  <c:v>0.87073538724378385</c:v>
                </c:pt>
                <c:pt idx="13">
                  <c:v>0.88738104078646562</c:v>
                </c:pt>
                <c:pt idx="14">
                  <c:v>0.90374838962285176</c:v>
                </c:pt>
                <c:pt idx="15">
                  <c:v>0.85090972452679814</c:v>
                </c:pt>
              </c:numCache>
            </c:numRef>
          </c:yVal>
          <c:smooth val="0"/>
          <c:extLst>
            <c:ext xmlns:c16="http://schemas.microsoft.com/office/drawing/2014/chart" uri="{C3380CC4-5D6E-409C-BE32-E72D297353CC}">
              <c16:uniqueId val="{0000000B-25BD-4E8C-B407-D32914C6C0B7}"/>
            </c:ext>
          </c:extLst>
        </c:ser>
        <c:ser>
          <c:idx val="6"/>
          <c:order val="8"/>
          <c:tx>
            <c:strRef>
              <c:f>PlantData!$C$13</c:f>
              <c:strCache>
                <c:ptCount val="1"/>
                <c:pt idx="0">
                  <c:v>CSU Fresno MMA</c:v>
                </c:pt>
              </c:strCache>
            </c:strRef>
          </c:tx>
          <c:spPr>
            <a:ln w="12700" cap="rnd">
              <a:no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PlantData!$BB$13:$BR$13</c:f>
              <c:numCache>
                <c:formatCode>0.00</c:formatCode>
                <c:ptCount val="17"/>
                <c:pt idx="0">
                  <c:v>0.9321266968325792</c:v>
                </c:pt>
                <c:pt idx="1">
                  <c:v>1.0751884828148499</c:v>
                </c:pt>
                <c:pt idx="2">
                  <c:v>0.73323515839079167</c:v>
                </c:pt>
                <c:pt idx="3">
                  <c:v>0.64373845217303494</c:v>
                </c:pt>
                <c:pt idx="4">
                  <c:v>1.0261880570858803</c:v>
                </c:pt>
                <c:pt idx="5">
                  <c:v>1.0366473248519699</c:v>
                </c:pt>
                <c:pt idx="6">
                  <c:v>0.96791409927509175</c:v>
                </c:pt>
                <c:pt idx="7">
                  <c:v>0.98148143991622561</c:v>
                </c:pt>
                <c:pt idx="8">
                  <c:v>0.97228343674645135</c:v>
                </c:pt>
                <c:pt idx="9">
                  <c:v>0.98190297519142233</c:v>
                </c:pt>
                <c:pt idx="10">
                  <c:v>0.87945405394583143</c:v>
                </c:pt>
                <c:pt idx="11">
                  <c:v>1.0143369631073136</c:v>
                </c:pt>
                <c:pt idx="12">
                  <c:v>0.7887742893662274</c:v>
                </c:pt>
                <c:pt idx="13">
                  <c:v>0.73064362057356824</c:v>
                </c:pt>
                <c:pt idx="14">
                  <c:v>0.41049536955746851</c:v>
                </c:pt>
                <c:pt idx="15">
                  <c:v>0.76239633012337116</c:v>
                </c:pt>
                <c:pt idx="16">
                  <c:v>1.0071618813605576</c:v>
                </c:pt>
              </c:numCache>
            </c:numRef>
          </c:yVal>
          <c:smooth val="0"/>
          <c:extLst>
            <c:ext xmlns:c16="http://schemas.microsoft.com/office/drawing/2014/chart" uri="{C3380CC4-5D6E-409C-BE32-E72D297353CC}">
              <c16:uniqueId val="{0000000C-25BD-4E8C-B407-D32914C6C0B7}"/>
            </c:ext>
          </c:extLst>
        </c:ser>
        <c:ser>
          <c:idx val="7"/>
          <c:order val="9"/>
          <c:tx>
            <c:strRef>
              <c:f>PlantData!$C$14</c:f>
              <c:strCache>
                <c:ptCount val="1"/>
                <c:pt idx="0">
                  <c:v>Deer Island</c:v>
                </c:pt>
              </c:strCache>
            </c:strRef>
          </c:tx>
          <c:spPr>
            <a:ln w="12700" cap="rnd">
              <a:no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PlantData!$BB$14:$BP$14</c:f>
              <c:numCache>
                <c:formatCode>0.00</c:formatCode>
                <c:ptCount val="15"/>
                <c:pt idx="0">
                  <c:v>0.69329211806078583</c:v>
                </c:pt>
                <c:pt idx="1">
                  <c:v>0.94808994162053417</c:v>
                </c:pt>
                <c:pt idx="2">
                  <c:v>0.95502225412350783</c:v>
                </c:pt>
                <c:pt idx="3">
                  <c:v>0</c:v>
                </c:pt>
                <c:pt idx="4">
                  <c:v>0.91427721624581937</c:v>
                </c:pt>
                <c:pt idx="5">
                  <c:v>0.95958803907724788</c:v>
                </c:pt>
                <c:pt idx="6">
                  <c:v>0.91353524535268849</c:v>
                </c:pt>
                <c:pt idx="7">
                  <c:v>0.88811449625463668</c:v>
                </c:pt>
                <c:pt idx="8">
                  <c:v>0.90263144631008152</c:v>
                </c:pt>
                <c:pt idx="9">
                  <c:v>1.1499999999999999</c:v>
                </c:pt>
                <c:pt idx="10">
                  <c:v>0.85756397690185082</c:v>
                </c:pt>
                <c:pt idx="11">
                  <c:v>0.90043083530821166</c:v>
                </c:pt>
                <c:pt idx="12">
                  <c:v>0.71575834408004357</c:v>
                </c:pt>
                <c:pt idx="13">
                  <c:v>0.71591870987105466</c:v>
                </c:pt>
                <c:pt idx="14">
                  <c:v>0.7149113870631959</c:v>
                </c:pt>
              </c:numCache>
            </c:numRef>
          </c:yVal>
          <c:smooth val="0"/>
          <c:extLst>
            <c:ext xmlns:c16="http://schemas.microsoft.com/office/drawing/2014/chart" uri="{C3380CC4-5D6E-409C-BE32-E72D297353CC}">
              <c16:uniqueId val="{0000000D-25BD-4E8C-B407-D32914C6C0B7}"/>
            </c:ext>
          </c:extLst>
        </c:ser>
        <c:ser>
          <c:idx val="8"/>
          <c:order val="10"/>
          <c:tx>
            <c:strRef>
              <c:f>PlantData!$C$15</c:f>
              <c:strCache>
                <c:ptCount val="1"/>
                <c:pt idx="0">
                  <c:v>Denver airport MMA</c:v>
                </c:pt>
              </c:strCache>
            </c:strRef>
          </c:tx>
          <c:spPr>
            <a:ln w="12700" cap="rnd">
              <a:no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PlantData!$BB$15:$BQ$15</c:f>
              <c:numCache>
                <c:formatCode>0.00</c:formatCode>
                <c:ptCount val="16"/>
                <c:pt idx="0">
                  <c:v>0.90417327136101655</c:v>
                </c:pt>
                <c:pt idx="1">
                  <c:v>0.96287693858668033</c:v>
                </c:pt>
                <c:pt idx="2">
                  <c:v>0.92226178650119783</c:v>
                </c:pt>
                <c:pt idx="3">
                  <c:v>0.9779361901035919</c:v>
                </c:pt>
                <c:pt idx="4">
                  <c:v>0.41632275079613068</c:v>
                </c:pt>
                <c:pt idx="5">
                  <c:v>0.76533739588972993</c:v>
                </c:pt>
                <c:pt idx="6">
                  <c:v>0.86651205314185831</c:v>
                </c:pt>
                <c:pt idx="7">
                  <c:v>0.92207689598293952</c:v>
                </c:pt>
                <c:pt idx="8">
                  <c:v>0.81307637454167114</c:v>
                </c:pt>
                <c:pt idx="9">
                  <c:v>0.73782887229937133</c:v>
                </c:pt>
                <c:pt idx="10">
                  <c:v>0.61098640142432714</c:v>
                </c:pt>
                <c:pt idx="11">
                  <c:v>0.67041370372568543</c:v>
                </c:pt>
                <c:pt idx="12">
                  <c:v>0.43158667617891461</c:v>
                </c:pt>
                <c:pt idx="13">
                  <c:v>8.1532979971079944E-2</c:v>
                </c:pt>
                <c:pt idx="14">
                  <c:v>0.47526762194197353</c:v>
                </c:pt>
                <c:pt idx="15">
                  <c:v>0.46148447908040591</c:v>
                </c:pt>
              </c:numCache>
            </c:numRef>
          </c:yVal>
          <c:smooth val="0"/>
          <c:extLst>
            <c:ext xmlns:c16="http://schemas.microsoft.com/office/drawing/2014/chart" uri="{C3380CC4-5D6E-409C-BE32-E72D297353CC}">
              <c16:uniqueId val="{0000000E-25BD-4E8C-B407-D32914C6C0B7}"/>
            </c:ext>
          </c:extLst>
        </c:ser>
        <c:ser>
          <c:idx val="9"/>
          <c:order val="11"/>
          <c:tx>
            <c:strRef>
              <c:f>PlantData!$C$16</c:f>
              <c:strCache>
                <c:ptCount val="1"/>
                <c:pt idx="0">
                  <c:v>Lanai Sunpower</c:v>
                </c:pt>
              </c:strCache>
            </c:strRef>
          </c:tx>
          <c:spPr>
            <a:ln w="12700" cap="rnd">
              <a:no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PlantData!$BB$16:$BQ$16</c:f>
              <c:numCache>
                <c:formatCode>0.00</c:formatCode>
                <c:ptCount val="16"/>
                <c:pt idx="0">
                  <c:v>0.47746905133110534</c:v>
                </c:pt>
                <c:pt idx="1">
                  <c:v>0.61105543606959722</c:v>
                </c:pt>
                <c:pt idx="2">
                  <c:v>0.63355604364368989</c:v>
                </c:pt>
                <c:pt idx="3">
                  <c:v>0.8194624285516694</c:v>
                </c:pt>
                <c:pt idx="4">
                  <c:v>0.61400542064472341</c:v>
                </c:pt>
                <c:pt idx="5">
                  <c:v>0.62237418730595118</c:v>
                </c:pt>
                <c:pt idx="6">
                  <c:v>0.71399938901986071</c:v>
                </c:pt>
                <c:pt idx="7">
                  <c:v>0.83427976135091597</c:v>
                </c:pt>
                <c:pt idx="8">
                  <c:v>0.73335024398355475</c:v>
                </c:pt>
                <c:pt idx="9">
                  <c:v>0.48225330819182721</c:v>
                </c:pt>
                <c:pt idx="10">
                  <c:v>0.52946052903056162</c:v>
                </c:pt>
                <c:pt idx="11">
                  <c:v>0.31542514737915917</c:v>
                </c:pt>
                <c:pt idx="12">
                  <c:v>0</c:v>
                </c:pt>
                <c:pt idx="13">
                  <c:v>5.3161641075107478E-2</c:v>
                </c:pt>
                <c:pt idx="14">
                  <c:v>0</c:v>
                </c:pt>
                <c:pt idx="15">
                  <c:v>0</c:v>
                </c:pt>
              </c:numCache>
            </c:numRef>
          </c:yVal>
          <c:smooth val="0"/>
          <c:extLst>
            <c:ext xmlns:c16="http://schemas.microsoft.com/office/drawing/2014/chart" uri="{C3380CC4-5D6E-409C-BE32-E72D297353CC}">
              <c16:uniqueId val="{0000000F-25BD-4E8C-B407-D32914C6C0B7}"/>
            </c:ext>
          </c:extLst>
        </c:ser>
        <c:ser>
          <c:idx val="11"/>
          <c:order val="12"/>
          <c:tx>
            <c:strRef>
              <c:f>PlantData!$C$17</c:f>
              <c:strCache>
                <c:ptCount val="1"/>
                <c:pt idx="0">
                  <c:v>MF Mesa Ln</c:v>
                </c:pt>
              </c:strCache>
            </c:strRef>
          </c:tx>
          <c:spPr>
            <a:ln w="12700" cap="rnd">
              <a:noFill/>
              <a:prstDash val="sysDot"/>
              <a:round/>
            </a:ln>
            <a:effectLst/>
          </c:spPr>
          <c:marker>
            <c:symbol val="circle"/>
            <c:size val="5"/>
            <c:spPr>
              <a:solidFill>
                <a:schemeClr val="accent6">
                  <a:lumMod val="60000"/>
                </a:schemeClr>
              </a:solidFill>
              <a:ln w="9525">
                <a:solidFill>
                  <a:schemeClr val="accent6">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PlantData!$BB$17:$BQ$17</c:f>
              <c:numCache>
                <c:formatCode>0.00</c:formatCode>
                <c:ptCount val="16"/>
                <c:pt idx="0">
                  <c:v>0.85543238355545026</c:v>
                </c:pt>
                <c:pt idx="1">
                  <c:v>0.97823972488784183</c:v>
                </c:pt>
                <c:pt idx="2">
                  <c:v>0.93803659703434117</c:v>
                </c:pt>
                <c:pt idx="3">
                  <c:v>0.9729807711336762</c:v>
                </c:pt>
                <c:pt idx="4">
                  <c:v>0.95557340886878306</c:v>
                </c:pt>
                <c:pt idx="5">
                  <c:v>0.91087902059158066</c:v>
                </c:pt>
                <c:pt idx="6">
                  <c:v>0.95975656651849395</c:v>
                </c:pt>
                <c:pt idx="7">
                  <c:v>1.0001480206527387</c:v>
                </c:pt>
                <c:pt idx="8">
                  <c:v>0.89943189669025403</c:v>
                </c:pt>
                <c:pt idx="9">
                  <c:v>0.80973768314409422</c:v>
                </c:pt>
                <c:pt idx="10">
                  <c:v>0.94157159375666022</c:v>
                </c:pt>
                <c:pt idx="11">
                  <c:v>0.89504185210842113</c:v>
                </c:pt>
                <c:pt idx="12">
                  <c:v>0.90999634643955418</c:v>
                </c:pt>
                <c:pt idx="13">
                  <c:v>0.88637339330846454</c:v>
                </c:pt>
                <c:pt idx="14">
                  <c:v>0.79319200920646094</c:v>
                </c:pt>
                <c:pt idx="15">
                  <c:v>0.88080520018748498</c:v>
                </c:pt>
              </c:numCache>
            </c:numRef>
          </c:yVal>
          <c:smooth val="0"/>
          <c:extLst>
            <c:ext xmlns:c16="http://schemas.microsoft.com/office/drawing/2014/chart" uri="{C3380CC4-5D6E-409C-BE32-E72D297353CC}">
              <c16:uniqueId val="{00000010-25BD-4E8C-B407-D32914C6C0B7}"/>
            </c:ext>
          </c:extLst>
        </c:ser>
        <c:ser>
          <c:idx val="12"/>
          <c:order val="13"/>
          <c:tx>
            <c:strRef>
              <c:f>PlantData!$C$18</c:f>
              <c:strCache>
                <c:ptCount val="1"/>
                <c:pt idx="0">
                  <c:v>Pennsauken</c:v>
                </c:pt>
              </c:strCache>
            </c:strRef>
          </c:tx>
          <c:spPr>
            <a:ln w="12700" cap="rnd">
              <a:noFill/>
              <a:prstDash val="sysDot"/>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PlantData!$BB$18:$BQ$18</c:f>
              <c:numCache>
                <c:formatCode>0.00</c:formatCode>
                <c:ptCount val="16"/>
                <c:pt idx="0">
                  <c:v>0.82513281803273486</c:v>
                </c:pt>
                <c:pt idx="1">
                  <c:v>0.940888972993839</c:v>
                </c:pt>
                <c:pt idx="2">
                  <c:v>0.81214029657899522</c:v>
                </c:pt>
                <c:pt idx="3">
                  <c:v>0.77276517146102985</c:v>
                </c:pt>
                <c:pt idx="4">
                  <c:v>0.78804178878826248</c:v>
                </c:pt>
                <c:pt idx="5">
                  <c:v>0.80249820714527909</c:v>
                </c:pt>
                <c:pt idx="6">
                  <c:v>0.76785062592509135</c:v>
                </c:pt>
                <c:pt idx="7">
                  <c:v>0.7556452839450436</c:v>
                </c:pt>
                <c:pt idx="8">
                  <c:v>0.74523523884095677</c:v>
                </c:pt>
                <c:pt idx="9">
                  <c:v>0.76877554184014818</c:v>
                </c:pt>
                <c:pt idx="10">
                  <c:v>0.66566300514634902</c:v>
                </c:pt>
                <c:pt idx="11">
                  <c:v>0.75128194022313033</c:v>
                </c:pt>
                <c:pt idx="12">
                  <c:v>0.72079633999325121</c:v>
                </c:pt>
                <c:pt idx="13">
                  <c:v>0.6906475546038795</c:v>
                </c:pt>
                <c:pt idx="14">
                  <c:v>0.71741070054296618</c:v>
                </c:pt>
                <c:pt idx="15">
                  <c:v>0.61901679394422493</c:v>
                </c:pt>
              </c:numCache>
            </c:numRef>
          </c:yVal>
          <c:smooth val="0"/>
          <c:extLst>
            <c:ext xmlns:c16="http://schemas.microsoft.com/office/drawing/2014/chart" uri="{C3380CC4-5D6E-409C-BE32-E72D297353CC}">
              <c16:uniqueId val="{00000011-25BD-4E8C-B407-D32914C6C0B7}"/>
            </c:ext>
          </c:extLst>
        </c:ser>
        <c:ser>
          <c:idx val="13"/>
          <c:order val="14"/>
          <c:tx>
            <c:strRef>
              <c:f>PlantData!$C$19</c:f>
              <c:strCache>
                <c:ptCount val="1"/>
                <c:pt idx="0">
                  <c:v>SAS Solar Farm</c:v>
                </c:pt>
              </c:strCache>
            </c:strRef>
          </c:tx>
          <c:spPr>
            <a:ln w="12700" cap="rnd">
              <a:noFill/>
              <a:prstDash val="sysDot"/>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PlantData!$BB$19:$BQ$19</c:f>
              <c:numCache>
                <c:formatCode>0.00</c:formatCode>
                <c:ptCount val="16"/>
                <c:pt idx="0">
                  <c:v>0.40511215853817695</c:v>
                </c:pt>
                <c:pt idx="1">
                  <c:v>0.64418786984987375</c:v>
                </c:pt>
                <c:pt idx="2">
                  <c:v>0.95159509506163176</c:v>
                </c:pt>
                <c:pt idx="3">
                  <c:v>0.93526667501118654</c:v>
                </c:pt>
                <c:pt idx="4">
                  <c:v>0.84167286704524291</c:v>
                </c:pt>
                <c:pt idx="5">
                  <c:v>0.9109510302879088</c:v>
                </c:pt>
                <c:pt idx="6">
                  <c:v>0.88162020426151599</c:v>
                </c:pt>
                <c:pt idx="7">
                  <c:v>0.89695569293247401</c:v>
                </c:pt>
                <c:pt idx="8">
                  <c:v>0.83542878763150508</c:v>
                </c:pt>
                <c:pt idx="9">
                  <c:v>0.69945962036618736</c:v>
                </c:pt>
                <c:pt idx="10">
                  <c:v>0.50841108005091851</c:v>
                </c:pt>
                <c:pt idx="11">
                  <c:v>0.54990724184923845</c:v>
                </c:pt>
                <c:pt idx="12">
                  <c:v>0.50878122538113635</c:v>
                </c:pt>
                <c:pt idx="13">
                  <c:v>0.54168104397527794</c:v>
                </c:pt>
                <c:pt idx="14">
                  <c:v>0.48990627999807496</c:v>
                </c:pt>
                <c:pt idx="15">
                  <c:v>0.48016533720866172</c:v>
                </c:pt>
              </c:numCache>
            </c:numRef>
          </c:yVal>
          <c:smooth val="0"/>
          <c:extLst>
            <c:ext xmlns:c16="http://schemas.microsoft.com/office/drawing/2014/chart" uri="{C3380CC4-5D6E-409C-BE32-E72D297353CC}">
              <c16:uniqueId val="{00000012-25BD-4E8C-B407-D32914C6C0B7}"/>
            </c:ext>
          </c:extLst>
        </c:ser>
        <c:ser>
          <c:idx val="14"/>
          <c:order val="15"/>
          <c:tx>
            <c:strRef>
              <c:f>PlantData!$C$20</c:f>
              <c:strCache>
                <c:ptCount val="1"/>
                <c:pt idx="0">
                  <c:v>Sacramento Soleil</c:v>
                </c:pt>
              </c:strCache>
            </c:strRef>
          </c:tx>
          <c:spPr>
            <a:ln w="12700" cap="rnd">
              <a:noFill/>
              <a:prstDash val="sysDot"/>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PlantData!$BB$6:$BM$6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PlantData!$BB$20:$BM$20</c:f>
              <c:numCache>
                <c:formatCode>0.00</c:formatCode>
                <c:ptCount val="12"/>
                <c:pt idx="0">
                  <c:v>0.85876737435078587</c:v>
                </c:pt>
                <c:pt idx="1">
                  <c:v>0.89277365526789976</c:v>
                </c:pt>
                <c:pt idx="2">
                  <c:v>0.91578137613345478</c:v>
                </c:pt>
                <c:pt idx="3">
                  <c:v>0.88367137474568025</c:v>
                </c:pt>
                <c:pt idx="4">
                  <c:v>0.92396899906073349</c:v>
                </c:pt>
                <c:pt idx="5">
                  <c:v>0.88369606548533497</c:v>
                </c:pt>
                <c:pt idx="6">
                  <c:v>0.90808308284307437</c:v>
                </c:pt>
                <c:pt idx="7">
                  <c:v>0.88785187697150159</c:v>
                </c:pt>
                <c:pt idx="8">
                  <c:v>0.90662863313672803</c:v>
                </c:pt>
                <c:pt idx="9">
                  <c:v>0.81900038739378245</c:v>
                </c:pt>
                <c:pt idx="10">
                  <c:v>0.77438236084221312</c:v>
                </c:pt>
                <c:pt idx="11">
                  <c:v>0.73198635691973701</c:v>
                </c:pt>
              </c:numCache>
            </c:numRef>
          </c:yVal>
          <c:smooth val="0"/>
          <c:extLst>
            <c:ext xmlns:c16="http://schemas.microsoft.com/office/drawing/2014/chart" uri="{C3380CC4-5D6E-409C-BE32-E72D297353CC}">
              <c16:uniqueId val="{00000013-25BD-4E8C-B407-D32914C6C0B7}"/>
            </c:ext>
          </c:extLst>
        </c:ser>
        <c:ser>
          <c:idx val="15"/>
          <c:order val="16"/>
          <c:tx>
            <c:strRef>
              <c:f>PlantData!$C$21</c:f>
              <c:strCache>
                <c:ptCount val="1"/>
                <c:pt idx="0">
                  <c:v>Western 102</c:v>
                </c:pt>
              </c:strCache>
            </c:strRef>
          </c:tx>
          <c:spPr>
            <a:ln w="12700" cap="rnd">
              <a:noFill/>
              <a:prstDash val="sysDot"/>
              <a:round/>
            </a:ln>
            <a:effectLst/>
          </c:spPr>
          <c:marker>
            <c:symbol val="circle"/>
            <c:size val="5"/>
            <c:spPr>
              <a:solidFill>
                <a:schemeClr val="accent4">
                  <a:lumMod val="80000"/>
                  <a:lumOff val="20000"/>
                </a:schemeClr>
              </a:solidFill>
              <a:ln w="9525">
                <a:solidFill>
                  <a:srgbClr val="00B05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PlantData!$BB$21:$BQ$21</c:f>
              <c:numCache>
                <c:formatCode>0.00</c:formatCode>
                <c:ptCount val="16"/>
                <c:pt idx="0">
                  <c:v>0.62499947353688989</c:v>
                </c:pt>
                <c:pt idx="1">
                  <c:v>0.46239126179925705</c:v>
                </c:pt>
                <c:pt idx="2">
                  <c:v>1.0322855618783104</c:v>
                </c:pt>
                <c:pt idx="3">
                  <c:v>0.99140463410623081</c:v>
                </c:pt>
                <c:pt idx="4">
                  <c:v>0.96363793402674525</c:v>
                </c:pt>
                <c:pt idx="5">
                  <c:v>0.94615989046831406</c:v>
                </c:pt>
                <c:pt idx="6">
                  <c:v>0.96802407926571199</c:v>
                </c:pt>
                <c:pt idx="7">
                  <c:v>0.96104266791667115</c:v>
                </c:pt>
                <c:pt idx="8">
                  <c:v>0.96318371624924271</c:v>
                </c:pt>
                <c:pt idx="9">
                  <c:v>0.94293549838382507</c:v>
                </c:pt>
                <c:pt idx="10">
                  <c:v>0.99771477191244717</c:v>
                </c:pt>
                <c:pt idx="11">
                  <c:v>0.86120803518158295</c:v>
                </c:pt>
                <c:pt idx="12">
                  <c:v>0.56892614593276847</c:v>
                </c:pt>
                <c:pt idx="13">
                  <c:v>0.54067555294772152</c:v>
                </c:pt>
                <c:pt idx="14">
                  <c:v>0.49906625060266868</c:v>
                </c:pt>
                <c:pt idx="15">
                  <c:v>0.53180380654722303</c:v>
                </c:pt>
              </c:numCache>
            </c:numRef>
          </c:yVal>
          <c:smooth val="0"/>
          <c:extLst>
            <c:ext xmlns:c16="http://schemas.microsoft.com/office/drawing/2014/chart" uri="{C3380CC4-5D6E-409C-BE32-E72D297353CC}">
              <c16:uniqueId val="{00000014-25BD-4E8C-B407-D32914C6C0B7}"/>
            </c:ext>
          </c:extLst>
        </c:ser>
        <c:ser>
          <c:idx val="16"/>
          <c:order val="17"/>
          <c:tx>
            <c:strRef>
              <c:f>PlantData!$C$22</c:f>
              <c:strCache>
                <c:ptCount val="1"/>
                <c:pt idx="0">
                  <c:v>Wild Horse</c:v>
                </c:pt>
              </c:strCache>
            </c:strRef>
          </c:tx>
          <c:spPr>
            <a:ln w="12700" cap="rnd">
              <a:noFill/>
              <a:prstDash val="sysDot"/>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PlantData!$BB$22:$BP$22</c:f>
              <c:numCache>
                <c:formatCode>0.00</c:formatCode>
                <c:ptCount val="15"/>
                <c:pt idx="0">
                  <c:v>1.1499999999999999</c:v>
                </c:pt>
                <c:pt idx="1">
                  <c:v>1.1066117886697027</c:v>
                </c:pt>
                <c:pt idx="2">
                  <c:v>1.067349572758393</c:v>
                </c:pt>
                <c:pt idx="3">
                  <c:v>1.0262570576516028</c:v>
                </c:pt>
                <c:pt idx="4">
                  <c:v>1.1177190141996209</c:v>
                </c:pt>
                <c:pt idx="5">
                  <c:v>1.0337532260328532</c:v>
                </c:pt>
                <c:pt idx="6">
                  <c:v>0.68739198291568215</c:v>
                </c:pt>
                <c:pt idx="7">
                  <c:v>0.7009001089916379</c:v>
                </c:pt>
                <c:pt idx="8">
                  <c:v>0.56151689265538174</c:v>
                </c:pt>
                <c:pt idx="9">
                  <c:v>0.13782047719900598</c:v>
                </c:pt>
                <c:pt idx="10">
                  <c:v>0.70568750028372274</c:v>
                </c:pt>
                <c:pt idx="11">
                  <c:v>0.81473950362919945</c:v>
                </c:pt>
                <c:pt idx="12">
                  <c:v>0.93812418895159255</c:v>
                </c:pt>
                <c:pt idx="13">
                  <c:v>0.98576194921508731</c:v>
                </c:pt>
                <c:pt idx="14">
                  <c:v>1.0055911353605851</c:v>
                </c:pt>
              </c:numCache>
            </c:numRef>
          </c:yVal>
          <c:smooth val="0"/>
          <c:extLst>
            <c:ext xmlns:c16="http://schemas.microsoft.com/office/drawing/2014/chart" uri="{C3380CC4-5D6E-409C-BE32-E72D297353CC}">
              <c16:uniqueId val="{00000015-25BD-4E8C-B407-D32914C6C0B7}"/>
            </c:ext>
          </c:extLst>
        </c:ser>
        <c:ser>
          <c:idx val="17"/>
          <c:order val="18"/>
          <c:tx>
            <c:strRef>
              <c:f>PlantData!$C$23</c:f>
              <c:strCache>
                <c:ptCount val="1"/>
                <c:pt idx="0">
                  <c:v>Aqua Ingrams Mill</c:v>
                </c:pt>
              </c:strCache>
            </c:strRef>
          </c:tx>
          <c:spPr>
            <a:ln w="12700" cap="rnd">
              <a:noFill/>
              <a:prstDash val="sysDot"/>
              <a:round/>
            </a:ln>
            <a:effectLst/>
          </c:spPr>
          <c:marker>
            <c:symbol val="circle"/>
            <c:size val="5"/>
            <c:spPr>
              <a:solidFill>
                <a:schemeClr val="accent6">
                  <a:lumMod val="80000"/>
                  <a:lumOff val="20000"/>
                </a:schemeClr>
              </a:solidFill>
              <a:ln w="9525">
                <a:solidFill>
                  <a:srgbClr val="C0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PlantData!$BB$23:$BO$23</c:f>
              <c:numCache>
                <c:formatCode>0.00</c:formatCode>
                <c:ptCount val="14"/>
                <c:pt idx="0">
                  <c:v>0.84932844202016089</c:v>
                </c:pt>
                <c:pt idx="1">
                  <c:v>0.81930292280576833</c:v>
                </c:pt>
                <c:pt idx="2">
                  <c:v>0</c:v>
                </c:pt>
                <c:pt idx="3">
                  <c:v>0.8458220254866855</c:v>
                </c:pt>
                <c:pt idx="4">
                  <c:v>0.80133405992445006</c:v>
                </c:pt>
                <c:pt idx="5">
                  <c:v>0.79963555004487974</c:v>
                </c:pt>
                <c:pt idx="6">
                  <c:v>0.68985081213419952</c:v>
                </c:pt>
                <c:pt idx="7">
                  <c:v>0.79098583719077264</c:v>
                </c:pt>
                <c:pt idx="8">
                  <c:v>0.7445894544052194</c:v>
                </c:pt>
                <c:pt idx="9">
                  <c:v>0.87359381960053983</c:v>
                </c:pt>
                <c:pt idx="10">
                  <c:v>0.72404305312341743</c:v>
                </c:pt>
                <c:pt idx="11">
                  <c:v>0.88174014799311551</c:v>
                </c:pt>
                <c:pt idx="12">
                  <c:v>0.53895009699678198</c:v>
                </c:pt>
                <c:pt idx="13">
                  <c:v>0.50921185953056891</c:v>
                </c:pt>
              </c:numCache>
            </c:numRef>
          </c:yVal>
          <c:smooth val="0"/>
          <c:extLst>
            <c:ext xmlns:c16="http://schemas.microsoft.com/office/drawing/2014/chart" uri="{C3380CC4-5D6E-409C-BE32-E72D297353CC}">
              <c16:uniqueId val="{00000016-25BD-4E8C-B407-D32914C6C0B7}"/>
            </c:ext>
          </c:extLst>
        </c:ser>
        <c:ser>
          <c:idx val="18"/>
          <c:order val="19"/>
          <c:tx>
            <c:strRef>
              <c:f>PlantData!$C$24</c:f>
              <c:strCache>
                <c:ptCount val="1"/>
                <c:pt idx="0">
                  <c:v>Calpine Vineland Solar LLC</c:v>
                </c:pt>
              </c:strCache>
            </c:strRef>
          </c:tx>
          <c:spPr>
            <a:ln w="12700" cap="rnd">
              <a:noFill/>
              <a:prstDash val="sysDot"/>
              <a:round/>
            </a:ln>
            <a:effectLst/>
          </c:spPr>
          <c:marker>
            <c:symbol val="circle"/>
            <c:size val="5"/>
            <c:spPr>
              <a:solidFill>
                <a:schemeClr val="accent1">
                  <a:lumMod val="80000"/>
                </a:schemeClr>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PlantData!$BB$24:$BP$24</c:f>
              <c:numCache>
                <c:formatCode>0.00</c:formatCode>
                <c:ptCount val="15"/>
                <c:pt idx="0">
                  <c:v>1.1499999999999999</c:v>
                </c:pt>
                <c:pt idx="1">
                  <c:v>0.93329526659240214</c:v>
                </c:pt>
                <c:pt idx="2">
                  <c:v>1.1499999999999999</c:v>
                </c:pt>
                <c:pt idx="3">
                  <c:v>0.92210075402621572</c:v>
                </c:pt>
                <c:pt idx="4">
                  <c:v>0.95123112915668306</c:v>
                </c:pt>
                <c:pt idx="5">
                  <c:v>0.93624599191935165</c:v>
                </c:pt>
                <c:pt idx="6">
                  <c:v>0.97667202395458141</c:v>
                </c:pt>
                <c:pt idx="7">
                  <c:v>0.96021458000851179</c:v>
                </c:pt>
                <c:pt idx="8">
                  <c:v>0.89516547793193413</c:v>
                </c:pt>
                <c:pt idx="9">
                  <c:v>0.92230574854949232</c:v>
                </c:pt>
                <c:pt idx="10">
                  <c:v>0.88391789823457056</c:v>
                </c:pt>
                <c:pt idx="11">
                  <c:v>0.98091205450175101</c:v>
                </c:pt>
                <c:pt idx="12">
                  <c:v>0.98997137902044896</c:v>
                </c:pt>
                <c:pt idx="13">
                  <c:v>1.0178661451052344</c:v>
                </c:pt>
                <c:pt idx="14">
                  <c:v>0.97310165517117186</c:v>
                </c:pt>
              </c:numCache>
            </c:numRef>
          </c:yVal>
          <c:smooth val="0"/>
          <c:extLst>
            <c:ext xmlns:c16="http://schemas.microsoft.com/office/drawing/2014/chart" uri="{C3380CC4-5D6E-409C-BE32-E72D297353CC}">
              <c16:uniqueId val="{00000017-25BD-4E8C-B407-D32914C6C0B7}"/>
            </c:ext>
          </c:extLst>
        </c:ser>
        <c:ser>
          <c:idx val="19"/>
          <c:order val="20"/>
          <c:tx>
            <c:strRef>
              <c:f>PlantData!$C$25</c:f>
              <c:strCache>
                <c:ptCount val="1"/>
                <c:pt idx="0">
                  <c:v>Chuckawalla SunE</c:v>
                </c:pt>
              </c:strCache>
            </c:strRef>
          </c:tx>
          <c:spPr>
            <a:ln w="12700" cap="rnd">
              <a:noFill/>
              <a:prstDash val="sysDot"/>
              <a:round/>
            </a:ln>
            <a:effectLst/>
          </c:spPr>
          <c:marker>
            <c:symbol val="circle"/>
            <c:size val="5"/>
            <c:spPr>
              <a:solidFill>
                <a:schemeClr val="accent2">
                  <a:lumMod val="80000"/>
                </a:schemeClr>
              </a:solidFill>
              <a:ln w="9525">
                <a:solidFill>
                  <a:schemeClr val="accent2">
                    <a:lumMod val="8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PlantData!$BB$25:$BQ$25</c:f>
              <c:numCache>
                <c:formatCode>0.00</c:formatCode>
                <c:ptCount val="16"/>
                <c:pt idx="0">
                  <c:v>0.9397279776459756</c:v>
                </c:pt>
                <c:pt idx="1">
                  <c:v>0.94626822730540161</c:v>
                </c:pt>
                <c:pt idx="2">
                  <c:v>0.97477608844883712</c:v>
                </c:pt>
                <c:pt idx="3">
                  <c:v>0.79604288422915137</c:v>
                </c:pt>
                <c:pt idx="4">
                  <c:v>0.95137766530490397</c:v>
                </c:pt>
                <c:pt idx="5">
                  <c:v>0.92972730721323993</c:v>
                </c:pt>
                <c:pt idx="6">
                  <c:v>0.88965998544847691</c:v>
                </c:pt>
                <c:pt idx="7">
                  <c:v>1.1499999999999999</c:v>
                </c:pt>
                <c:pt idx="8">
                  <c:v>0.83036789319248561</c:v>
                </c:pt>
                <c:pt idx="9">
                  <c:v>0.72336313579878453</c:v>
                </c:pt>
                <c:pt idx="10">
                  <c:v>0.85917960396383719</c:v>
                </c:pt>
                <c:pt idx="11">
                  <c:v>0.78990630259889538</c:v>
                </c:pt>
                <c:pt idx="12">
                  <c:v>0.71030981984560804</c:v>
                </c:pt>
                <c:pt idx="13">
                  <c:v>0.23361564604990759</c:v>
                </c:pt>
                <c:pt idx="14">
                  <c:v>0.55883804196497677</c:v>
                </c:pt>
                <c:pt idx="15">
                  <c:v>0.67719329310559118</c:v>
                </c:pt>
              </c:numCache>
            </c:numRef>
          </c:yVal>
          <c:smooth val="0"/>
          <c:extLst>
            <c:ext xmlns:c16="http://schemas.microsoft.com/office/drawing/2014/chart" uri="{C3380CC4-5D6E-409C-BE32-E72D297353CC}">
              <c16:uniqueId val="{00000018-25BD-4E8C-B407-D32914C6C0B7}"/>
            </c:ext>
          </c:extLst>
        </c:ser>
        <c:ser>
          <c:idx val="20"/>
          <c:order val="21"/>
          <c:tx>
            <c:strRef>
              <c:f>PlantData!$C$26</c:f>
              <c:strCache>
                <c:ptCount val="1"/>
                <c:pt idx="0">
                  <c:v>DeSoto</c:v>
                </c:pt>
              </c:strCache>
            </c:strRef>
          </c:tx>
          <c:spPr>
            <a:ln w="12700" cap="rnd">
              <a:noFill/>
              <a:prstDash val="sysDot"/>
              <a:round/>
            </a:ln>
            <a:effectLst/>
          </c:spPr>
          <c:marker>
            <c:symbol val="circle"/>
            <c:size val="5"/>
            <c:spPr>
              <a:solidFill>
                <a:schemeClr val="accent3">
                  <a:lumMod val="80000"/>
                </a:schemeClr>
              </a:solidFill>
              <a:ln w="9525">
                <a:solidFill>
                  <a:srgbClr val="C0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PlantData!$BB$26:$BP$26</c:f>
              <c:numCache>
                <c:formatCode>0.00</c:formatCode>
                <c:ptCount val="15"/>
                <c:pt idx="0">
                  <c:v>1.1447120810616873</c:v>
                </c:pt>
                <c:pt idx="1">
                  <c:v>1.1181985147922018</c:v>
                </c:pt>
                <c:pt idx="2">
                  <c:v>1.1282179301930526</c:v>
                </c:pt>
                <c:pt idx="3">
                  <c:v>1.0855019565960997</c:v>
                </c:pt>
                <c:pt idx="4">
                  <c:v>1.0382776322405904</c:v>
                </c:pt>
                <c:pt idx="5">
                  <c:v>1.1010379623553797</c:v>
                </c:pt>
                <c:pt idx="6">
                  <c:v>1.0759187428988659</c:v>
                </c:pt>
                <c:pt idx="7">
                  <c:v>1.0713233879102675</c:v>
                </c:pt>
                <c:pt idx="8">
                  <c:v>1.0472650195377127</c:v>
                </c:pt>
                <c:pt idx="9">
                  <c:v>1.0272034140226431</c:v>
                </c:pt>
                <c:pt idx="10">
                  <c:v>0.91573508927047642</c:v>
                </c:pt>
                <c:pt idx="11">
                  <c:v>0.99192734090234791</c:v>
                </c:pt>
                <c:pt idx="12">
                  <c:v>0.85519917129471823</c:v>
                </c:pt>
                <c:pt idx="13">
                  <c:v>0.7663868075145468</c:v>
                </c:pt>
                <c:pt idx="14">
                  <c:v>0.6459741309634246</c:v>
                </c:pt>
              </c:numCache>
            </c:numRef>
          </c:yVal>
          <c:smooth val="0"/>
          <c:extLst>
            <c:ext xmlns:c16="http://schemas.microsoft.com/office/drawing/2014/chart" uri="{C3380CC4-5D6E-409C-BE32-E72D297353CC}">
              <c16:uniqueId val="{00000019-25BD-4E8C-B407-D32914C6C0B7}"/>
            </c:ext>
          </c:extLst>
        </c:ser>
        <c:ser>
          <c:idx val="21"/>
          <c:order val="22"/>
          <c:tx>
            <c:strRef>
              <c:f>PlantData!$C$27</c:f>
              <c:strCache>
                <c:ptCount val="1"/>
                <c:pt idx="0">
                  <c:v>Exelon Chicago</c:v>
                </c:pt>
              </c:strCache>
            </c:strRef>
          </c:tx>
          <c:spPr>
            <a:ln w="12700" cap="rnd">
              <a:noFill/>
              <a:prstDash val="sysDot"/>
              <a:round/>
            </a:ln>
            <a:effectLst/>
          </c:spPr>
          <c:marker>
            <c:symbol val="circle"/>
            <c:size val="5"/>
            <c:spPr>
              <a:solidFill>
                <a:schemeClr val="accent4">
                  <a:lumMod val="80000"/>
                </a:schemeClr>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PlantData!$BB$27:$BQ$27</c:f>
              <c:numCache>
                <c:formatCode>0.00</c:formatCode>
                <c:ptCount val="16"/>
                <c:pt idx="0">
                  <c:v>0.97024285279653288</c:v>
                </c:pt>
                <c:pt idx="1">
                  <c:v>0.96939664714700013</c:v>
                </c:pt>
                <c:pt idx="2">
                  <c:v>1.0447988369508445</c:v>
                </c:pt>
                <c:pt idx="3">
                  <c:v>0.99524877547808144</c:v>
                </c:pt>
                <c:pt idx="4">
                  <c:v>1.0166257693962071</c:v>
                </c:pt>
                <c:pt idx="5">
                  <c:v>0.99353071674133187</c:v>
                </c:pt>
                <c:pt idx="6">
                  <c:v>0.99682684749574446</c:v>
                </c:pt>
                <c:pt idx="7">
                  <c:v>1.0178915475775578</c:v>
                </c:pt>
                <c:pt idx="8">
                  <c:v>0.97823933271607333</c:v>
                </c:pt>
                <c:pt idx="9">
                  <c:v>1.0111406926833415</c:v>
                </c:pt>
                <c:pt idx="10">
                  <c:v>0.99711039884967956</c:v>
                </c:pt>
                <c:pt idx="11">
                  <c:v>0.95500841508594458</c:v>
                </c:pt>
                <c:pt idx="12">
                  <c:v>0.98464764218151402</c:v>
                </c:pt>
                <c:pt idx="13">
                  <c:v>0.92143600479995114</c:v>
                </c:pt>
                <c:pt idx="14">
                  <c:v>0.85896221294256359</c:v>
                </c:pt>
                <c:pt idx="15">
                  <c:v>0.95135165888600792</c:v>
                </c:pt>
              </c:numCache>
            </c:numRef>
          </c:yVal>
          <c:smooth val="0"/>
          <c:extLst>
            <c:ext xmlns:c16="http://schemas.microsoft.com/office/drawing/2014/chart" uri="{C3380CC4-5D6E-409C-BE32-E72D297353CC}">
              <c16:uniqueId val="{0000001A-25BD-4E8C-B407-D32914C6C0B7}"/>
            </c:ext>
          </c:extLst>
        </c:ser>
        <c:ser>
          <c:idx val="22"/>
          <c:order val="23"/>
          <c:tx>
            <c:strRef>
              <c:f>PlantData!$C$28</c:f>
              <c:strCache>
                <c:ptCount val="1"/>
                <c:pt idx="0">
                  <c:v>Hall's Warehouse</c:v>
                </c:pt>
              </c:strCache>
            </c:strRef>
          </c:tx>
          <c:spPr>
            <a:ln w="12700" cap="rnd">
              <a:noFill/>
              <a:prstDash val="sysDot"/>
              <a:round/>
            </a:ln>
            <a:effectLst/>
          </c:spPr>
          <c:marker>
            <c:symbol val="circle"/>
            <c:size val="5"/>
            <c:spPr>
              <a:solidFill>
                <a:schemeClr val="accent5">
                  <a:lumMod val="80000"/>
                </a:schemeClr>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PlantData!$BB$28:$BQ$28</c:f>
              <c:numCache>
                <c:formatCode>0.00</c:formatCode>
                <c:ptCount val="16"/>
                <c:pt idx="0">
                  <c:v>0.87523150448372389</c:v>
                </c:pt>
                <c:pt idx="1">
                  <c:v>0.97741851847245964</c:v>
                </c:pt>
                <c:pt idx="2">
                  <c:v>0.90625746260411122</c:v>
                </c:pt>
                <c:pt idx="3">
                  <c:v>0.96874635100024997</c:v>
                </c:pt>
                <c:pt idx="4">
                  <c:v>0.8920026258840611</c:v>
                </c:pt>
                <c:pt idx="5">
                  <c:v>0.61396515005826247</c:v>
                </c:pt>
                <c:pt idx="6">
                  <c:v>0.72696250493707582</c:v>
                </c:pt>
                <c:pt idx="7">
                  <c:v>0.70542194206335551</c:v>
                </c:pt>
                <c:pt idx="8">
                  <c:v>0.86770521616109353</c:v>
                </c:pt>
                <c:pt idx="9">
                  <c:v>0.80648934697814678</c:v>
                </c:pt>
                <c:pt idx="10">
                  <c:v>0.76578518395678297</c:v>
                </c:pt>
                <c:pt idx="11">
                  <c:v>0.71575407310762018</c:v>
                </c:pt>
                <c:pt idx="12">
                  <c:v>0.67463979516376649</c:v>
                </c:pt>
                <c:pt idx="13">
                  <c:v>0.85228064501043443</c:v>
                </c:pt>
                <c:pt idx="14">
                  <c:v>0.79986066721812488</c:v>
                </c:pt>
                <c:pt idx="15">
                  <c:v>0.72016357369500106</c:v>
                </c:pt>
              </c:numCache>
            </c:numRef>
          </c:yVal>
          <c:smooth val="0"/>
          <c:extLst>
            <c:ext xmlns:c16="http://schemas.microsoft.com/office/drawing/2014/chart" uri="{C3380CC4-5D6E-409C-BE32-E72D297353CC}">
              <c16:uniqueId val="{0000001B-25BD-4E8C-B407-D32914C6C0B7}"/>
            </c:ext>
          </c:extLst>
        </c:ser>
        <c:ser>
          <c:idx val="23"/>
          <c:order val="24"/>
          <c:tx>
            <c:strRef>
              <c:f>PlantData!$C$29</c:f>
              <c:strCache>
                <c:ptCount val="1"/>
                <c:pt idx="0">
                  <c:v>Kohl's San Bernardino SunE</c:v>
                </c:pt>
              </c:strCache>
            </c:strRef>
          </c:tx>
          <c:spPr>
            <a:ln w="12700" cap="rnd">
              <a:noFill/>
              <a:prstDash val="sysDot"/>
              <a:round/>
            </a:ln>
            <a:effectLst/>
          </c:spPr>
          <c:marker>
            <c:symbol val="circle"/>
            <c:size val="5"/>
            <c:spPr>
              <a:solidFill>
                <a:srgbClr val="92D050"/>
              </a:solidFill>
              <a:ln w="9525">
                <a:solidFill>
                  <a:schemeClr val="bg2">
                    <a:lumMod val="1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PlantData!$BB$29:$BQ$29</c:f>
              <c:numCache>
                <c:formatCode>0.00</c:formatCode>
                <c:ptCount val="16"/>
                <c:pt idx="0">
                  <c:v>0.90504472924699808</c:v>
                </c:pt>
                <c:pt idx="1">
                  <c:v>0.89271160561876106</c:v>
                </c:pt>
                <c:pt idx="2">
                  <c:v>1.1499999999999999</c:v>
                </c:pt>
                <c:pt idx="3">
                  <c:v>0.91524676122308857</c:v>
                </c:pt>
                <c:pt idx="4">
                  <c:v>0.88809240353828423</c:v>
                </c:pt>
                <c:pt idx="5">
                  <c:v>0.81555836486441147</c:v>
                </c:pt>
                <c:pt idx="6">
                  <c:v>0.97646052861196742</c:v>
                </c:pt>
                <c:pt idx="7">
                  <c:v>0.43951750099699755</c:v>
                </c:pt>
                <c:pt idx="8">
                  <c:v>0</c:v>
                </c:pt>
                <c:pt idx="9">
                  <c:v>0.52405250641852774</c:v>
                </c:pt>
                <c:pt idx="10">
                  <c:v>0.71055854100933258</c:v>
                </c:pt>
                <c:pt idx="11">
                  <c:v>0.7595452975172492</c:v>
                </c:pt>
                <c:pt idx="12">
                  <c:v>0.76336210805753679</c:v>
                </c:pt>
                <c:pt idx="13">
                  <c:v>0.85736364827681688</c:v>
                </c:pt>
                <c:pt idx="14">
                  <c:v>0.55590033008979767</c:v>
                </c:pt>
                <c:pt idx="15">
                  <c:v>0.50277115951997264</c:v>
                </c:pt>
              </c:numCache>
            </c:numRef>
          </c:yVal>
          <c:smooth val="0"/>
          <c:extLst>
            <c:ext xmlns:c16="http://schemas.microsoft.com/office/drawing/2014/chart" uri="{C3380CC4-5D6E-409C-BE32-E72D297353CC}">
              <c16:uniqueId val="{0000001C-25BD-4E8C-B407-D32914C6C0B7}"/>
            </c:ext>
          </c:extLst>
        </c:ser>
        <c:ser>
          <c:idx val="24"/>
          <c:order val="25"/>
          <c:tx>
            <c:strRef>
              <c:f>PlantData!$C$30</c:f>
              <c:strCache>
                <c:ptCount val="1"/>
                <c:pt idx="0">
                  <c:v>Mariani Packing SunE</c:v>
                </c:pt>
              </c:strCache>
            </c:strRef>
          </c:tx>
          <c:spPr>
            <a:ln w="12700" cap="rnd">
              <a:noFill/>
              <a:prstDash val="sysDot"/>
              <a:round/>
            </a:ln>
            <a:effectLst/>
          </c:spPr>
          <c:marker>
            <c:symbol val="circle"/>
            <c:size val="5"/>
            <c:spPr>
              <a:solidFill>
                <a:srgbClr val="002060"/>
              </a:solidFill>
              <a:ln w="9525">
                <a:solidFill>
                  <a:schemeClr val="accent1">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PlantData!$BB$30:$BQ$30</c:f>
              <c:numCache>
                <c:formatCode>0.00</c:formatCode>
                <c:ptCount val="16"/>
                <c:pt idx="0">
                  <c:v>0.97508835019461948</c:v>
                </c:pt>
                <c:pt idx="1">
                  <c:v>0.5557849429614552</c:v>
                </c:pt>
                <c:pt idx="2">
                  <c:v>0.97997842278659186</c:v>
                </c:pt>
                <c:pt idx="3">
                  <c:v>0.9958132419172786</c:v>
                </c:pt>
                <c:pt idx="4">
                  <c:v>1.0676049391313194</c:v>
                </c:pt>
                <c:pt idx="5">
                  <c:v>0.99733092812824931</c:v>
                </c:pt>
                <c:pt idx="6">
                  <c:v>1.0119079402728264</c:v>
                </c:pt>
                <c:pt idx="7">
                  <c:v>0.94261581175943177</c:v>
                </c:pt>
                <c:pt idx="8">
                  <c:v>0.85887197990040387</c:v>
                </c:pt>
                <c:pt idx="9">
                  <c:v>0.70833537976558925</c:v>
                </c:pt>
                <c:pt idx="10">
                  <c:v>0.90039803688650888</c:v>
                </c:pt>
                <c:pt idx="11">
                  <c:v>0.91214964220902661</c:v>
                </c:pt>
                <c:pt idx="12">
                  <c:v>0.81245294935306722</c:v>
                </c:pt>
                <c:pt idx="13">
                  <c:v>0.2841710836413367</c:v>
                </c:pt>
                <c:pt idx="14">
                  <c:v>0.46691519159915357</c:v>
                </c:pt>
                <c:pt idx="15">
                  <c:v>0.65991544148772974</c:v>
                </c:pt>
              </c:numCache>
            </c:numRef>
          </c:yVal>
          <c:smooth val="0"/>
          <c:extLst>
            <c:ext xmlns:c16="http://schemas.microsoft.com/office/drawing/2014/chart" uri="{C3380CC4-5D6E-409C-BE32-E72D297353CC}">
              <c16:uniqueId val="{0000001D-25BD-4E8C-B407-D32914C6C0B7}"/>
            </c:ext>
          </c:extLst>
        </c:ser>
        <c:ser>
          <c:idx val="25"/>
          <c:order val="26"/>
          <c:tx>
            <c:strRef>
              <c:f>PlantData!$C$31</c:f>
              <c:strCache>
                <c:ptCount val="1"/>
                <c:pt idx="0">
                  <c:v>PPL Merck</c:v>
                </c:pt>
              </c:strCache>
            </c:strRef>
          </c:tx>
          <c:spPr>
            <a:ln w="12700" cap="rnd">
              <a:noFill/>
              <a:prstDash val="sysDot"/>
              <a:round/>
            </a:ln>
            <a:effectLst/>
          </c:spPr>
          <c:marker>
            <c:symbol val="circle"/>
            <c:size val="5"/>
            <c:spPr>
              <a:solidFill>
                <a:srgbClr val="00B050"/>
              </a:solidFill>
              <a:ln w="9525">
                <a:solidFill>
                  <a:schemeClr val="accent2">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PlantData!$BB$31:$BQ$31</c:f>
              <c:numCache>
                <c:formatCode>0.00</c:formatCode>
                <c:ptCount val="16"/>
                <c:pt idx="0">
                  <c:v>0.77053649099145882</c:v>
                </c:pt>
                <c:pt idx="1">
                  <c:v>0.70760804400333988</c:v>
                </c:pt>
                <c:pt idx="2">
                  <c:v>0.78069775420422216</c:v>
                </c:pt>
                <c:pt idx="3">
                  <c:v>0.75329385861815168</c:v>
                </c:pt>
                <c:pt idx="4">
                  <c:v>0.3250161100658634</c:v>
                </c:pt>
                <c:pt idx="5">
                  <c:v>0.77451434686815401</c:v>
                </c:pt>
                <c:pt idx="6">
                  <c:v>0.81167579029924442</c:v>
                </c:pt>
                <c:pt idx="7">
                  <c:v>0.71691992346076272</c:v>
                </c:pt>
                <c:pt idx="8">
                  <c:v>0.67654002193256002</c:v>
                </c:pt>
                <c:pt idx="9">
                  <c:v>0.745003346094123</c:v>
                </c:pt>
                <c:pt idx="10">
                  <c:v>0.72828132794058653</c:v>
                </c:pt>
                <c:pt idx="11">
                  <c:v>0.63160641581946642</c:v>
                </c:pt>
                <c:pt idx="12">
                  <c:v>0.5687308959765931</c:v>
                </c:pt>
                <c:pt idx="13">
                  <c:v>0.35014883737822605</c:v>
                </c:pt>
                <c:pt idx="14">
                  <c:v>0</c:v>
                </c:pt>
              </c:numCache>
            </c:numRef>
          </c:yVal>
          <c:smooth val="0"/>
          <c:extLst>
            <c:ext xmlns:c16="http://schemas.microsoft.com/office/drawing/2014/chart" uri="{C3380CC4-5D6E-409C-BE32-E72D297353CC}">
              <c16:uniqueId val="{0000001E-25BD-4E8C-B407-D32914C6C0B7}"/>
            </c:ext>
          </c:extLst>
        </c:ser>
        <c:ser>
          <c:idx val="26"/>
          <c:order val="27"/>
          <c:tx>
            <c:strRef>
              <c:f>PlantData!$C$32</c:f>
              <c:strCache>
                <c:ptCount val="1"/>
                <c:pt idx="0">
                  <c:v>PSEG Hackettstown</c:v>
                </c:pt>
              </c:strCache>
            </c:strRef>
          </c:tx>
          <c:spPr>
            <a:ln w="12700" cap="rnd">
              <a:noFill/>
              <a:prstDash val="sysDot"/>
              <a:round/>
            </a:ln>
            <a:effectLst/>
          </c:spPr>
          <c:marker>
            <c:symbol val="circle"/>
            <c:size val="5"/>
            <c:spPr>
              <a:solidFill>
                <a:srgbClr val="7030A0"/>
              </a:solidFill>
              <a:ln w="9525">
                <a:solidFill>
                  <a:schemeClr val="accent3">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PlantData!$BB$32:$BP$32</c:f>
              <c:numCache>
                <c:formatCode>0.00</c:formatCode>
                <c:ptCount val="15"/>
                <c:pt idx="0">
                  <c:v>0.94239931350925032</c:v>
                </c:pt>
                <c:pt idx="1">
                  <c:v>0.83253993882836619</c:v>
                </c:pt>
                <c:pt idx="2">
                  <c:v>0.95050685950053893</c:v>
                </c:pt>
                <c:pt idx="3">
                  <c:v>0.92599721924712286</c:v>
                </c:pt>
                <c:pt idx="4">
                  <c:v>0.87949272730757655</c:v>
                </c:pt>
                <c:pt idx="5">
                  <c:v>0.87017819342810521</c:v>
                </c:pt>
                <c:pt idx="6">
                  <c:v>0.93011731759935268</c:v>
                </c:pt>
                <c:pt idx="7">
                  <c:v>0.85653629669628262</c:v>
                </c:pt>
                <c:pt idx="8">
                  <c:v>0.77468495089268785</c:v>
                </c:pt>
                <c:pt idx="9">
                  <c:v>0.8590584290091049</c:v>
                </c:pt>
                <c:pt idx="10">
                  <c:v>0.86012546122485611</c:v>
                </c:pt>
                <c:pt idx="11">
                  <c:v>0.8132776217801444</c:v>
                </c:pt>
                <c:pt idx="12">
                  <c:v>0.87353317419917342</c:v>
                </c:pt>
                <c:pt idx="13">
                  <c:v>0.83760065590797883</c:v>
                </c:pt>
                <c:pt idx="14">
                  <c:v>0.64876450306409528</c:v>
                </c:pt>
              </c:numCache>
            </c:numRef>
          </c:yVal>
          <c:smooth val="0"/>
          <c:extLst>
            <c:ext xmlns:c16="http://schemas.microsoft.com/office/drawing/2014/chart" uri="{C3380CC4-5D6E-409C-BE32-E72D297353CC}">
              <c16:uniqueId val="{0000001F-25BD-4E8C-B407-D32914C6C0B7}"/>
            </c:ext>
          </c:extLst>
        </c:ser>
        <c:ser>
          <c:idx val="27"/>
          <c:order val="28"/>
          <c:tx>
            <c:strRef>
              <c:f>PlantData!$C$33</c:f>
              <c:strCache>
                <c:ptCount val="1"/>
                <c:pt idx="0">
                  <c:v>RV CSU</c:v>
                </c:pt>
              </c:strCache>
            </c:strRef>
          </c:tx>
          <c:spPr>
            <a:ln w="12700" cap="rnd">
              <a:noFill/>
              <a:prstDash val="sysDot"/>
              <a:round/>
            </a:ln>
            <a:effectLst/>
          </c:spPr>
          <c:marker>
            <c:symbol val="circle"/>
            <c:size val="5"/>
            <c:spPr>
              <a:solidFill>
                <a:srgbClr val="002060"/>
              </a:solidFill>
              <a:ln w="9525">
                <a:solidFill>
                  <a:schemeClr val="accent4">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PlantData!$BB$33:$BP$33</c:f>
              <c:numCache>
                <c:formatCode>0.00</c:formatCode>
                <c:ptCount val="15"/>
                <c:pt idx="0">
                  <c:v>0.96111813176931404</c:v>
                </c:pt>
                <c:pt idx="1">
                  <c:v>0.95533919508368215</c:v>
                </c:pt>
                <c:pt idx="2">
                  <c:v>0.98763659521880631</c:v>
                </c:pt>
                <c:pt idx="3">
                  <c:v>0.95565909696109363</c:v>
                </c:pt>
                <c:pt idx="4">
                  <c:v>0.83037825720399105</c:v>
                </c:pt>
                <c:pt idx="5">
                  <c:v>0.85192562378346937</c:v>
                </c:pt>
                <c:pt idx="6">
                  <c:v>1.1499999999999999</c:v>
                </c:pt>
                <c:pt idx="7">
                  <c:v>0.9637933234143049</c:v>
                </c:pt>
                <c:pt idx="8">
                  <c:v>0.9804914601958773</c:v>
                </c:pt>
                <c:pt idx="9">
                  <c:v>0.87382883773304831</c:v>
                </c:pt>
                <c:pt idx="10">
                  <c:v>0.87559141083658365</c:v>
                </c:pt>
                <c:pt idx="11">
                  <c:v>0.88439425977473307</c:v>
                </c:pt>
                <c:pt idx="12">
                  <c:v>0.67555262368401536</c:v>
                </c:pt>
                <c:pt idx="13">
                  <c:v>0.74535967871743625</c:v>
                </c:pt>
                <c:pt idx="14">
                  <c:v>0.52353931771288242</c:v>
                </c:pt>
              </c:numCache>
            </c:numRef>
          </c:yVal>
          <c:smooth val="0"/>
          <c:extLst>
            <c:ext xmlns:c16="http://schemas.microsoft.com/office/drawing/2014/chart" uri="{C3380CC4-5D6E-409C-BE32-E72D297353CC}">
              <c16:uniqueId val="{00000020-25BD-4E8C-B407-D32914C6C0B7}"/>
            </c:ext>
          </c:extLst>
        </c:ser>
        <c:ser>
          <c:idx val="29"/>
          <c:order val="29"/>
          <c:tx>
            <c:strRef>
              <c:f>PlantData!$C$34</c:f>
              <c:strCache>
                <c:ptCount val="1"/>
                <c:pt idx="0">
                  <c:v>Solar Blythe (NRG)</c:v>
                </c:pt>
              </c:strCache>
            </c:strRef>
          </c:tx>
          <c:spPr>
            <a:ln w="12700" cap="rnd">
              <a:noFill/>
              <a:prstDash val="sysDot"/>
              <a:round/>
            </a:ln>
            <a:effectLst/>
          </c:spPr>
          <c:marker>
            <c:symbol val="circle"/>
            <c:size val="5"/>
            <c:spPr>
              <a:solidFill>
                <a:srgbClr val="C00000"/>
              </a:solidFill>
              <a:ln w="12700">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PlantData!$BB$34:$BP$34</c:f>
              <c:numCache>
                <c:formatCode>0.00</c:formatCode>
                <c:ptCount val="15"/>
                <c:pt idx="0">
                  <c:v>1.0131452752749142</c:v>
                </c:pt>
                <c:pt idx="1">
                  <c:v>1.0472384788191529</c:v>
                </c:pt>
                <c:pt idx="2">
                  <c:v>0.97928263153905348</c:v>
                </c:pt>
                <c:pt idx="3">
                  <c:v>0.98247075160357589</c:v>
                </c:pt>
                <c:pt idx="4">
                  <c:v>0.96907945847900556</c:v>
                </c:pt>
                <c:pt idx="5">
                  <c:v>0.95661232520871764</c:v>
                </c:pt>
                <c:pt idx="6">
                  <c:v>0.95224669192526179</c:v>
                </c:pt>
                <c:pt idx="7">
                  <c:v>0.92626034103322674</c:v>
                </c:pt>
                <c:pt idx="8">
                  <c:v>0.89459468042439505</c:v>
                </c:pt>
                <c:pt idx="9">
                  <c:v>0.92096626890772693</c:v>
                </c:pt>
                <c:pt idx="10">
                  <c:v>0.8880106697400677</c:v>
                </c:pt>
                <c:pt idx="11">
                  <c:v>0.88596647035702369</c:v>
                </c:pt>
                <c:pt idx="12">
                  <c:v>0.90671276103016496</c:v>
                </c:pt>
                <c:pt idx="13">
                  <c:v>0.87892906329338694</c:v>
                </c:pt>
                <c:pt idx="14">
                  <c:v>0.91055115104084594</c:v>
                </c:pt>
              </c:numCache>
            </c:numRef>
          </c:yVal>
          <c:smooth val="0"/>
          <c:extLst>
            <c:ext xmlns:c16="http://schemas.microsoft.com/office/drawing/2014/chart" uri="{C3380CC4-5D6E-409C-BE32-E72D297353CC}">
              <c16:uniqueId val="{00000021-25BD-4E8C-B407-D32914C6C0B7}"/>
            </c:ext>
          </c:extLst>
        </c:ser>
        <c:ser>
          <c:idx val="30"/>
          <c:order val="30"/>
          <c:tx>
            <c:strRef>
              <c:f>PlantData!$C$35</c:f>
              <c:strCache>
                <c:ptCount val="1"/>
                <c:pt idx="0">
                  <c:v>Solar PV #02 (SCE)</c:v>
                </c:pt>
              </c:strCache>
            </c:strRef>
          </c:tx>
          <c:spPr>
            <a:ln w="12700" cap="rnd">
              <a:noFill/>
              <a:prstDash val="sysDot"/>
              <a:round/>
            </a:ln>
            <a:effectLst/>
          </c:spPr>
          <c:marker>
            <c:symbol val="circle"/>
            <c:size val="5"/>
            <c:spPr>
              <a:solidFill>
                <a:srgbClr val="FFC000"/>
              </a:solidFill>
              <a:ln w="9525">
                <a:solidFill>
                  <a:schemeClr val="accent1">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PlantData!$BB$35:$BO$35</c:f>
              <c:numCache>
                <c:formatCode>0.00</c:formatCode>
                <c:ptCount val="14"/>
                <c:pt idx="0">
                  <c:v>0.79023088965567567</c:v>
                </c:pt>
                <c:pt idx="1">
                  <c:v>0.73328141568380012</c:v>
                </c:pt>
                <c:pt idx="2">
                  <c:v>0.49823861357973603</c:v>
                </c:pt>
                <c:pt idx="3">
                  <c:v>0.53687254934687978</c:v>
                </c:pt>
                <c:pt idx="4">
                  <c:v>0.44879094371265577</c:v>
                </c:pt>
                <c:pt idx="5">
                  <c:v>0.40086657488453264</c:v>
                </c:pt>
                <c:pt idx="6">
                  <c:v>0.51520626006446857</c:v>
                </c:pt>
                <c:pt idx="7">
                  <c:v>0.33406144273915944</c:v>
                </c:pt>
                <c:pt idx="8">
                  <c:v>0.21128474545103654</c:v>
                </c:pt>
                <c:pt idx="9">
                  <c:v>0.38455074480108808</c:v>
                </c:pt>
                <c:pt idx="10">
                  <c:v>0.4221495339730203</c:v>
                </c:pt>
                <c:pt idx="11">
                  <c:v>0.69928304323263712</c:v>
                </c:pt>
                <c:pt idx="12">
                  <c:v>0.4193158740721864</c:v>
                </c:pt>
                <c:pt idx="13">
                  <c:v>0</c:v>
                </c:pt>
              </c:numCache>
            </c:numRef>
          </c:yVal>
          <c:smooth val="0"/>
          <c:extLst>
            <c:ext xmlns:c16="http://schemas.microsoft.com/office/drawing/2014/chart" uri="{C3380CC4-5D6E-409C-BE32-E72D297353CC}">
              <c16:uniqueId val="{00000022-25BD-4E8C-B407-D32914C6C0B7}"/>
            </c:ext>
          </c:extLst>
        </c:ser>
        <c:ser>
          <c:idx val="31"/>
          <c:order val="31"/>
          <c:tx>
            <c:strRef>
              <c:f>PlantData!$C$36</c:f>
              <c:strCache>
                <c:ptCount val="1"/>
                <c:pt idx="0">
                  <c:v>SunE Anheuser</c:v>
                </c:pt>
              </c:strCache>
            </c:strRef>
          </c:tx>
          <c:spPr>
            <a:ln w="12700" cap="rnd">
              <a:noFill/>
              <a:prstDash val="sysDot"/>
              <a:round/>
            </a:ln>
            <a:effectLst/>
          </c:spPr>
          <c:marker>
            <c:symbol val="circle"/>
            <c:size val="5"/>
            <c:spPr>
              <a:solidFill>
                <a:srgbClr val="FFFF00"/>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PlantData!$BB$36:$BQ$36</c:f>
              <c:numCache>
                <c:formatCode>0.00</c:formatCode>
                <c:ptCount val="16"/>
                <c:pt idx="0">
                  <c:v>0.98831913316945474</c:v>
                </c:pt>
                <c:pt idx="1">
                  <c:v>0.93297733026723084</c:v>
                </c:pt>
                <c:pt idx="2">
                  <c:v>0.98425493151308596</c:v>
                </c:pt>
                <c:pt idx="3">
                  <c:v>0.97419926758449593</c:v>
                </c:pt>
                <c:pt idx="4">
                  <c:v>1.0055938056842659</c:v>
                </c:pt>
                <c:pt idx="5">
                  <c:v>0.96013764765937837</c:v>
                </c:pt>
                <c:pt idx="6">
                  <c:v>0.94834904601439651</c:v>
                </c:pt>
                <c:pt idx="7">
                  <c:v>1.1499999999999999</c:v>
                </c:pt>
                <c:pt idx="8">
                  <c:v>0.75886517742532233</c:v>
                </c:pt>
                <c:pt idx="9">
                  <c:v>0.79594035067575142</c:v>
                </c:pt>
                <c:pt idx="10">
                  <c:v>0.74485294913001665</c:v>
                </c:pt>
                <c:pt idx="11">
                  <c:v>0.6530103550619234</c:v>
                </c:pt>
                <c:pt idx="12">
                  <c:v>0.80847542320680921</c:v>
                </c:pt>
                <c:pt idx="13">
                  <c:v>0.79580938790383526</c:v>
                </c:pt>
                <c:pt idx="14">
                  <c:v>0.35883297132157171</c:v>
                </c:pt>
                <c:pt idx="15">
                  <c:v>0.57305905290670989</c:v>
                </c:pt>
              </c:numCache>
            </c:numRef>
          </c:yVal>
          <c:smooth val="0"/>
          <c:extLst>
            <c:ext xmlns:c16="http://schemas.microsoft.com/office/drawing/2014/chart" uri="{C3380CC4-5D6E-409C-BE32-E72D297353CC}">
              <c16:uniqueId val="{00000023-25BD-4E8C-B407-D32914C6C0B7}"/>
            </c:ext>
          </c:extLst>
        </c:ser>
        <c:ser>
          <c:idx val="32"/>
          <c:order val="32"/>
          <c:tx>
            <c:strRef>
              <c:f>PlantData!$C$37</c:f>
              <c:strCache>
                <c:ptCount val="1"/>
                <c:pt idx="0">
                  <c:v>SunE Ironwood</c:v>
                </c:pt>
              </c:strCache>
            </c:strRef>
          </c:tx>
          <c:spPr>
            <a:ln w="12700" cap="rnd">
              <a:noFill/>
              <a:prstDash val="sysDot"/>
              <a:round/>
            </a:ln>
            <a:effectLst/>
          </c:spPr>
          <c:marker>
            <c:symbol val="circle"/>
            <c:size val="5"/>
            <c:spPr>
              <a:solidFill>
                <a:schemeClr val="accent4">
                  <a:lumMod val="75000"/>
                </a:schemeClr>
              </a:solidFill>
              <a:ln w="9525">
                <a:solidFill>
                  <a:schemeClr val="accent3">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PlantData!$BB$37:$BQ$37</c:f>
              <c:numCache>
                <c:formatCode>0.00</c:formatCode>
                <c:ptCount val="16"/>
                <c:pt idx="0">
                  <c:v>0.9656169098269326</c:v>
                </c:pt>
                <c:pt idx="1">
                  <c:v>0.98439763565594796</c:v>
                </c:pt>
                <c:pt idx="2">
                  <c:v>1.0131794222687542</c:v>
                </c:pt>
                <c:pt idx="3">
                  <c:v>0.93081660194696814</c:v>
                </c:pt>
                <c:pt idx="4">
                  <c:v>0.86594345091956093</c:v>
                </c:pt>
                <c:pt idx="5">
                  <c:v>0.88028065726143223</c:v>
                </c:pt>
                <c:pt idx="6">
                  <c:v>0.8152247924334346</c:v>
                </c:pt>
                <c:pt idx="7">
                  <c:v>1.1499999999999999</c:v>
                </c:pt>
                <c:pt idx="8">
                  <c:v>0.63434402927210198</c:v>
                </c:pt>
                <c:pt idx="9">
                  <c:v>0.86793650170811398</c:v>
                </c:pt>
                <c:pt idx="10">
                  <c:v>0.70847137110967795</c:v>
                </c:pt>
                <c:pt idx="11">
                  <c:v>0.79316908483707849</c:v>
                </c:pt>
                <c:pt idx="12">
                  <c:v>0.68060477244317452</c:v>
                </c:pt>
                <c:pt idx="13">
                  <c:v>0.16990682711532482</c:v>
                </c:pt>
                <c:pt idx="14">
                  <c:v>0.50304072727966109</c:v>
                </c:pt>
                <c:pt idx="15">
                  <c:v>0.40219352703657463</c:v>
                </c:pt>
              </c:numCache>
            </c:numRef>
          </c:yVal>
          <c:smooth val="0"/>
          <c:extLst>
            <c:ext xmlns:c16="http://schemas.microsoft.com/office/drawing/2014/chart" uri="{C3380CC4-5D6E-409C-BE32-E72D297353CC}">
              <c16:uniqueId val="{00000024-25BD-4E8C-B407-D32914C6C0B7}"/>
            </c:ext>
          </c:extLst>
        </c:ser>
        <c:ser>
          <c:idx val="33"/>
          <c:order val="33"/>
          <c:tx>
            <c:strRef>
              <c:f>PlantData!$C$38</c:f>
              <c:strCache>
                <c:ptCount val="1"/>
                <c:pt idx="0">
                  <c:v>SunE LV Sutton</c:v>
                </c:pt>
              </c:strCache>
            </c:strRef>
          </c:tx>
          <c:spPr>
            <a:ln w="12700" cap="rnd">
              <a:noFill/>
              <a:prstDash val="sysDot"/>
              <a:round/>
            </a:ln>
            <a:effectLst/>
          </c:spPr>
          <c:marker>
            <c:symbol val="circle"/>
            <c:size val="5"/>
            <c:spPr>
              <a:solidFill>
                <a:srgbClr val="00B0F0"/>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PlantData!$BB$38:$BQ$38</c:f>
              <c:numCache>
                <c:formatCode>0.00</c:formatCode>
                <c:ptCount val="16"/>
                <c:pt idx="0">
                  <c:v>0.73858934353616212</c:v>
                </c:pt>
                <c:pt idx="1">
                  <c:v>1.012182397477694</c:v>
                </c:pt>
                <c:pt idx="2">
                  <c:v>0.99487763332364265</c:v>
                </c:pt>
                <c:pt idx="3">
                  <c:v>0.95384687434543236</c:v>
                </c:pt>
                <c:pt idx="4">
                  <c:v>0.86508913981347091</c:v>
                </c:pt>
                <c:pt idx="5">
                  <c:v>0.99187031320707153</c:v>
                </c:pt>
                <c:pt idx="6">
                  <c:v>0.94649266173392566</c:v>
                </c:pt>
                <c:pt idx="7">
                  <c:v>0.63451380692185755</c:v>
                </c:pt>
                <c:pt idx="8">
                  <c:v>0.79660347189425884</c:v>
                </c:pt>
                <c:pt idx="9">
                  <c:v>0.49332961694120786</c:v>
                </c:pt>
                <c:pt idx="10">
                  <c:v>0.91957674591970195</c:v>
                </c:pt>
                <c:pt idx="11">
                  <c:v>0.77300409598418784</c:v>
                </c:pt>
                <c:pt idx="12">
                  <c:v>0.71161277991816496</c:v>
                </c:pt>
                <c:pt idx="13">
                  <c:v>0.17960378470749772</c:v>
                </c:pt>
                <c:pt idx="14">
                  <c:v>0.62312509784775627</c:v>
                </c:pt>
                <c:pt idx="15">
                  <c:v>0.60941861064662661</c:v>
                </c:pt>
              </c:numCache>
            </c:numRef>
          </c:yVal>
          <c:smooth val="0"/>
          <c:extLst>
            <c:ext xmlns:c16="http://schemas.microsoft.com/office/drawing/2014/chart" uri="{C3380CC4-5D6E-409C-BE32-E72D297353CC}">
              <c16:uniqueId val="{00000025-25BD-4E8C-B407-D32914C6C0B7}"/>
            </c:ext>
          </c:extLst>
        </c:ser>
        <c:ser>
          <c:idx val="34"/>
          <c:order val="34"/>
          <c:tx>
            <c:strRef>
              <c:f>PlantData!$C$39</c:f>
              <c:strCache>
                <c:ptCount val="1"/>
                <c:pt idx="0">
                  <c:v>SunE Oxnard</c:v>
                </c:pt>
              </c:strCache>
            </c:strRef>
          </c:tx>
          <c:spPr>
            <a:ln w="12700" cap="rnd">
              <a:noFill/>
              <a:prstDash val="sysDot"/>
              <a:round/>
            </a:ln>
            <a:effectLst/>
          </c:spPr>
          <c:marker>
            <c:symbol val="circle"/>
            <c:size val="5"/>
            <c:spPr>
              <a:solidFill>
                <a:schemeClr val="accent1">
                  <a:lumMod val="20000"/>
                  <a:lumOff val="80000"/>
                </a:schemeClr>
              </a:solidFill>
              <a:ln w="9525">
                <a:solidFill>
                  <a:srgbClr val="7030A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PlantData!$BB$39:$BP$39</c:f>
              <c:numCache>
                <c:formatCode>0.00</c:formatCode>
                <c:ptCount val="15"/>
                <c:pt idx="0">
                  <c:v>0.91854737575688739</c:v>
                </c:pt>
                <c:pt idx="1">
                  <c:v>0.90430174171446775</c:v>
                </c:pt>
                <c:pt idx="2">
                  <c:v>0.90042097994709336</c:v>
                </c:pt>
                <c:pt idx="3">
                  <c:v>0.97268433462209158</c:v>
                </c:pt>
                <c:pt idx="4">
                  <c:v>1.0403325433045592</c:v>
                </c:pt>
                <c:pt idx="5">
                  <c:v>1.0279205232577342</c:v>
                </c:pt>
                <c:pt idx="6">
                  <c:v>0.98795895351482999</c:v>
                </c:pt>
                <c:pt idx="7">
                  <c:v>0.89249737002577545</c:v>
                </c:pt>
                <c:pt idx="8">
                  <c:v>0.88395894522338747</c:v>
                </c:pt>
                <c:pt idx="9">
                  <c:v>0.92221363192435368</c:v>
                </c:pt>
                <c:pt idx="10">
                  <c:v>0.97288880634142183</c:v>
                </c:pt>
                <c:pt idx="11">
                  <c:v>0.96951478471846708</c:v>
                </c:pt>
                <c:pt idx="12">
                  <c:v>1.1499999999999999</c:v>
                </c:pt>
                <c:pt idx="13">
                  <c:v>0.82070603557975963</c:v>
                </c:pt>
                <c:pt idx="14">
                  <c:v>0.91374408458381895</c:v>
                </c:pt>
              </c:numCache>
            </c:numRef>
          </c:yVal>
          <c:smooth val="0"/>
          <c:extLst>
            <c:ext xmlns:c16="http://schemas.microsoft.com/office/drawing/2014/chart" uri="{C3380CC4-5D6E-409C-BE32-E72D297353CC}">
              <c16:uniqueId val="{00000026-25BD-4E8C-B407-D32914C6C0B7}"/>
            </c:ext>
          </c:extLst>
        </c:ser>
        <c:ser>
          <c:idx val="35"/>
          <c:order val="35"/>
          <c:tx>
            <c:strRef>
              <c:f>PlantData!$C$40</c:f>
              <c:strCache>
                <c:ptCount val="1"/>
                <c:pt idx="0">
                  <c:v>SunE Moreno Valley</c:v>
                </c:pt>
              </c:strCache>
            </c:strRef>
          </c:tx>
          <c:spPr>
            <a:ln w="12700" cap="rnd">
              <a:noFill/>
              <a:prstDash val="sysDot"/>
              <a:round/>
            </a:ln>
            <a:effectLst/>
          </c:spPr>
          <c:marker>
            <c:symbol val="circle"/>
            <c:size val="5"/>
            <c:spPr>
              <a:solidFill>
                <a:schemeClr val="bg1">
                  <a:lumMod val="85000"/>
                </a:schemeClr>
              </a:solidFill>
              <a:ln w="9525">
                <a:solidFill>
                  <a:schemeClr val="accent6">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PlantData!$BB$40:$BQ$40</c:f>
              <c:numCache>
                <c:formatCode>0.00</c:formatCode>
                <c:ptCount val="16"/>
                <c:pt idx="0">
                  <c:v>0.98211698311534656</c:v>
                </c:pt>
                <c:pt idx="1">
                  <c:v>0.96738984903151315</c:v>
                </c:pt>
                <c:pt idx="2">
                  <c:v>0.96484065406225494</c:v>
                </c:pt>
                <c:pt idx="3">
                  <c:v>0.96869607436849359</c:v>
                </c:pt>
                <c:pt idx="4">
                  <c:v>0.92565916097842127</c:v>
                </c:pt>
                <c:pt idx="5">
                  <c:v>0.92228647119116702</c:v>
                </c:pt>
                <c:pt idx="6">
                  <c:v>0.8971829887448538</c:v>
                </c:pt>
                <c:pt idx="7">
                  <c:v>0.47668070261922391</c:v>
                </c:pt>
                <c:pt idx="8">
                  <c:v>0.60635453229964453</c:v>
                </c:pt>
                <c:pt idx="9">
                  <c:v>0.86012089734626318</c:v>
                </c:pt>
                <c:pt idx="10">
                  <c:v>0.45613387338006839</c:v>
                </c:pt>
                <c:pt idx="11">
                  <c:v>0.75405134042424038</c:v>
                </c:pt>
                <c:pt idx="12">
                  <c:v>0.69239303907165195</c:v>
                </c:pt>
                <c:pt idx="13">
                  <c:v>0.56066538541390676</c:v>
                </c:pt>
                <c:pt idx="14">
                  <c:v>0.66054454791284978</c:v>
                </c:pt>
                <c:pt idx="15">
                  <c:v>0.47456511558712133</c:v>
                </c:pt>
              </c:numCache>
            </c:numRef>
          </c:yVal>
          <c:smooth val="0"/>
          <c:extLst>
            <c:ext xmlns:c16="http://schemas.microsoft.com/office/drawing/2014/chart" uri="{C3380CC4-5D6E-409C-BE32-E72D297353CC}">
              <c16:uniqueId val="{00000027-25BD-4E8C-B407-D32914C6C0B7}"/>
            </c:ext>
          </c:extLst>
        </c:ser>
        <c:ser>
          <c:idx val="36"/>
          <c:order val="36"/>
          <c:tx>
            <c:strRef>
              <c:f>PlantData!$C$41</c:f>
              <c:strCache>
                <c:ptCount val="1"/>
                <c:pt idx="0">
                  <c:v>SunE Apple Valley</c:v>
                </c:pt>
              </c:strCache>
            </c:strRef>
          </c:tx>
          <c:spPr>
            <a:ln w="12700" cap="rnd">
              <a:noFill/>
              <a:prstDash val="sysDot"/>
              <a:round/>
            </a:ln>
            <a:effectLst/>
          </c:spPr>
          <c:marker>
            <c:symbol val="circle"/>
            <c:size val="5"/>
            <c:spPr>
              <a:solidFill>
                <a:srgbClr val="C00000"/>
              </a:solidFill>
              <a:ln w="9525">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PlantData!$BB$41:$BP$41</c:f>
              <c:numCache>
                <c:formatCode>0.00</c:formatCode>
                <c:ptCount val="15"/>
                <c:pt idx="0">
                  <c:v>0.93977223691069589</c:v>
                </c:pt>
                <c:pt idx="1">
                  <c:v>0.99042071870393844</c:v>
                </c:pt>
                <c:pt idx="2">
                  <c:v>0.9250275158503003</c:v>
                </c:pt>
                <c:pt idx="3">
                  <c:v>0.99583687928885189</c:v>
                </c:pt>
                <c:pt idx="4">
                  <c:v>0.98899455030001049</c:v>
                </c:pt>
                <c:pt idx="5">
                  <c:v>0.92252798374431078</c:v>
                </c:pt>
                <c:pt idx="6">
                  <c:v>0.92561981640879554</c:v>
                </c:pt>
                <c:pt idx="7">
                  <c:v>0.63156024539441125</c:v>
                </c:pt>
                <c:pt idx="8">
                  <c:v>0.90843367437246325</c:v>
                </c:pt>
                <c:pt idx="9">
                  <c:v>0.87616524506516613</c:v>
                </c:pt>
                <c:pt idx="10">
                  <c:v>0.90774125092151614</c:v>
                </c:pt>
                <c:pt idx="11">
                  <c:v>0.71598945831850047</c:v>
                </c:pt>
                <c:pt idx="12">
                  <c:v>0.86239108512963314</c:v>
                </c:pt>
                <c:pt idx="13">
                  <c:v>0.38738756582294059</c:v>
                </c:pt>
                <c:pt idx="14">
                  <c:v>0.28768143828453463</c:v>
                </c:pt>
              </c:numCache>
            </c:numRef>
          </c:yVal>
          <c:smooth val="0"/>
          <c:extLst>
            <c:ext xmlns:c16="http://schemas.microsoft.com/office/drawing/2014/chart" uri="{C3380CC4-5D6E-409C-BE32-E72D297353CC}">
              <c16:uniqueId val="{00000028-25BD-4E8C-B407-D32914C6C0B7}"/>
            </c:ext>
          </c:extLst>
        </c:ser>
        <c:ser>
          <c:idx val="37"/>
          <c:order val="37"/>
          <c:tx>
            <c:strRef>
              <c:f>PlantData!$C$42</c:f>
              <c:strCache>
                <c:ptCount val="1"/>
                <c:pt idx="0">
                  <c:v>PG&amp;E Vaca-Dixon</c:v>
                </c:pt>
              </c:strCache>
            </c:strRef>
          </c:tx>
          <c:spPr>
            <a:ln w="12700" cap="rnd">
              <a:noFill/>
              <a:prstDash val="sysDot"/>
              <a:round/>
            </a:ln>
            <a:effectLst/>
          </c:spPr>
          <c:marker>
            <c:symbol val="circle"/>
            <c:size val="5"/>
            <c:spPr>
              <a:solidFill>
                <a:srgbClr val="92D050"/>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PlantData!$BB$42:$BP$42</c:f>
              <c:numCache>
                <c:formatCode>0.00</c:formatCode>
                <c:ptCount val="15"/>
                <c:pt idx="0">
                  <c:v>1.0062694940557826</c:v>
                </c:pt>
                <c:pt idx="1">
                  <c:v>1.0489883054979781</c:v>
                </c:pt>
                <c:pt idx="2">
                  <c:v>1.0241725630469876</c:v>
                </c:pt>
                <c:pt idx="3">
                  <c:v>1.1478335182813311</c:v>
                </c:pt>
                <c:pt idx="4">
                  <c:v>0.9940530675790421</c:v>
                </c:pt>
                <c:pt idx="5">
                  <c:v>1.0899380591411845</c:v>
                </c:pt>
                <c:pt idx="6">
                  <c:v>0.99713721198550742</c:v>
                </c:pt>
                <c:pt idx="7">
                  <c:v>0.8543634722665544</c:v>
                </c:pt>
                <c:pt idx="8">
                  <c:v>1.0174357426774554</c:v>
                </c:pt>
                <c:pt idx="9">
                  <c:v>0.77250283686569932</c:v>
                </c:pt>
                <c:pt idx="10">
                  <c:v>0.90393007756490251</c:v>
                </c:pt>
                <c:pt idx="11">
                  <c:v>0.78510904056697117</c:v>
                </c:pt>
                <c:pt idx="12">
                  <c:v>1.0053873404768534</c:v>
                </c:pt>
                <c:pt idx="13">
                  <c:v>0.95223863099589123</c:v>
                </c:pt>
                <c:pt idx="14">
                  <c:v>0.83539876054712958</c:v>
                </c:pt>
              </c:numCache>
            </c:numRef>
          </c:yVal>
          <c:smooth val="0"/>
          <c:extLst>
            <c:ext xmlns:c16="http://schemas.microsoft.com/office/drawing/2014/chart" uri="{C3380CC4-5D6E-409C-BE32-E72D297353CC}">
              <c16:uniqueId val="{00000029-25BD-4E8C-B407-D32914C6C0B7}"/>
            </c:ext>
          </c:extLst>
        </c:ser>
        <c:ser>
          <c:idx val="38"/>
          <c:order val="38"/>
          <c:tx>
            <c:strRef>
              <c:f>PlantData!$C$43</c:f>
              <c:strCache>
                <c:ptCount val="1"/>
                <c:pt idx="0">
                  <c:v>WWRF Rifle SunE</c:v>
                </c:pt>
              </c:strCache>
            </c:strRef>
          </c:tx>
          <c:spPr>
            <a:ln w="12700" cap="rnd">
              <a:noFill/>
              <a:prstDash val="sysDot"/>
              <a:round/>
            </a:ln>
            <a:effectLst/>
          </c:spPr>
          <c:marker>
            <c:symbol val="circle"/>
            <c:size val="5"/>
            <c:spPr>
              <a:solidFill>
                <a:schemeClr val="accent3">
                  <a:lumMod val="70000"/>
                  <a:lumOff val="30000"/>
                </a:schemeClr>
              </a:solidFill>
              <a:ln w="9525">
                <a:solidFill>
                  <a:schemeClr val="tx2">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PlantData!$BB$43:$BP$43</c:f>
              <c:numCache>
                <c:formatCode>0.00</c:formatCode>
                <c:ptCount val="15"/>
                <c:pt idx="0">
                  <c:v>0.72795568268795274</c:v>
                </c:pt>
                <c:pt idx="1">
                  <c:v>0.6982624985703102</c:v>
                </c:pt>
                <c:pt idx="2">
                  <c:v>0.7492170473836266</c:v>
                </c:pt>
                <c:pt idx="3">
                  <c:v>0.69319889062671813</c:v>
                </c:pt>
                <c:pt idx="4">
                  <c:v>0.70884205484411533</c:v>
                </c:pt>
                <c:pt idx="5">
                  <c:v>0</c:v>
                </c:pt>
                <c:pt idx="6">
                  <c:v>0.71791062552299512</c:v>
                </c:pt>
                <c:pt idx="7">
                  <c:v>0.67988751105210499</c:v>
                </c:pt>
                <c:pt idx="8">
                  <c:v>0.72003557578359256</c:v>
                </c:pt>
                <c:pt idx="9">
                  <c:v>0.69725025877183422</c:v>
                </c:pt>
                <c:pt idx="10">
                  <c:v>0.67421776134174127</c:v>
                </c:pt>
                <c:pt idx="11">
                  <c:v>0.49165930337965585</c:v>
                </c:pt>
                <c:pt idx="12">
                  <c:v>0.51721086004770356</c:v>
                </c:pt>
                <c:pt idx="13">
                  <c:v>0.24992779722402747</c:v>
                </c:pt>
                <c:pt idx="14">
                  <c:v>0.42590931452032882</c:v>
                </c:pt>
              </c:numCache>
            </c:numRef>
          </c:yVal>
          <c:smooth val="0"/>
          <c:extLst>
            <c:ext xmlns:c16="http://schemas.microsoft.com/office/drawing/2014/chart" uri="{C3380CC4-5D6E-409C-BE32-E72D297353CC}">
              <c16:uniqueId val="{0000002A-25BD-4E8C-B407-D32914C6C0B7}"/>
            </c:ext>
          </c:extLst>
        </c:ser>
        <c:ser>
          <c:idx val="39"/>
          <c:order val="39"/>
          <c:tx>
            <c:strRef>
              <c:f>PlantData!$C$44</c:f>
              <c:strCache>
                <c:ptCount val="1"/>
                <c:pt idx="0">
                  <c:v>Woodland Walgreens SunE</c:v>
                </c:pt>
              </c:strCache>
            </c:strRef>
          </c:tx>
          <c:spPr>
            <a:ln w="12700" cap="rnd">
              <a:noFill/>
              <a:prstDash val="sysDot"/>
              <a:round/>
            </a:ln>
            <a:effectLst/>
          </c:spPr>
          <c:marker>
            <c:symbol val="circle"/>
            <c:size val="5"/>
            <c:spPr>
              <a:solidFill>
                <a:schemeClr val="accent4">
                  <a:lumMod val="70000"/>
                  <a:lumOff val="30000"/>
                </a:schemeClr>
              </a:solidFill>
              <a:ln w="9525">
                <a:solidFill>
                  <a:schemeClr val="tx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PlantData!$BB$44:$BQ$44</c:f>
              <c:numCache>
                <c:formatCode>0.00</c:formatCode>
                <c:ptCount val="16"/>
                <c:pt idx="0">
                  <c:v>1.0082735992674154</c:v>
                </c:pt>
                <c:pt idx="1">
                  <c:v>0.94634724755361543</c:v>
                </c:pt>
                <c:pt idx="2">
                  <c:v>0.98052414362736684</c:v>
                </c:pt>
                <c:pt idx="3">
                  <c:v>0.9416661970248934</c:v>
                </c:pt>
                <c:pt idx="4">
                  <c:v>0.88239058104922885</c:v>
                </c:pt>
                <c:pt idx="5">
                  <c:v>0.91094817451511245</c:v>
                </c:pt>
                <c:pt idx="6">
                  <c:v>0.84856426935257312</c:v>
                </c:pt>
                <c:pt idx="7">
                  <c:v>0.26687147567920122</c:v>
                </c:pt>
                <c:pt idx="8">
                  <c:v>0.38482668548890714</c:v>
                </c:pt>
                <c:pt idx="9">
                  <c:v>0.4875526150856872</c:v>
                </c:pt>
                <c:pt idx="10">
                  <c:v>0.92405543712485883</c:v>
                </c:pt>
                <c:pt idx="11">
                  <c:v>0.79670411866218294</c:v>
                </c:pt>
                <c:pt idx="12">
                  <c:v>0.70612183417235574</c:v>
                </c:pt>
                <c:pt idx="13">
                  <c:v>0.60444528823413757</c:v>
                </c:pt>
                <c:pt idx="14">
                  <c:v>0.46567665069308617</c:v>
                </c:pt>
                <c:pt idx="15">
                  <c:v>0.54833444490753414</c:v>
                </c:pt>
              </c:numCache>
            </c:numRef>
          </c:yVal>
          <c:smooth val="0"/>
          <c:extLst>
            <c:ext xmlns:c16="http://schemas.microsoft.com/office/drawing/2014/chart" uri="{C3380CC4-5D6E-409C-BE32-E72D297353CC}">
              <c16:uniqueId val="{0000002B-25BD-4E8C-B407-D32914C6C0B7}"/>
            </c:ext>
          </c:extLst>
        </c:ser>
        <c:ser>
          <c:idx val="40"/>
          <c:order val="40"/>
          <c:tx>
            <c:strRef>
              <c:f>PlantData!$C$45</c:f>
              <c:strCache>
                <c:ptCount val="1"/>
                <c:pt idx="0">
                  <c:v>Bayville Central</c:v>
                </c:pt>
              </c:strCache>
            </c:strRef>
          </c:tx>
          <c:spPr>
            <a:ln w="12700" cap="rnd">
              <a:noFill/>
              <a:prstDash val="sysDot"/>
              <a:round/>
            </a:ln>
            <a:effectLst/>
          </c:spPr>
          <c:marker>
            <c:symbol val="circle"/>
            <c:size val="5"/>
            <c:spPr>
              <a:solidFill>
                <a:schemeClr val="accent5">
                  <a:lumMod val="70000"/>
                  <a:lumOff val="30000"/>
                </a:schemeClr>
              </a:solidFill>
              <a:ln w="9525">
                <a:solidFill>
                  <a:schemeClr val="tx1"/>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PlantData!$BB$45:$BP$45</c:f>
              <c:numCache>
                <c:formatCode>0.00</c:formatCode>
                <c:ptCount val="15"/>
                <c:pt idx="0">
                  <c:v>0.60088389615911775</c:v>
                </c:pt>
                <c:pt idx="1">
                  <c:v>0.63729899368009613</c:v>
                </c:pt>
                <c:pt idx="2">
                  <c:v>0.69084659734912002</c:v>
                </c:pt>
                <c:pt idx="3">
                  <c:v>0.67464115461432184</c:v>
                </c:pt>
                <c:pt idx="4">
                  <c:v>0.70345748533905417</c:v>
                </c:pt>
                <c:pt idx="5">
                  <c:v>0.78933293343931321</c:v>
                </c:pt>
                <c:pt idx="6">
                  <c:v>0.83895695177744145</c:v>
                </c:pt>
                <c:pt idx="7">
                  <c:v>0.66822879624019371</c:v>
                </c:pt>
                <c:pt idx="8">
                  <c:v>0.62546918620623304</c:v>
                </c:pt>
                <c:pt idx="9">
                  <c:v>0.26361158763757592</c:v>
                </c:pt>
                <c:pt idx="10">
                  <c:v>0.27949320683866907</c:v>
                </c:pt>
                <c:pt idx="11">
                  <c:v>0.6993182206285794</c:v>
                </c:pt>
                <c:pt idx="12">
                  <c:v>0.64107723595816024</c:v>
                </c:pt>
                <c:pt idx="13">
                  <c:v>0.54676727053736407</c:v>
                </c:pt>
                <c:pt idx="14">
                  <c:v>0.51387063861449944</c:v>
                </c:pt>
              </c:numCache>
            </c:numRef>
          </c:yVal>
          <c:smooth val="0"/>
          <c:extLst>
            <c:ext xmlns:c16="http://schemas.microsoft.com/office/drawing/2014/chart" uri="{C3380CC4-5D6E-409C-BE32-E72D297353CC}">
              <c16:uniqueId val="{0000002C-25BD-4E8C-B407-D32914C6C0B7}"/>
            </c:ext>
          </c:extLst>
        </c:ser>
        <c:ser>
          <c:idx val="41"/>
          <c:order val="41"/>
          <c:tx>
            <c:strRef>
              <c:f>PlantData!$C$46</c:f>
              <c:strCache>
                <c:ptCount val="1"/>
                <c:pt idx="0">
                  <c:v>Blue Wing</c:v>
                </c:pt>
              </c:strCache>
            </c:strRef>
          </c:tx>
          <c:spPr>
            <a:ln w="12700" cap="rnd">
              <a:noFill/>
              <a:prstDash val="sysDot"/>
              <a:round/>
            </a:ln>
            <a:effectLst/>
          </c:spPr>
          <c:marker>
            <c:symbol val="circle"/>
            <c:size val="5"/>
            <c:spPr>
              <a:solidFill>
                <a:schemeClr val="accent6">
                  <a:lumMod val="70000"/>
                  <a:lumOff val="3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PlantData!$BB$46:$BO$46</c:f>
              <c:numCache>
                <c:formatCode>0.00</c:formatCode>
                <c:ptCount val="14"/>
                <c:pt idx="0">
                  <c:v>1.1083968567034146</c:v>
                </c:pt>
                <c:pt idx="1">
                  <c:v>0.97992816875779154</c:v>
                </c:pt>
                <c:pt idx="2">
                  <c:v>0.92601851242217381</c:v>
                </c:pt>
                <c:pt idx="3">
                  <c:v>0.90918092641362525</c:v>
                </c:pt>
                <c:pt idx="4">
                  <c:v>0.86747187266790426</c:v>
                </c:pt>
                <c:pt idx="5">
                  <c:v>0.91996845039011599</c:v>
                </c:pt>
                <c:pt idx="6">
                  <c:v>0.90113960225223599</c:v>
                </c:pt>
                <c:pt idx="7">
                  <c:v>0.87364047070296547</c:v>
                </c:pt>
                <c:pt idx="8">
                  <c:v>0.8748883256501041</c:v>
                </c:pt>
                <c:pt idx="9">
                  <c:v>0.82766214703574648</c:v>
                </c:pt>
                <c:pt idx="10">
                  <c:v>0.80756895573019305</c:v>
                </c:pt>
                <c:pt idx="11">
                  <c:v>0.87186727587407886</c:v>
                </c:pt>
                <c:pt idx="12">
                  <c:v>0.73107708607167554</c:v>
                </c:pt>
                <c:pt idx="13">
                  <c:v>0.7881211717304405</c:v>
                </c:pt>
              </c:numCache>
            </c:numRef>
          </c:yVal>
          <c:smooth val="0"/>
          <c:extLst>
            <c:ext xmlns:c16="http://schemas.microsoft.com/office/drawing/2014/chart" uri="{C3380CC4-5D6E-409C-BE32-E72D297353CC}">
              <c16:uniqueId val="{0000002D-25BD-4E8C-B407-D32914C6C0B7}"/>
            </c:ext>
          </c:extLst>
        </c:ser>
        <c:ser>
          <c:idx val="42"/>
          <c:order val="42"/>
          <c:tx>
            <c:strRef>
              <c:f>PlantData!$C$47</c:f>
              <c:strCache>
                <c:ptCount val="1"/>
                <c:pt idx="0">
                  <c:v>Copper Mtn 48 (FS)</c:v>
                </c:pt>
              </c:strCache>
            </c:strRef>
          </c:tx>
          <c:spPr>
            <a:ln w="12700" cap="rnd">
              <a:noFill/>
              <a:prstDash val="sysDot"/>
              <a:round/>
            </a:ln>
            <a:effectLst/>
          </c:spPr>
          <c:marker>
            <c:symbol val="circle"/>
            <c:size val="5"/>
            <c:spPr>
              <a:solidFill>
                <a:srgbClr val="FFFF00"/>
              </a:solidFill>
              <a:ln w="9525">
                <a:solidFill>
                  <a:schemeClr val="accent1">
                    <a:lumMod val="7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PlantData!$BB$47:$BO$47</c:f>
              <c:numCache>
                <c:formatCode>0.00</c:formatCode>
                <c:ptCount val="14"/>
                <c:pt idx="0">
                  <c:v>0.97165879043566761</c:v>
                </c:pt>
                <c:pt idx="1">
                  <c:v>0.96148357582371002</c:v>
                </c:pt>
                <c:pt idx="2">
                  <c:v>0.95607772301713589</c:v>
                </c:pt>
                <c:pt idx="3">
                  <c:v>0.94449479836366101</c:v>
                </c:pt>
                <c:pt idx="4">
                  <c:v>0.93529453024088649</c:v>
                </c:pt>
                <c:pt idx="5">
                  <c:v>0.90638243280350661</c:v>
                </c:pt>
                <c:pt idx="6">
                  <c:v>0.93793409498424662</c:v>
                </c:pt>
                <c:pt idx="7">
                  <c:v>0.93334231717355631</c:v>
                </c:pt>
                <c:pt idx="8">
                  <c:v>0.91714778856873069</c:v>
                </c:pt>
                <c:pt idx="9">
                  <c:v>0.94358353823039987</c:v>
                </c:pt>
                <c:pt idx="10">
                  <c:v>0.8920746764747528</c:v>
                </c:pt>
                <c:pt idx="11">
                  <c:v>0.9322411065574655</c:v>
                </c:pt>
                <c:pt idx="12">
                  <c:v>0.89080530327192908</c:v>
                </c:pt>
                <c:pt idx="13">
                  <c:v>0.90560033005345164</c:v>
                </c:pt>
              </c:numCache>
            </c:numRef>
          </c:yVal>
          <c:smooth val="0"/>
          <c:extLst>
            <c:ext xmlns:c16="http://schemas.microsoft.com/office/drawing/2014/chart" uri="{C3380CC4-5D6E-409C-BE32-E72D297353CC}">
              <c16:uniqueId val="{0000002E-25BD-4E8C-B407-D32914C6C0B7}"/>
            </c:ext>
          </c:extLst>
        </c:ser>
        <c:ser>
          <c:idx val="43"/>
          <c:order val="43"/>
          <c:tx>
            <c:strRef>
              <c:f>PlantData!$C$48</c:f>
              <c:strCache>
                <c:ptCount val="1"/>
                <c:pt idx="0">
                  <c:v>CalRenew-1</c:v>
                </c:pt>
              </c:strCache>
            </c:strRef>
          </c:tx>
          <c:spPr>
            <a:ln w="12700" cap="rnd">
              <a:noFill/>
              <a:prstDash val="sysDot"/>
              <a:round/>
            </a:ln>
            <a:effectLst/>
          </c:spPr>
          <c:marker>
            <c:symbol val="circle"/>
            <c:size val="5"/>
            <c:spPr>
              <a:solidFill>
                <a:srgbClr val="00B0F0"/>
              </a:solidFill>
              <a:ln w="9525">
                <a:solidFill>
                  <a:srgbClr val="FF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PlantData!$BB$48:$BO$48</c:f>
              <c:numCache>
                <c:formatCode>0.00</c:formatCode>
                <c:ptCount val="14"/>
                <c:pt idx="0">
                  <c:v>0.95321386182506673</c:v>
                </c:pt>
                <c:pt idx="1">
                  <c:v>1.0152690065278398</c:v>
                </c:pt>
                <c:pt idx="2">
                  <c:v>1.0503645834065614</c:v>
                </c:pt>
                <c:pt idx="3">
                  <c:v>1.0198218013017404</c:v>
                </c:pt>
                <c:pt idx="4">
                  <c:v>1.0018311370922006</c:v>
                </c:pt>
                <c:pt idx="5">
                  <c:v>0.9251101635727792</c:v>
                </c:pt>
                <c:pt idx="6">
                  <c:v>0.9761574872763642</c:v>
                </c:pt>
                <c:pt idx="7">
                  <c:v>0.98405841288974849</c:v>
                </c:pt>
                <c:pt idx="8">
                  <c:v>0.89958668157058308</c:v>
                </c:pt>
                <c:pt idx="9">
                  <c:v>0.92589293374704318</c:v>
                </c:pt>
                <c:pt idx="10">
                  <c:v>0.53399940606950036</c:v>
                </c:pt>
                <c:pt idx="11">
                  <c:v>0.86380668796970694</c:v>
                </c:pt>
                <c:pt idx="12">
                  <c:v>0.64770616949547422</c:v>
                </c:pt>
                <c:pt idx="13">
                  <c:v>0.13727188425640097</c:v>
                </c:pt>
              </c:numCache>
            </c:numRef>
          </c:yVal>
          <c:smooth val="0"/>
          <c:extLst>
            <c:ext xmlns:c16="http://schemas.microsoft.com/office/drawing/2014/chart" uri="{C3380CC4-5D6E-409C-BE32-E72D297353CC}">
              <c16:uniqueId val="{0000002F-25BD-4E8C-B407-D32914C6C0B7}"/>
            </c:ext>
          </c:extLst>
        </c:ser>
        <c:ser>
          <c:idx val="44"/>
          <c:order val="44"/>
          <c:tx>
            <c:strRef>
              <c:f>PlantData!$C$49</c:f>
              <c:strCache>
                <c:ptCount val="1"/>
                <c:pt idx="0">
                  <c:v>Carson</c:v>
                </c:pt>
              </c:strCache>
            </c:strRef>
          </c:tx>
          <c:spPr>
            <a:ln w="12700" cap="rnd">
              <a:noFill/>
              <a:prstDash val="sysDot"/>
              <a:round/>
            </a:ln>
            <a:effectLst/>
          </c:spPr>
          <c:marker>
            <c:symbol val="circle"/>
            <c:size val="5"/>
            <c:spPr>
              <a:solidFill>
                <a:srgbClr val="C00000"/>
              </a:solidFill>
              <a:ln w="9525">
                <a:solidFill>
                  <a:srgbClr val="00B05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PlantData!$BB$49:$BP$49</c:f>
              <c:numCache>
                <c:formatCode>0.00</c:formatCode>
                <c:ptCount val="15"/>
                <c:pt idx="0">
                  <c:v>0.92319639436578449</c:v>
                </c:pt>
                <c:pt idx="1">
                  <c:v>0.95502601211107963</c:v>
                </c:pt>
                <c:pt idx="2">
                  <c:v>0.95552649674787249</c:v>
                </c:pt>
                <c:pt idx="3">
                  <c:v>0.77178042150548021</c:v>
                </c:pt>
                <c:pt idx="4">
                  <c:v>0.65439419784912689</c:v>
                </c:pt>
                <c:pt idx="5">
                  <c:v>0.75150368478136886</c:v>
                </c:pt>
                <c:pt idx="6">
                  <c:v>0.84424712966982951</c:v>
                </c:pt>
                <c:pt idx="7">
                  <c:v>0.68918133034271789</c:v>
                </c:pt>
                <c:pt idx="8">
                  <c:v>0.52051178157290379</c:v>
                </c:pt>
                <c:pt idx="9">
                  <c:v>0</c:v>
                </c:pt>
                <c:pt idx="10">
                  <c:v>0.73094494141814204</c:v>
                </c:pt>
                <c:pt idx="11">
                  <c:v>1.0683601106348271</c:v>
                </c:pt>
                <c:pt idx="12">
                  <c:v>0.95621905308271904</c:v>
                </c:pt>
                <c:pt idx="13">
                  <c:v>0.97724672921839095</c:v>
                </c:pt>
                <c:pt idx="14">
                  <c:v>1.0268306840673196</c:v>
                </c:pt>
              </c:numCache>
            </c:numRef>
          </c:yVal>
          <c:smooth val="0"/>
          <c:extLst>
            <c:ext xmlns:c16="http://schemas.microsoft.com/office/drawing/2014/chart" uri="{C3380CC4-5D6E-409C-BE32-E72D297353CC}">
              <c16:uniqueId val="{00000030-25BD-4E8C-B407-D32914C6C0B7}"/>
            </c:ext>
          </c:extLst>
        </c:ser>
        <c:ser>
          <c:idx val="45"/>
          <c:order val="45"/>
          <c:tx>
            <c:strRef>
              <c:f>PlantData!$C$51</c:f>
              <c:strCache>
                <c:ptCount val="1"/>
                <c:pt idx="0">
                  <c:v>Crayola</c:v>
                </c:pt>
              </c:strCache>
            </c:strRef>
          </c:tx>
          <c:spPr>
            <a:ln w="12700" cap="rnd">
              <a:noFill/>
              <a:prstDash val="sysDot"/>
              <a:round/>
            </a:ln>
            <a:effectLst/>
          </c:spPr>
          <c:marker>
            <c:symbol val="circle"/>
            <c:size val="5"/>
            <c:spPr>
              <a:solidFill>
                <a:srgbClr val="7030A0"/>
              </a:solidFill>
              <a:ln w="9525">
                <a:solidFill>
                  <a:schemeClr val="accent4"/>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PlantData!$BB$51:$BN$51</c:f>
              <c:numCache>
                <c:formatCode>0.00</c:formatCode>
                <c:ptCount val="13"/>
                <c:pt idx="0">
                  <c:v>0.61298497621163872</c:v>
                </c:pt>
                <c:pt idx="1">
                  <c:v>0.732174628169311</c:v>
                </c:pt>
                <c:pt idx="2">
                  <c:v>0.76441162670687357</c:v>
                </c:pt>
                <c:pt idx="3">
                  <c:v>1.0889149674740692</c:v>
                </c:pt>
                <c:pt idx="4">
                  <c:v>0.66021295722960494</c:v>
                </c:pt>
                <c:pt idx="5">
                  <c:v>0.63978846038394932</c:v>
                </c:pt>
                <c:pt idx="6">
                  <c:v>0.66636258848877894</c:v>
                </c:pt>
                <c:pt idx="7">
                  <c:v>0.67299280454707944</c:v>
                </c:pt>
                <c:pt idx="8">
                  <c:v>0.63552834517314027</c:v>
                </c:pt>
                <c:pt idx="9">
                  <c:v>0.71241083517939152</c:v>
                </c:pt>
                <c:pt idx="10">
                  <c:v>0.69420867850381884</c:v>
                </c:pt>
                <c:pt idx="11">
                  <c:v>0.67683578731903749</c:v>
                </c:pt>
                <c:pt idx="12">
                  <c:v>0.60569045468076588</c:v>
                </c:pt>
              </c:numCache>
            </c:numRef>
          </c:yVal>
          <c:smooth val="0"/>
          <c:extLst>
            <c:ext xmlns:c16="http://schemas.microsoft.com/office/drawing/2014/chart" uri="{C3380CC4-5D6E-409C-BE32-E72D297353CC}">
              <c16:uniqueId val="{00000031-25BD-4E8C-B407-D32914C6C0B7}"/>
            </c:ext>
          </c:extLst>
        </c:ser>
        <c:ser>
          <c:idx val="46"/>
          <c:order val="46"/>
          <c:tx>
            <c:strRef>
              <c:f>PlantData!$C$52</c:f>
              <c:strCache>
                <c:ptCount val="1"/>
                <c:pt idx="0">
                  <c:v>Duke Egy 10240</c:v>
                </c:pt>
              </c:strCache>
            </c:strRef>
          </c:tx>
          <c:spPr>
            <a:ln w="12700" cap="rnd">
              <a:noFill/>
              <a:prstDash val="sysDot"/>
              <a:round/>
            </a:ln>
            <a:effectLst/>
          </c:spPr>
          <c:marker>
            <c:symbol val="circle"/>
            <c:size val="5"/>
            <c:spPr>
              <a:solidFill>
                <a:srgbClr val="00B0F0"/>
              </a:solidFill>
              <a:ln w="9525">
                <a:solidFill>
                  <a:schemeClr val="bg2">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PlantData!$BB$52:$BO$52</c:f>
              <c:numCache>
                <c:formatCode>0.00</c:formatCode>
                <c:ptCount val="14"/>
                <c:pt idx="0">
                  <c:v>0.87200367460427863</c:v>
                </c:pt>
                <c:pt idx="1">
                  <c:v>0.97539867500064092</c:v>
                </c:pt>
                <c:pt idx="2">
                  <c:v>0.9341603010757118</c:v>
                </c:pt>
                <c:pt idx="3">
                  <c:v>0.93850851623296372</c:v>
                </c:pt>
                <c:pt idx="4">
                  <c:v>0.86149241588067593</c:v>
                </c:pt>
                <c:pt idx="5">
                  <c:v>0.88819236625306475</c:v>
                </c:pt>
                <c:pt idx="6">
                  <c:v>0.69487322501866366</c:v>
                </c:pt>
                <c:pt idx="7">
                  <c:v>0.58644304777476886</c:v>
                </c:pt>
                <c:pt idx="8">
                  <c:v>0.71322931698061975</c:v>
                </c:pt>
                <c:pt idx="9">
                  <c:v>0.71431701888156274</c:v>
                </c:pt>
                <c:pt idx="10">
                  <c:v>0.7408451533896091</c:v>
                </c:pt>
                <c:pt idx="11">
                  <c:v>0.52123361702307602</c:v>
                </c:pt>
                <c:pt idx="12">
                  <c:v>0.55534921915270785</c:v>
                </c:pt>
              </c:numCache>
            </c:numRef>
          </c:yVal>
          <c:smooth val="0"/>
          <c:extLst>
            <c:ext xmlns:c16="http://schemas.microsoft.com/office/drawing/2014/chart" uri="{C3380CC4-5D6E-409C-BE32-E72D297353CC}">
              <c16:uniqueId val="{00000032-25BD-4E8C-B407-D32914C6C0B7}"/>
            </c:ext>
          </c:extLst>
        </c:ser>
        <c:ser>
          <c:idx val="47"/>
          <c:order val="47"/>
          <c:tx>
            <c:strRef>
              <c:f>PlantData!$C$53</c:f>
              <c:strCache>
                <c:ptCount val="1"/>
                <c:pt idx="0">
                  <c:v>Duke Egy 1725</c:v>
                </c:pt>
              </c:strCache>
            </c:strRef>
          </c:tx>
          <c:spPr>
            <a:ln w="12700" cap="rnd">
              <a:noFill/>
              <a:prstDash val="sysDot"/>
              <a:round/>
            </a:ln>
            <a:effectLst/>
          </c:spPr>
          <c:marker>
            <c:symbol val="circle"/>
            <c:size val="5"/>
            <c:spPr>
              <a:solidFill>
                <a:srgbClr val="FFC000"/>
              </a:solidFill>
              <a:ln w="9525">
                <a:solidFill>
                  <a:schemeClr val="accent6">
                    <a:lumMod val="7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PlantData!$BB$53:$BP$53</c:f>
              <c:numCache>
                <c:formatCode>0.00</c:formatCode>
                <c:ptCount val="15"/>
                <c:pt idx="0">
                  <c:v>0.94088885461924987</c:v>
                </c:pt>
                <c:pt idx="1">
                  <c:v>0.23257892358577023</c:v>
                </c:pt>
                <c:pt idx="2">
                  <c:v>0.28787869938677724</c:v>
                </c:pt>
                <c:pt idx="3">
                  <c:v>0.95390807274362688</c:v>
                </c:pt>
                <c:pt idx="4">
                  <c:v>0.95994422689526926</c:v>
                </c:pt>
                <c:pt idx="5">
                  <c:v>0.96476806723142627</c:v>
                </c:pt>
                <c:pt idx="6">
                  <c:v>1.0455537233140173</c:v>
                </c:pt>
                <c:pt idx="7">
                  <c:v>0.97511932787796796</c:v>
                </c:pt>
                <c:pt idx="8">
                  <c:v>0.87479094857963535</c:v>
                </c:pt>
                <c:pt idx="9">
                  <c:v>0.81930024023990322</c:v>
                </c:pt>
                <c:pt idx="10">
                  <c:v>0.84326642262318785</c:v>
                </c:pt>
                <c:pt idx="11">
                  <c:v>0.52381792639375691</c:v>
                </c:pt>
                <c:pt idx="12">
                  <c:v>0.6305760722950291</c:v>
                </c:pt>
                <c:pt idx="13">
                  <c:v>0.5173957516266906</c:v>
                </c:pt>
                <c:pt idx="14">
                  <c:v>0.58924139285280019</c:v>
                </c:pt>
              </c:numCache>
            </c:numRef>
          </c:yVal>
          <c:smooth val="0"/>
          <c:extLst>
            <c:ext xmlns:c16="http://schemas.microsoft.com/office/drawing/2014/chart" uri="{C3380CC4-5D6E-409C-BE32-E72D297353CC}">
              <c16:uniqueId val="{00000033-25BD-4E8C-B407-D32914C6C0B7}"/>
            </c:ext>
          </c:extLst>
        </c:ser>
        <c:ser>
          <c:idx val="48"/>
          <c:order val="48"/>
          <c:tx>
            <c:strRef>
              <c:f>PlantData!$C$54</c:f>
              <c:strCache>
                <c:ptCount val="1"/>
                <c:pt idx="0">
                  <c:v>Duke Egy 657</c:v>
                </c:pt>
              </c:strCache>
            </c:strRef>
          </c:tx>
          <c:spPr>
            <a:ln w="12700" cap="rnd">
              <a:noFill/>
              <a:prstDash val="sysDot"/>
              <a:round/>
            </a:ln>
            <a:effectLst/>
          </c:spPr>
          <c:marker>
            <c:symbol val="circle"/>
            <c:size val="5"/>
            <c:spPr>
              <a:solidFill>
                <a:schemeClr val="accent1">
                  <a:lumMod val="50000"/>
                  <a:lumOff val="50000"/>
                </a:schemeClr>
              </a:solidFill>
              <a:ln w="9525">
                <a:solidFill>
                  <a:schemeClr val="accent2">
                    <a:lumMod val="75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PlantData!$BB$54:$BP$54</c:f>
              <c:numCache>
                <c:formatCode>0.00</c:formatCode>
                <c:ptCount val="15"/>
                <c:pt idx="0">
                  <c:v>1.0054821415569357</c:v>
                </c:pt>
                <c:pt idx="1">
                  <c:v>0.9862247799759648</c:v>
                </c:pt>
                <c:pt idx="2">
                  <c:v>0.81680186814158751</c:v>
                </c:pt>
                <c:pt idx="3">
                  <c:v>0.91238570573000377</c:v>
                </c:pt>
                <c:pt idx="4">
                  <c:v>0.99971565905420912</c:v>
                </c:pt>
                <c:pt idx="5">
                  <c:v>0.97264216440791484</c:v>
                </c:pt>
                <c:pt idx="6">
                  <c:v>0.90128248802421862</c:v>
                </c:pt>
                <c:pt idx="7">
                  <c:v>0.74174372781290954</c:v>
                </c:pt>
                <c:pt idx="8">
                  <c:v>0.66697445923341259</c:v>
                </c:pt>
                <c:pt idx="9">
                  <c:v>0.42422561560174504</c:v>
                </c:pt>
                <c:pt idx="10">
                  <c:v>0.40391753931930235</c:v>
                </c:pt>
                <c:pt idx="11">
                  <c:v>0.21450053580080825</c:v>
                </c:pt>
              </c:numCache>
            </c:numRef>
          </c:yVal>
          <c:smooth val="0"/>
          <c:extLst>
            <c:ext xmlns:c16="http://schemas.microsoft.com/office/drawing/2014/chart" uri="{C3380CC4-5D6E-409C-BE32-E72D297353CC}">
              <c16:uniqueId val="{00000034-25BD-4E8C-B407-D32914C6C0B7}"/>
            </c:ext>
          </c:extLst>
        </c:ser>
        <c:ser>
          <c:idx val="49"/>
          <c:order val="49"/>
          <c:tx>
            <c:strRef>
              <c:f>PlantData!$C$55</c:f>
              <c:strCache>
                <c:ptCount val="1"/>
                <c:pt idx="0">
                  <c:v>Dow Jones</c:v>
                </c:pt>
              </c:strCache>
            </c:strRef>
          </c:tx>
          <c:spPr>
            <a:ln w="12700" cap="rnd">
              <a:noFill/>
              <a:prstDash val="sysDot"/>
              <a:round/>
            </a:ln>
            <a:effectLst/>
          </c:spPr>
          <c:marker>
            <c:symbol val="circle"/>
            <c:size val="5"/>
            <c:spPr>
              <a:solidFill>
                <a:schemeClr val="accent2">
                  <a:lumMod val="50000"/>
                  <a:lumOff val="5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PlantData!$BB$55:$BO$55</c:f>
              <c:numCache>
                <c:formatCode>0.00</c:formatCode>
                <c:ptCount val="14"/>
                <c:pt idx="0">
                  <c:v>0.90361177026642492</c:v>
                </c:pt>
                <c:pt idx="1">
                  <c:v>1.0137516646672524</c:v>
                </c:pt>
                <c:pt idx="2">
                  <c:v>0.99504108352724252</c:v>
                </c:pt>
                <c:pt idx="3">
                  <c:v>0.96016723535284088</c:v>
                </c:pt>
                <c:pt idx="4">
                  <c:v>0.99404615573411981</c:v>
                </c:pt>
                <c:pt idx="5">
                  <c:v>1.0364978619287759</c:v>
                </c:pt>
                <c:pt idx="6">
                  <c:v>0.92431962326275241</c:v>
                </c:pt>
                <c:pt idx="7">
                  <c:v>0.81505595206464754</c:v>
                </c:pt>
                <c:pt idx="8">
                  <c:v>0.98494458241982852</c:v>
                </c:pt>
                <c:pt idx="9">
                  <c:v>0.96400641245117979</c:v>
                </c:pt>
                <c:pt idx="10">
                  <c:v>0.96079755922308474</c:v>
                </c:pt>
                <c:pt idx="11">
                  <c:v>0.70746141612673208</c:v>
                </c:pt>
                <c:pt idx="12">
                  <c:v>0.86932143333747613</c:v>
                </c:pt>
                <c:pt idx="13">
                  <c:v>0</c:v>
                </c:pt>
              </c:numCache>
            </c:numRef>
          </c:yVal>
          <c:smooth val="0"/>
          <c:extLst>
            <c:ext xmlns:c16="http://schemas.microsoft.com/office/drawing/2014/chart" uri="{C3380CC4-5D6E-409C-BE32-E72D297353CC}">
              <c16:uniqueId val="{00000035-25BD-4E8C-B407-D32914C6C0B7}"/>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4"/>
        <c:delete val="1"/>
      </c:legendEntry>
      <c:legendEntry>
        <c:idx val="25"/>
        <c:delete val="1"/>
      </c:legendEntry>
      <c:legendEntry>
        <c:idx val="26"/>
        <c:delete val="1"/>
      </c:legendEntry>
      <c:legendEntry>
        <c:idx val="27"/>
        <c:delete val="1"/>
      </c:legendEntry>
      <c:legendEntry>
        <c:idx val="28"/>
        <c:delete val="1"/>
      </c:legendEntry>
      <c:legendEntry>
        <c:idx val="29"/>
        <c:delete val="1"/>
      </c:legendEntry>
      <c:legendEntry>
        <c:idx val="30"/>
        <c:delete val="1"/>
      </c:legendEntry>
      <c:legendEntry>
        <c:idx val="31"/>
        <c:delete val="1"/>
      </c:legendEntry>
      <c:legendEntry>
        <c:idx val="32"/>
        <c:delete val="1"/>
      </c:legendEntry>
      <c:legendEntry>
        <c:idx val="33"/>
        <c:delete val="1"/>
      </c:legendEntry>
      <c:legendEntry>
        <c:idx val="34"/>
        <c:delete val="1"/>
      </c:legendEntry>
      <c:legendEntry>
        <c:idx val="35"/>
        <c:delete val="1"/>
      </c:legendEntry>
      <c:legendEntry>
        <c:idx val="36"/>
        <c:delete val="1"/>
      </c:legendEntry>
      <c:legendEntry>
        <c:idx val="37"/>
        <c:delete val="1"/>
      </c:legendEntry>
      <c:legendEntry>
        <c:idx val="38"/>
        <c:delete val="1"/>
      </c:legendEntry>
      <c:legendEntry>
        <c:idx val="39"/>
        <c:delete val="1"/>
      </c:legendEntry>
      <c:legendEntry>
        <c:idx val="40"/>
        <c:delete val="1"/>
      </c:legendEntry>
      <c:legendEntry>
        <c:idx val="41"/>
        <c:delete val="1"/>
      </c:legendEntry>
      <c:legendEntry>
        <c:idx val="42"/>
        <c:delete val="1"/>
      </c:legendEntry>
      <c:legendEntry>
        <c:idx val="43"/>
        <c:delete val="1"/>
      </c:legendEntry>
      <c:legendEntry>
        <c:idx val="44"/>
        <c:delete val="1"/>
      </c:legendEntry>
      <c:legendEntry>
        <c:idx val="45"/>
        <c:delete val="1"/>
      </c:legendEntry>
      <c:legendEntry>
        <c:idx val="46"/>
        <c:delete val="1"/>
      </c:legendEntry>
      <c:legendEntry>
        <c:idx val="47"/>
        <c:delete val="1"/>
      </c:legendEntry>
      <c:legendEntry>
        <c:idx val="48"/>
        <c:delete val="1"/>
      </c:legendEntry>
      <c:legendEntry>
        <c:idx val="49"/>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 avg age 15+ years</a:t>
            </a:r>
          </a:p>
          <a:p>
            <a:pPr>
              <a:defRPr b="1"/>
            </a:pPr>
            <a:r>
              <a:rPr lang="en-US" b="1" baseline="0"/>
              <a:t>Median (p50) degr. 3.3%/yr; p90 degr. </a:t>
            </a:r>
            <a:r>
              <a:rPr lang="en-US" b="1" baseline="0">
                <a:latin typeface="Times New Roman" panose="02020603050405020304" pitchFamily="18" charset="0"/>
                <a:cs typeface="Times New Roman" panose="02020603050405020304" pitchFamily="18" charset="0"/>
              </a:rPr>
              <a:t>≈5.</a:t>
            </a:r>
            <a:r>
              <a:rPr lang="en-US" b="1" baseline="0"/>
              <a:t>6-6.6%/yr, depending on p90 identification method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p50</c:v>
                </c:pt>
              </c:strCache>
            </c:strRef>
          </c:tx>
          <c:spPr>
            <a:ln w="63500" cap="rnd">
              <a:solidFill>
                <a:srgbClr val="FF0000"/>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8.7969255219244383E-2"/>
                  <c:y val="-0.11004301461974658"/>
                </c:manualLayout>
              </c:layout>
              <c:numFmt formatCode="0.00E+00" sourceLinked="0"/>
              <c:spPr>
                <a:noFill/>
                <a:ln>
                  <a:noFill/>
                </a:ln>
                <a:effectLst/>
              </c:spPr>
              <c:txPr>
                <a:bodyPr rot="0" spcFirstLastPara="1" vertOverflow="ellipsis" vert="horz" wrap="square" anchor="ctr" anchorCtr="1"/>
                <a:lstStyle/>
                <a:p>
                  <a:pPr>
                    <a:defRPr sz="1400" b="1"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1"/>
          <c:extLst>
            <c:ext xmlns:c16="http://schemas.microsoft.com/office/drawing/2014/chart" uri="{C3380CC4-5D6E-409C-BE32-E72D297353CC}">
              <c16:uniqueId val="{00000001-047C-4371-BCAD-FAD3B416D011}"/>
            </c:ext>
          </c:extLst>
        </c:ser>
        <c:ser>
          <c:idx val="50"/>
          <c:order val="1"/>
          <c:tx>
            <c:strRef>
              <c:f>PlantData!$BA$113</c:f>
              <c:strCache>
                <c:ptCount val="1"/>
                <c:pt idx="0">
                  <c:v>p90 (obs.rank)</c:v>
                </c:pt>
              </c:strCache>
            </c:strRef>
          </c:tx>
          <c:spPr>
            <a:ln w="28575" cap="rnd">
              <a:solidFill>
                <a:srgbClr val="FF0000"/>
              </a:solidFill>
              <a:round/>
            </a:ln>
            <a:effectLst/>
          </c:spPr>
          <c:marker>
            <c:symbol val="none"/>
          </c:marker>
          <c:trendline>
            <c:spPr>
              <a:ln w="50800" cap="rnd">
                <a:solidFill>
                  <a:srgbClr val="FF0000"/>
                </a:solidFill>
                <a:prstDash val="sysDot"/>
              </a:ln>
              <a:effectLst/>
            </c:spPr>
            <c:trendlineType val="linear"/>
            <c:dispRSqr val="1"/>
            <c:dispEq val="1"/>
            <c:trendlineLbl>
              <c:layout>
                <c:manualLayout>
                  <c:x val="-0.12726016036986201"/>
                  <c:y val="1.8536088592246347E-3"/>
                </c:manualLayout>
              </c:layout>
              <c:numFmt formatCode="0.00E+00" sourceLinked="0"/>
              <c:spPr>
                <a:noFill/>
                <a:ln>
                  <a:noFill/>
                </a:ln>
                <a:effectLst/>
              </c:spPr>
              <c:txPr>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0.73858934353616212</c:v>
                </c:pt>
                <c:pt idx="1">
                  <c:v>0.70760804400333988</c:v>
                </c:pt>
                <c:pt idx="2">
                  <c:v>0.7492170473836266</c:v>
                </c:pt>
                <c:pt idx="3">
                  <c:v>0.77178042150548021</c:v>
                </c:pt>
                <c:pt idx="4">
                  <c:v>0.70461202905769504</c:v>
                </c:pt>
                <c:pt idx="5">
                  <c:v>0.76136818881943491</c:v>
                </c:pt>
                <c:pt idx="6">
                  <c:v>0.71399938901986071</c:v>
                </c:pt>
                <c:pt idx="7">
                  <c:v>0.63156024539441125</c:v>
                </c:pt>
                <c:pt idx="8">
                  <c:v>0.56151689265538174</c:v>
                </c:pt>
                <c:pt idx="9">
                  <c:v>0.48225330819182721</c:v>
                </c:pt>
                <c:pt idx="10">
                  <c:v>0.53513038371745969</c:v>
                </c:pt>
                <c:pt idx="11">
                  <c:v>0.52123361702307602</c:v>
                </c:pt>
                <c:pt idx="12">
                  <c:v>0.48074780230929676</c:v>
                </c:pt>
                <c:pt idx="13">
                  <c:v>0.13727188425640097</c:v>
                </c:pt>
                <c:pt idx="14">
                  <c:v>0.28768143828453463</c:v>
                </c:pt>
                <c:pt idx="15">
                  <c:v>0.40219352703657463</c:v>
                </c:pt>
              </c:numCache>
            </c:numRef>
          </c:yVal>
          <c:smooth val="1"/>
          <c:extLst>
            <c:ext xmlns:c16="http://schemas.microsoft.com/office/drawing/2014/chart" uri="{C3380CC4-5D6E-409C-BE32-E72D297353CC}">
              <c16:uniqueId val="{00000005-047C-4371-BCAD-FAD3B416D011}"/>
            </c:ext>
          </c:extLst>
        </c:ser>
        <c:ser>
          <c:idx val="28"/>
          <c:order val="2"/>
          <c:tx>
            <c:strRef>
              <c:f>PlantData!$BA$2</c:f>
              <c:strCache>
                <c:ptCount val="1"/>
                <c:pt idx="0">
                  <c:v>p90</c:v>
                </c:pt>
              </c:strCache>
            </c:strRef>
          </c:tx>
          <c:spPr>
            <a:ln w="25400" cap="rnd">
              <a:solidFill>
                <a:srgbClr val="C00000"/>
              </a:solidFill>
              <a:prstDash val="sysDash"/>
              <a:round/>
            </a:ln>
            <a:effectLst/>
          </c:spPr>
          <c:marker>
            <c:symbol val="none"/>
          </c:marker>
          <c:trendline>
            <c:spPr>
              <a:ln w="31750" cap="rnd">
                <a:solidFill>
                  <a:srgbClr val="C00000"/>
                </a:solidFill>
                <a:prstDash val="sysDot"/>
              </a:ln>
              <a:effectLst/>
            </c:spPr>
            <c:trendlineType val="linear"/>
            <c:dispRSqr val="1"/>
            <c:dispEq val="1"/>
            <c:trendlineLbl>
              <c:layout>
                <c:manualLayout>
                  <c:x val="9.6989380914541651E-2"/>
                  <c:y val="-8.3257586170593492E-2"/>
                </c:manualLayout>
              </c:layout>
              <c:numFmt formatCode="General" sourceLinked="0"/>
              <c:spPr>
                <a:noFill/>
                <a:ln>
                  <a:noFill/>
                </a:ln>
                <a:effectLst/>
              </c:spPr>
              <c:txPr>
                <a:bodyPr rot="0" spcFirstLastPara="1" vertOverflow="ellipsis" vert="horz" wrap="square" anchor="ctr" anchorCtr="1"/>
                <a:lstStyle/>
                <a:p>
                  <a:pPr>
                    <a:defRPr sz="1400" b="1" i="0" u="none" strike="noStrike" kern="1200" baseline="0">
                      <a:solidFill>
                        <a:srgbClr val="C0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0.75089982994610061</c:v>
                </c:pt>
                <c:pt idx="1">
                  <c:v>0.69731657041896011</c:v>
                </c:pt>
                <c:pt idx="2">
                  <c:v>0.67702937701064758</c:v>
                </c:pt>
                <c:pt idx="3">
                  <c:v>0.69665630738710349</c:v>
                </c:pt>
                <c:pt idx="4">
                  <c:v>0.6757682994044617</c:v>
                </c:pt>
                <c:pt idx="5">
                  <c:v>0.67349319544597153</c:v>
                </c:pt>
                <c:pt idx="6">
                  <c:v>0.6987243105368437</c:v>
                </c:pt>
                <c:pt idx="7">
                  <c:v>0.57219693528298488</c:v>
                </c:pt>
                <c:pt idx="8">
                  <c:v>0.49377774688560766</c:v>
                </c:pt>
                <c:pt idx="9">
                  <c:v>0.50667682262689961</c:v>
                </c:pt>
                <c:pt idx="10">
                  <c:v>0.54405795730211437</c:v>
                </c:pt>
                <c:pt idx="11">
                  <c:v>0.48452895719234063</c:v>
                </c:pt>
                <c:pt idx="12">
                  <c:v>0.43411526807861434</c:v>
                </c:pt>
                <c:pt idx="13">
                  <c:v>0.22955766805195427</c:v>
                </c:pt>
                <c:pt idx="14">
                  <c:v>0.24583535712504645</c:v>
                </c:pt>
                <c:pt idx="15">
                  <c:v>0.29769870360831013</c:v>
                </c:pt>
              </c:numCache>
            </c:numRef>
          </c:yVal>
          <c:smooth val="1"/>
          <c:extLst>
            <c:ext xmlns:c16="http://schemas.microsoft.com/office/drawing/2014/chart" uri="{C3380CC4-5D6E-409C-BE32-E72D297353CC}">
              <c16:uniqueId val="{00000003-047C-4371-BCAD-FAD3B416D011}"/>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 avg age 15+ years</a:t>
            </a:r>
          </a:p>
          <a:p>
            <a:pPr>
              <a:defRPr b="1"/>
            </a:pPr>
            <a:r>
              <a:rPr lang="en-US" b="1" baseline="0"/>
              <a:t>Median (p50) degr. 3.3%/yr; p90 degr. 6.6%/yr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p50</c:v>
                </c:pt>
              </c:strCache>
            </c:strRef>
          </c:tx>
          <c:spPr>
            <a:ln w="3175" cap="rnd">
              <a:solidFill>
                <a:srgbClr val="FF0000">
                  <a:alpha val="50000"/>
                </a:srgbClr>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8.7969255219244383E-2"/>
                  <c:y val="-0.11004301461974658"/>
                </c:manualLayout>
              </c:layout>
              <c:numFmt formatCode="0.00E+00" sourceLinked="0"/>
              <c:spPr>
                <a:noFill/>
                <a:ln>
                  <a:noFill/>
                </a:ln>
                <a:effectLst/>
              </c:spPr>
              <c:txPr>
                <a:bodyPr rot="0" spcFirstLastPara="1" vertOverflow="ellipsis" vert="horz" wrap="square" anchor="ctr" anchorCtr="1"/>
                <a:lstStyle/>
                <a:p>
                  <a:pPr>
                    <a:defRPr sz="1400" b="1"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1"/>
          <c:extLst>
            <c:ext xmlns:c16="http://schemas.microsoft.com/office/drawing/2014/chart" uri="{C3380CC4-5D6E-409C-BE32-E72D297353CC}">
              <c16:uniqueId val="{00000001-CA79-4C85-9ADB-EE7C60DD6163}"/>
            </c:ext>
          </c:extLst>
        </c:ser>
        <c:ser>
          <c:idx val="50"/>
          <c:order val="1"/>
          <c:tx>
            <c:strRef>
              <c:f>PlantData!$BA$113</c:f>
              <c:strCache>
                <c:ptCount val="1"/>
                <c:pt idx="0">
                  <c:v>p90 (obs.rank)</c:v>
                </c:pt>
              </c:strCache>
            </c:strRef>
          </c:tx>
          <c:spPr>
            <a:ln w="3175" cap="rnd">
              <a:solidFill>
                <a:srgbClr val="FF0000">
                  <a:alpha val="50000"/>
                </a:srgbClr>
              </a:solidFill>
              <a:round/>
            </a:ln>
            <a:effectLst/>
          </c:spPr>
          <c:marker>
            <c:symbol val="none"/>
          </c:marker>
          <c:trendline>
            <c:spPr>
              <a:ln w="50800" cap="rnd">
                <a:solidFill>
                  <a:srgbClr val="FF0000"/>
                </a:solidFill>
                <a:prstDash val="sysDot"/>
              </a:ln>
              <a:effectLst/>
            </c:spPr>
            <c:trendlineType val="linear"/>
            <c:dispRSqr val="1"/>
            <c:dispEq val="1"/>
            <c:trendlineLbl>
              <c:layout>
                <c:manualLayout>
                  <c:x val="-0.12726016036986201"/>
                  <c:y val="1.8536088592246347E-3"/>
                </c:manualLayout>
              </c:layout>
              <c:numFmt formatCode="0.00E+00" sourceLinked="0"/>
              <c:spPr>
                <a:noFill/>
                <a:ln>
                  <a:noFill/>
                </a:ln>
                <a:effectLst/>
              </c:spPr>
              <c:txPr>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0.73858934353616212</c:v>
                </c:pt>
                <c:pt idx="1">
                  <c:v>0.70760804400333988</c:v>
                </c:pt>
                <c:pt idx="2">
                  <c:v>0.7492170473836266</c:v>
                </c:pt>
                <c:pt idx="3">
                  <c:v>0.77178042150548021</c:v>
                </c:pt>
                <c:pt idx="4">
                  <c:v>0.70461202905769504</c:v>
                </c:pt>
                <c:pt idx="5">
                  <c:v>0.76136818881943491</c:v>
                </c:pt>
                <c:pt idx="6">
                  <c:v>0.71399938901986071</c:v>
                </c:pt>
                <c:pt idx="7">
                  <c:v>0.63156024539441125</c:v>
                </c:pt>
                <c:pt idx="8">
                  <c:v>0.56151689265538174</c:v>
                </c:pt>
                <c:pt idx="9">
                  <c:v>0.48225330819182721</c:v>
                </c:pt>
                <c:pt idx="10">
                  <c:v>0.53513038371745969</c:v>
                </c:pt>
                <c:pt idx="11">
                  <c:v>0.52123361702307602</c:v>
                </c:pt>
                <c:pt idx="12">
                  <c:v>0.48074780230929676</c:v>
                </c:pt>
                <c:pt idx="13">
                  <c:v>0.13727188425640097</c:v>
                </c:pt>
                <c:pt idx="14">
                  <c:v>0.28768143828453463</c:v>
                </c:pt>
                <c:pt idx="15">
                  <c:v>0.40219352703657463</c:v>
                </c:pt>
              </c:numCache>
            </c:numRef>
          </c:yVal>
          <c:smooth val="1"/>
          <c:extLst>
            <c:ext xmlns:c16="http://schemas.microsoft.com/office/drawing/2014/chart" uri="{C3380CC4-5D6E-409C-BE32-E72D297353CC}">
              <c16:uniqueId val="{00000003-CA79-4C85-9ADB-EE7C60DD6163}"/>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 (260 kW to 60 MW, 2/3rds fixed-tilt).</a:t>
            </a:r>
          </a:p>
          <a:p>
            <a:pPr>
              <a:defRPr b="1"/>
            </a:pPr>
            <a:r>
              <a:rPr lang="en-US" b="1" baseline="0"/>
              <a:t>Median degradation 3.3%/yr; p90 degr. 6%/yr; Avg. age 15+ years</a:t>
            </a:r>
          </a:p>
          <a:p>
            <a:pPr>
              <a:defRPr b="1"/>
            </a:pPr>
            <a:r>
              <a:rPr lang="en-US" b="1" baseline="0"/>
              <a:t>Avg PI 86%, Median PI 80%, Best PI 98%, Worst PI 38%, p90 PI 59%</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p50</c:v>
                </c:pt>
              </c:strCache>
            </c:strRef>
          </c:tx>
          <c:spPr>
            <a:ln w="63500" cap="rnd">
              <a:solidFill>
                <a:srgbClr val="FF0000"/>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0.22740330853138771"/>
                  <c:y val="1.0805020193314935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1"/>
          <c:extLst>
            <c:ext xmlns:c16="http://schemas.microsoft.com/office/drawing/2014/chart" uri="{C3380CC4-5D6E-409C-BE32-E72D297353CC}">
              <c16:uniqueId val="{00000001-CCB5-4621-B045-172F38CA0ED9}"/>
            </c:ext>
          </c:extLst>
        </c:ser>
        <c:ser>
          <c:idx val="28"/>
          <c:order val="1"/>
          <c:tx>
            <c:strRef>
              <c:f>PlantData!$BA$2</c:f>
              <c:strCache>
                <c:ptCount val="1"/>
                <c:pt idx="0">
                  <c:v>p90</c:v>
                </c:pt>
              </c:strCache>
            </c:strRef>
          </c:tx>
          <c:spPr>
            <a:ln w="25400" cap="rnd">
              <a:solidFill>
                <a:srgbClr val="FF0000"/>
              </a:solidFill>
              <a:prstDash val="sysDash"/>
              <a:round/>
            </a:ln>
            <a:effectLst/>
          </c:spPr>
          <c:marker>
            <c:symbol val="none"/>
          </c:marker>
          <c:trendline>
            <c:spPr>
              <a:ln w="38100" cap="rnd">
                <a:solidFill>
                  <a:srgbClr val="FF0000"/>
                </a:solidFill>
                <a:prstDash val="sysDot"/>
              </a:ln>
              <a:effectLst/>
            </c:spPr>
            <c:trendlineType val="linear"/>
            <c:dispRSqr val="1"/>
            <c:dispEq val="1"/>
            <c:trendlineLbl>
              <c:layout>
                <c:manualLayout>
                  <c:x val="0.2579354186231308"/>
                  <c:y val="-3.2459656771773005E-4"/>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0.75089982994610061</c:v>
                </c:pt>
                <c:pt idx="1">
                  <c:v>0.69731657041896011</c:v>
                </c:pt>
                <c:pt idx="2">
                  <c:v>0.67702937701064758</c:v>
                </c:pt>
                <c:pt idx="3">
                  <c:v>0.69665630738710349</c:v>
                </c:pt>
                <c:pt idx="4">
                  <c:v>0.6757682994044617</c:v>
                </c:pt>
                <c:pt idx="5">
                  <c:v>0.67349319544597153</c:v>
                </c:pt>
                <c:pt idx="6">
                  <c:v>0.6987243105368437</c:v>
                </c:pt>
                <c:pt idx="7">
                  <c:v>0.57219693528298488</c:v>
                </c:pt>
                <c:pt idx="8">
                  <c:v>0.49377774688560766</c:v>
                </c:pt>
                <c:pt idx="9">
                  <c:v>0.50667682262689961</c:v>
                </c:pt>
                <c:pt idx="10">
                  <c:v>0.54405795730211437</c:v>
                </c:pt>
                <c:pt idx="11">
                  <c:v>0.48452895719234063</c:v>
                </c:pt>
                <c:pt idx="12">
                  <c:v>0.43411526807861434</c:v>
                </c:pt>
                <c:pt idx="13">
                  <c:v>0.22955766805195427</c:v>
                </c:pt>
                <c:pt idx="14">
                  <c:v>0.24583535712504645</c:v>
                </c:pt>
                <c:pt idx="15">
                  <c:v>0.29769870360831013</c:v>
                </c:pt>
              </c:numCache>
            </c:numRef>
          </c:yVal>
          <c:smooth val="1"/>
          <c:extLst>
            <c:ext xmlns:c16="http://schemas.microsoft.com/office/drawing/2014/chart" uri="{C3380CC4-5D6E-409C-BE32-E72D297353CC}">
              <c16:uniqueId val="{00000003-CCB5-4621-B045-172F38CA0ED9}"/>
            </c:ext>
          </c:extLst>
        </c:ser>
        <c:ser>
          <c:idx val="0"/>
          <c:order val="2"/>
          <c:tx>
            <c:strRef>
              <c:f>PlantData!$C$7</c:f>
              <c:strCache>
                <c:ptCount val="1"/>
                <c:pt idx="0">
                  <c:v>Agua Fria PV-3</c:v>
                </c:pt>
              </c:strCache>
            </c:strRef>
          </c:tx>
          <c:spPr>
            <a:ln w="12700" cap="rnd">
              <a:noFill/>
              <a:prstDash val="sysDot"/>
              <a:round/>
            </a:ln>
            <a:effectLst/>
          </c:spPr>
          <c:marker>
            <c:symbol val="circle"/>
            <c:size val="5"/>
            <c:spPr>
              <a:solidFill>
                <a:schemeClr val="accent1"/>
              </a:solidFill>
              <a:ln w="9525">
                <a:solidFill>
                  <a:schemeClr val="accent1"/>
                </a:solidFill>
              </a:ln>
              <a:effectLst/>
            </c:spPr>
          </c:marker>
          <c:xVal>
            <c:numRef>
              <c:f>PlantData!$BB$6:$BX$6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PlantData!$BB$7:$BX$7</c:f>
              <c:numCache>
                <c:formatCode>0.00</c:formatCode>
                <c:ptCount val="23"/>
                <c:pt idx="0">
                  <c:v>0.72908004236912194</c:v>
                </c:pt>
                <c:pt idx="1">
                  <c:v>0.55094910650373186</c:v>
                </c:pt>
                <c:pt idx="2">
                  <c:v>0.20694499711322348</c:v>
                </c:pt>
                <c:pt idx="3">
                  <c:v>0.53401533955605685</c:v>
                </c:pt>
                <c:pt idx="4">
                  <c:v>0.74949521341200953</c:v>
                </c:pt>
                <c:pt idx="5">
                  <c:v>0.82707357960922245</c:v>
                </c:pt>
                <c:pt idx="6">
                  <c:v>0.38232763244472634</c:v>
                </c:pt>
                <c:pt idx="7">
                  <c:v>0.8373184480151511</c:v>
                </c:pt>
                <c:pt idx="8">
                  <c:v>0.85881771015527997</c:v>
                </c:pt>
                <c:pt idx="9">
                  <c:v>0.84382390551832398</c:v>
                </c:pt>
                <c:pt idx="10">
                  <c:v>0.76655690967362655</c:v>
                </c:pt>
                <c:pt idx="11">
                  <c:v>0.49735261616124876</c:v>
                </c:pt>
                <c:pt idx="12">
                  <c:v>0</c:v>
                </c:pt>
                <c:pt idx="13">
                  <c:v>0.30141821640539301</c:v>
                </c:pt>
                <c:pt idx="14">
                  <c:v>0.42964990284737592</c:v>
                </c:pt>
                <c:pt idx="15">
                  <c:v>0.55916273857820276</c:v>
                </c:pt>
                <c:pt idx="16">
                  <c:v>0.27198673955770158</c:v>
                </c:pt>
                <c:pt idx="17">
                  <c:v>0</c:v>
                </c:pt>
                <c:pt idx="18">
                  <c:v>0</c:v>
                </c:pt>
                <c:pt idx="19">
                  <c:v>0</c:v>
                </c:pt>
                <c:pt idx="20">
                  <c:v>0</c:v>
                </c:pt>
                <c:pt idx="21">
                  <c:v>4.3063836069786303E-2</c:v>
                </c:pt>
                <c:pt idx="22">
                  <c:v>0.16281613062996497</c:v>
                </c:pt>
              </c:numCache>
            </c:numRef>
          </c:yVal>
          <c:smooth val="0"/>
          <c:extLst>
            <c:ext xmlns:c16="http://schemas.microsoft.com/office/drawing/2014/chart" uri="{C3380CC4-5D6E-409C-BE32-E72D297353CC}">
              <c16:uniqueId val="{00000006-CCB5-4621-B045-172F38CA0ED9}"/>
            </c:ext>
          </c:extLst>
        </c:ser>
        <c:ser>
          <c:idx val="1"/>
          <c:order val="3"/>
          <c:tx>
            <c:strRef>
              <c:f>PlantData!$C$8</c:f>
              <c:strCache>
                <c:ptCount val="1"/>
                <c:pt idx="0">
                  <c:v>Nellis Sunpower</c:v>
                </c:pt>
              </c:strCache>
            </c:strRef>
          </c:tx>
          <c:spPr>
            <a:ln w="12700" cap="rnd">
              <a:noFill/>
              <a:prstDash val="sysDot"/>
              <a:round/>
            </a:ln>
            <a:effectLst/>
          </c:spPr>
          <c:marker>
            <c:symbol val="circle"/>
            <c:size val="5"/>
            <c:spPr>
              <a:solidFill>
                <a:schemeClr val="accent2"/>
              </a:solidFill>
              <a:ln w="9525">
                <a:solidFill>
                  <a:schemeClr val="accent2"/>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PlantData!$BB$8:$BR$8</c:f>
              <c:numCache>
                <c:formatCode>0.00</c:formatCode>
                <c:ptCount val="17"/>
                <c:pt idx="0">
                  <c:v>1.015625</c:v>
                </c:pt>
                <c:pt idx="1">
                  <c:v>1.0050251256281406</c:v>
                </c:pt>
                <c:pt idx="2">
                  <c:v>0.98801166637206117</c:v>
                </c:pt>
                <c:pt idx="3">
                  <c:v>1.019116694048257</c:v>
                </c:pt>
                <c:pt idx="4">
                  <c:v>1.0253219017702644</c:v>
                </c:pt>
                <c:pt idx="5">
                  <c:v>1.0176249872897576</c:v>
                </c:pt>
                <c:pt idx="6">
                  <c:v>1.004833185811133</c:v>
                </c:pt>
                <c:pt idx="7">
                  <c:v>0.98483134787652638</c:v>
                </c:pt>
                <c:pt idx="8">
                  <c:v>0.64162664039483874</c:v>
                </c:pt>
                <c:pt idx="9">
                  <c:v>0.92234110504153655</c:v>
                </c:pt>
                <c:pt idx="10">
                  <c:v>0.88416417096533406</c:v>
                </c:pt>
                <c:pt idx="11">
                  <c:v>0.87420985500285731</c:v>
                </c:pt>
                <c:pt idx="12">
                  <c:v>0.82832397885082709</c:v>
                </c:pt>
                <c:pt idx="13">
                  <c:v>0.63973273613384696</c:v>
                </c:pt>
                <c:pt idx="14">
                  <c:v>0.66959727753855791</c:v>
                </c:pt>
                <c:pt idx="15">
                  <c:v>0.731852587592284</c:v>
                </c:pt>
                <c:pt idx="16">
                  <c:v>0.80463750837893555</c:v>
                </c:pt>
              </c:numCache>
            </c:numRef>
          </c:yVal>
          <c:smooth val="0"/>
          <c:extLst>
            <c:ext xmlns:c16="http://schemas.microsoft.com/office/drawing/2014/chart" uri="{C3380CC4-5D6E-409C-BE32-E72D297353CC}">
              <c16:uniqueId val="{00000007-CCB5-4621-B045-172F38CA0ED9}"/>
            </c:ext>
          </c:extLst>
        </c:ser>
        <c:ser>
          <c:idx val="2"/>
          <c:order val="4"/>
          <c:tx>
            <c:strRef>
              <c:f>PlantData!$C$9</c:f>
              <c:strCache>
                <c:ptCount val="1"/>
                <c:pt idx="0">
                  <c:v>SunE Alamosa1</c:v>
                </c:pt>
              </c:strCache>
            </c:strRef>
          </c:tx>
          <c:spPr>
            <a:ln w="12700" cap="rnd">
              <a:noFill/>
              <a:prstDash val="sysDot"/>
              <a:round/>
            </a:ln>
            <a:effectLst/>
          </c:spPr>
          <c:marker>
            <c:symbol val="circle"/>
            <c:size val="5"/>
            <c:spPr>
              <a:solidFill>
                <a:schemeClr val="accent3"/>
              </a:solidFill>
              <a:ln w="9525">
                <a:solidFill>
                  <a:schemeClr val="accent3"/>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PlantData!$BB$9:$BR$9</c:f>
              <c:numCache>
                <c:formatCode>0.00</c:formatCode>
                <c:ptCount val="17"/>
                <c:pt idx="0">
                  <c:v>0.86156351293016908</c:v>
                </c:pt>
                <c:pt idx="1">
                  <c:v>0.86213917790401451</c:v>
                </c:pt>
                <c:pt idx="2">
                  <c:v>0.87406650235041639</c:v>
                </c:pt>
                <c:pt idx="3">
                  <c:v>0.88788795992287439</c:v>
                </c:pt>
                <c:pt idx="4">
                  <c:v>0.88111824615715939</c:v>
                </c:pt>
                <c:pt idx="5">
                  <c:v>0.85198462509892503</c:v>
                </c:pt>
                <c:pt idx="6">
                  <c:v>0.84076838687239086</c:v>
                </c:pt>
                <c:pt idx="7">
                  <c:v>0.13427458989843302</c:v>
                </c:pt>
                <c:pt idx="8">
                  <c:v>0.13484702472646379</c:v>
                </c:pt>
                <c:pt idx="9">
                  <c:v>1.1499999999999999</c:v>
                </c:pt>
                <c:pt idx="10">
                  <c:v>0.82358963403313246</c:v>
                </c:pt>
                <c:pt idx="11">
                  <c:v>0.80581339165191135</c:v>
                </c:pt>
                <c:pt idx="12">
                  <c:v>0.74415302251885529</c:v>
                </c:pt>
                <c:pt idx="13">
                  <c:v>0.64628863143426585</c:v>
                </c:pt>
                <c:pt idx="14">
                  <c:v>0.7237630095906884</c:v>
                </c:pt>
                <c:pt idx="15">
                  <c:v>0.60172495516561963</c:v>
                </c:pt>
                <c:pt idx="16">
                  <c:v>0.71540008510015962</c:v>
                </c:pt>
              </c:numCache>
            </c:numRef>
          </c:yVal>
          <c:smooth val="0"/>
          <c:extLst>
            <c:ext xmlns:c16="http://schemas.microsoft.com/office/drawing/2014/chart" uri="{C3380CC4-5D6E-409C-BE32-E72D297353CC}">
              <c16:uniqueId val="{00000008-CCB5-4621-B045-172F38CA0ED9}"/>
            </c:ext>
          </c:extLst>
        </c:ser>
        <c:ser>
          <c:idx val="3"/>
          <c:order val="5"/>
          <c:tx>
            <c:strRef>
              <c:f>PlantData!$C$10</c:f>
              <c:strCache>
                <c:ptCount val="1"/>
                <c:pt idx="0">
                  <c:v>Atlantic Cty ConvCtr</c:v>
                </c:pt>
              </c:strCache>
            </c:strRef>
          </c:tx>
          <c:spPr>
            <a:ln w="12700" cap="rnd">
              <a:noFill/>
              <a:prstDash val="sysDot"/>
              <a:round/>
            </a:ln>
            <a:effectLst/>
          </c:spPr>
          <c:marker>
            <c:symbol val="circle"/>
            <c:size val="5"/>
            <c:spPr>
              <a:solidFill>
                <a:schemeClr val="accent4"/>
              </a:solidFill>
              <a:ln w="9525">
                <a:solidFill>
                  <a:schemeClr val="accent4"/>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PlantData!$BB$10:$BQ$10</c:f>
              <c:numCache>
                <c:formatCode>0.00</c:formatCode>
                <c:ptCount val="16"/>
                <c:pt idx="0">
                  <c:v>0.89389555950122512</c:v>
                </c:pt>
                <c:pt idx="1">
                  <c:v>0.9831287823903434</c:v>
                </c:pt>
                <c:pt idx="2">
                  <c:v>1.0014478711775401</c:v>
                </c:pt>
                <c:pt idx="3">
                  <c:v>1.0054964208564288</c:v>
                </c:pt>
                <c:pt idx="4">
                  <c:v>0.93935587901701012</c:v>
                </c:pt>
                <c:pt idx="5">
                  <c:v>0.98680813315407667</c:v>
                </c:pt>
                <c:pt idx="6">
                  <c:v>0.99276572626997239</c:v>
                </c:pt>
                <c:pt idx="7">
                  <c:v>1.0245218897433699</c:v>
                </c:pt>
                <c:pt idx="8">
                  <c:v>1.0054585305143209</c:v>
                </c:pt>
                <c:pt idx="9">
                  <c:v>0.97975640071965719</c:v>
                </c:pt>
                <c:pt idx="10">
                  <c:v>1.0587260902800208</c:v>
                </c:pt>
                <c:pt idx="11">
                  <c:v>1.0425400920918948</c:v>
                </c:pt>
                <c:pt idx="12">
                  <c:v>1.0244492649845158</c:v>
                </c:pt>
                <c:pt idx="13">
                  <c:v>1.0668365356124532</c:v>
                </c:pt>
                <c:pt idx="14">
                  <c:v>0.97620569584193784</c:v>
                </c:pt>
                <c:pt idx="15">
                  <c:v>0.72268578207759449</c:v>
                </c:pt>
              </c:numCache>
            </c:numRef>
          </c:yVal>
          <c:smooth val="0"/>
          <c:extLst>
            <c:ext xmlns:c16="http://schemas.microsoft.com/office/drawing/2014/chart" uri="{C3380CC4-5D6E-409C-BE32-E72D297353CC}">
              <c16:uniqueId val="{00000009-CCB5-4621-B045-172F38CA0ED9}"/>
            </c:ext>
          </c:extLst>
        </c:ser>
        <c:ser>
          <c:idx val="4"/>
          <c:order val="6"/>
          <c:tx>
            <c:strRef>
              <c:f>PlantData!$C$11</c:f>
              <c:strCache>
                <c:ptCount val="1"/>
                <c:pt idx="0">
                  <c:v>MMA Bolthouse</c:v>
                </c:pt>
              </c:strCache>
            </c:strRef>
          </c:tx>
          <c:spPr>
            <a:ln w="12700" cap="rnd">
              <a:noFill/>
              <a:prstDash val="sysDot"/>
              <a:round/>
            </a:ln>
            <a:effectLst/>
          </c:spPr>
          <c:marker>
            <c:symbol val="circle"/>
            <c:size val="5"/>
            <c:spPr>
              <a:solidFill>
                <a:schemeClr val="accent5"/>
              </a:solidFill>
              <a:ln w="9525">
                <a:solidFill>
                  <a:schemeClr val="accent5"/>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PlantData!$BB$11:$BQ$11</c:f>
              <c:numCache>
                <c:formatCode>0.00</c:formatCode>
                <c:ptCount val="16"/>
                <c:pt idx="0">
                  <c:v>0.58633487313494093</c:v>
                </c:pt>
                <c:pt idx="1">
                  <c:v>0.60348141867953564</c:v>
                </c:pt>
                <c:pt idx="2">
                  <c:v>1.0078391651739538</c:v>
                </c:pt>
                <c:pt idx="3">
                  <c:v>0.996979347895674</c:v>
                </c:pt>
                <c:pt idx="4">
                  <c:v>0.95983517137119456</c:v>
                </c:pt>
                <c:pt idx="5">
                  <c:v>0.97322685862989111</c:v>
                </c:pt>
                <c:pt idx="6">
                  <c:v>0.54036862562873644</c:v>
                </c:pt>
                <c:pt idx="7">
                  <c:v>0.90826539409102469</c:v>
                </c:pt>
                <c:pt idx="8">
                  <c:v>0.7900880364441718</c:v>
                </c:pt>
                <c:pt idx="9">
                  <c:v>0.45797981858334735</c:v>
                </c:pt>
                <c:pt idx="10">
                  <c:v>0.81147140623031899</c:v>
                </c:pt>
                <c:pt idx="11">
                  <c:v>0.68162739650555237</c:v>
                </c:pt>
                <c:pt idx="12">
                  <c:v>0.38159824302896089</c:v>
                </c:pt>
                <c:pt idx="13">
                  <c:v>0.21232109791581905</c:v>
                </c:pt>
                <c:pt idx="14">
                  <c:v>2.3156461544796531E-2</c:v>
                </c:pt>
                <c:pt idx="15">
                  <c:v>1.6766444302170721E-2</c:v>
                </c:pt>
              </c:numCache>
            </c:numRef>
          </c:yVal>
          <c:smooth val="0"/>
          <c:extLst>
            <c:ext xmlns:c16="http://schemas.microsoft.com/office/drawing/2014/chart" uri="{C3380CC4-5D6E-409C-BE32-E72D297353CC}">
              <c16:uniqueId val="{0000000A-CCB5-4621-B045-172F38CA0ED9}"/>
            </c:ext>
          </c:extLst>
        </c:ser>
        <c:ser>
          <c:idx val="5"/>
          <c:order val="7"/>
          <c:tx>
            <c:strRef>
              <c:f>PlantData!$C$12</c:f>
              <c:strCache>
                <c:ptCount val="1"/>
                <c:pt idx="0">
                  <c:v>Copper Mtn10 (FS)</c:v>
                </c:pt>
              </c:strCache>
            </c:strRef>
          </c:tx>
          <c:spPr>
            <a:ln w="12700" cap="rnd">
              <a:noFill/>
              <a:prstDash val="sysDot"/>
              <a:round/>
            </a:ln>
            <a:effectLst/>
          </c:spPr>
          <c:marker>
            <c:symbol val="circle"/>
            <c:size val="5"/>
            <c:spPr>
              <a:solidFill>
                <a:schemeClr val="accent6"/>
              </a:solidFill>
              <a:ln w="9525">
                <a:solidFill>
                  <a:schemeClr val="accent6"/>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PlantData!$BB$12:$BQ$12</c:f>
              <c:numCache>
                <c:formatCode>0.00</c:formatCode>
                <c:ptCount val="16"/>
                <c:pt idx="0">
                  <c:v>0.95044134804953506</c:v>
                </c:pt>
                <c:pt idx="1">
                  <c:v>0.93250671184533862</c:v>
                </c:pt>
                <c:pt idx="2">
                  <c:v>0.95492071220662389</c:v>
                </c:pt>
                <c:pt idx="3">
                  <c:v>0.94631192399525366</c:v>
                </c:pt>
                <c:pt idx="4">
                  <c:v>0.91212028376305121</c:v>
                </c:pt>
                <c:pt idx="5">
                  <c:v>0.8939380543496902</c:v>
                </c:pt>
                <c:pt idx="6">
                  <c:v>0.89915368835437881</c:v>
                </c:pt>
                <c:pt idx="7">
                  <c:v>0.86622544220841791</c:v>
                </c:pt>
                <c:pt idx="8">
                  <c:v>0.88245338591118561</c:v>
                </c:pt>
                <c:pt idx="9">
                  <c:v>0.89946518977214518</c:v>
                </c:pt>
                <c:pt idx="10">
                  <c:v>1.040863086118992</c:v>
                </c:pt>
                <c:pt idx="11">
                  <c:v>1.017857095492988</c:v>
                </c:pt>
                <c:pt idx="12">
                  <c:v>0.87073538724378385</c:v>
                </c:pt>
                <c:pt idx="13">
                  <c:v>0.88738104078646562</c:v>
                </c:pt>
                <c:pt idx="14">
                  <c:v>0.90374838962285176</c:v>
                </c:pt>
                <c:pt idx="15">
                  <c:v>0.85090972452679814</c:v>
                </c:pt>
              </c:numCache>
            </c:numRef>
          </c:yVal>
          <c:smooth val="0"/>
          <c:extLst>
            <c:ext xmlns:c16="http://schemas.microsoft.com/office/drawing/2014/chart" uri="{C3380CC4-5D6E-409C-BE32-E72D297353CC}">
              <c16:uniqueId val="{0000000B-CCB5-4621-B045-172F38CA0ED9}"/>
            </c:ext>
          </c:extLst>
        </c:ser>
        <c:ser>
          <c:idx val="6"/>
          <c:order val="8"/>
          <c:tx>
            <c:strRef>
              <c:f>PlantData!$C$13</c:f>
              <c:strCache>
                <c:ptCount val="1"/>
                <c:pt idx="0">
                  <c:v>CSU Fresno MMA</c:v>
                </c:pt>
              </c:strCache>
            </c:strRef>
          </c:tx>
          <c:spPr>
            <a:ln w="12700" cap="rnd">
              <a:no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PlantData!$BB$13:$BR$13</c:f>
              <c:numCache>
                <c:formatCode>0.00</c:formatCode>
                <c:ptCount val="17"/>
                <c:pt idx="0">
                  <c:v>0.9321266968325792</c:v>
                </c:pt>
                <c:pt idx="1">
                  <c:v>1.0751884828148499</c:v>
                </c:pt>
                <c:pt idx="2">
                  <c:v>0.73323515839079167</c:v>
                </c:pt>
                <c:pt idx="3">
                  <c:v>0.64373845217303494</c:v>
                </c:pt>
                <c:pt idx="4">
                  <c:v>1.0261880570858803</c:v>
                </c:pt>
                <c:pt idx="5">
                  <c:v>1.0366473248519699</c:v>
                </c:pt>
                <c:pt idx="6">
                  <c:v>0.96791409927509175</c:v>
                </c:pt>
                <c:pt idx="7">
                  <c:v>0.98148143991622561</c:v>
                </c:pt>
                <c:pt idx="8">
                  <c:v>0.97228343674645135</c:v>
                </c:pt>
                <c:pt idx="9">
                  <c:v>0.98190297519142233</c:v>
                </c:pt>
                <c:pt idx="10">
                  <c:v>0.87945405394583143</c:v>
                </c:pt>
                <c:pt idx="11">
                  <c:v>1.0143369631073136</c:v>
                </c:pt>
                <c:pt idx="12">
                  <c:v>0.7887742893662274</c:v>
                </c:pt>
                <c:pt idx="13">
                  <c:v>0.73064362057356824</c:v>
                </c:pt>
                <c:pt idx="14">
                  <c:v>0.41049536955746851</c:v>
                </c:pt>
                <c:pt idx="15">
                  <c:v>0.76239633012337116</c:v>
                </c:pt>
                <c:pt idx="16">
                  <c:v>1.0071618813605576</c:v>
                </c:pt>
              </c:numCache>
            </c:numRef>
          </c:yVal>
          <c:smooth val="0"/>
          <c:extLst>
            <c:ext xmlns:c16="http://schemas.microsoft.com/office/drawing/2014/chart" uri="{C3380CC4-5D6E-409C-BE32-E72D297353CC}">
              <c16:uniqueId val="{0000000C-CCB5-4621-B045-172F38CA0ED9}"/>
            </c:ext>
          </c:extLst>
        </c:ser>
        <c:ser>
          <c:idx val="7"/>
          <c:order val="9"/>
          <c:tx>
            <c:strRef>
              <c:f>PlantData!$C$14</c:f>
              <c:strCache>
                <c:ptCount val="1"/>
                <c:pt idx="0">
                  <c:v>Deer Island</c:v>
                </c:pt>
              </c:strCache>
            </c:strRef>
          </c:tx>
          <c:spPr>
            <a:ln w="12700" cap="rnd">
              <a:no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PlantData!$BB$14:$BP$14</c:f>
              <c:numCache>
                <c:formatCode>0.00</c:formatCode>
                <c:ptCount val="15"/>
                <c:pt idx="0">
                  <c:v>0.69329211806078583</c:v>
                </c:pt>
                <c:pt idx="1">
                  <c:v>0.94808994162053417</c:v>
                </c:pt>
                <c:pt idx="2">
                  <c:v>0.95502225412350783</c:v>
                </c:pt>
                <c:pt idx="3">
                  <c:v>0</c:v>
                </c:pt>
                <c:pt idx="4">
                  <c:v>0.91427721624581937</c:v>
                </c:pt>
                <c:pt idx="5">
                  <c:v>0.95958803907724788</c:v>
                </c:pt>
                <c:pt idx="6">
                  <c:v>0.91353524535268849</c:v>
                </c:pt>
                <c:pt idx="7">
                  <c:v>0.88811449625463668</c:v>
                </c:pt>
                <c:pt idx="8">
                  <c:v>0.90263144631008152</c:v>
                </c:pt>
                <c:pt idx="9">
                  <c:v>1.1499999999999999</c:v>
                </c:pt>
                <c:pt idx="10">
                  <c:v>0.85756397690185082</c:v>
                </c:pt>
                <c:pt idx="11">
                  <c:v>0.90043083530821166</c:v>
                </c:pt>
                <c:pt idx="12">
                  <c:v>0.71575834408004357</c:v>
                </c:pt>
                <c:pt idx="13">
                  <c:v>0.71591870987105466</c:v>
                </c:pt>
                <c:pt idx="14">
                  <c:v>0.7149113870631959</c:v>
                </c:pt>
              </c:numCache>
            </c:numRef>
          </c:yVal>
          <c:smooth val="0"/>
          <c:extLst>
            <c:ext xmlns:c16="http://schemas.microsoft.com/office/drawing/2014/chart" uri="{C3380CC4-5D6E-409C-BE32-E72D297353CC}">
              <c16:uniqueId val="{0000000D-CCB5-4621-B045-172F38CA0ED9}"/>
            </c:ext>
          </c:extLst>
        </c:ser>
        <c:ser>
          <c:idx val="8"/>
          <c:order val="10"/>
          <c:tx>
            <c:strRef>
              <c:f>PlantData!$C$15</c:f>
              <c:strCache>
                <c:ptCount val="1"/>
                <c:pt idx="0">
                  <c:v>Denver airport MMA</c:v>
                </c:pt>
              </c:strCache>
            </c:strRef>
          </c:tx>
          <c:spPr>
            <a:ln w="12700" cap="rnd">
              <a:no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PlantData!$BB$15:$BQ$15</c:f>
              <c:numCache>
                <c:formatCode>0.00</c:formatCode>
                <c:ptCount val="16"/>
                <c:pt idx="0">
                  <c:v>0.90417327136101655</c:v>
                </c:pt>
                <c:pt idx="1">
                  <c:v>0.96287693858668033</c:v>
                </c:pt>
                <c:pt idx="2">
                  <c:v>0.92226178650119783</c:v>
                </c:pt>
                <c:pt idx="3">
                  <c:v>0.9779361901035919</c:v>
                </c:pt>
                <c:pt idx="4">
                  <c:v>0.41632275079613068</c:v>
                </c:pt>
                <c:pt idx="5">
                  <c:v>0.76533739588972993</c:v>
                </c:pt>
                <c:pt idx="6">
                  <c:v>0.86651205314185831</c:v>
                </c:pt>
                <c:pt idx="7">
                  <c:v>0.92207689598293952</c:v>
                </c:pt>
                <c:pt idx="8">
                  <c:v>0.81307637454167114</c:v>
                </c:pt>
                <c:pt idx="9">
                  <c:v>0.73782887229937133</c:v>
                </c:pt>
                <c:pt idx="10">
                  <c:v>0.61098640142432714</c:v>
                </c:pt>
                <c:pt idx="11">
                  <c:v>0.67041370372568543</c:v>
                </c:pt>
                <c:pt idx="12">
                  <c:v>0.43158667617891461</c:v>
                </c:pt>
                <c:pt idx="13">
                  <c:v>8.1532979971079944E-2</c:v>
                </c:pt>
                <c:pt idx="14">
                  <c:v>0.47526762194197353</c:v>
                </c:pt>
                <c:pt idx="15">
                  <c:v>0.46148447908040591</c:v>
                </c:pt>
              </c:numCache>
            </c:numRef>
          </c:yVal>
          <c:smooth val="0"/>
          <c:extLst>
            <c:ext xmlns:c16="http://schemas.microsoft.com/office/drawing/2014/chart" uri="{C3380CC4-5D6E-409C-BE32-E72D297353CC}">
              <c16:uniqueId val="{0000000E-CCB5-4621-B045-172F38CA0ED9}"/>
            </c:ext>
          </c:extLst>
        </c:ser>
        <c:ser>
          <c:idx val="9"/>
          <c:order val="11"/>
          <c:tx>
            <c:strRef>
              <c:f>PlantData!$C$16</c:f>
              <c:strCache>
                <c:ptCount val="1"/>
                <c:pt idx="0">
                  <c:v>Lanai Sunpower</c:v>
                </c:pt>
              </c:strCache>
            </c:strRef>
          </c:tx>
          <c:spPr>
            <a:ln w="12700" cap="rnd">
              <a:no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PlantData!$BB$16:$BQ$16</c:f>
              <c:numCache>
                <c:formatCode>0.00</c:formatCode>
                <c:ptCount val="16"/>
                <c:pt idx="0">
                  <c:v>0.47746905133110534</c:v>
                </c:pt>
                <c:pt idx="1">
                  <c:v>0.61105543606959722</c:v>
                </c:pt>
                <c:pt idx="2">
                  <c:v>0.63355604364368989</c:v>
                </c:pt>
                <c:pt idx="3">
                  <c:v>0.8194624285516694</c:v>
                </c:pt>
                <c:pt idx="4">
                  <c:v>0.61400542064472341</c:v>
                </c:pt>
                <c:pt idx="5">
                  <c:v>0.62237418730595118</c:v>
                </c:pt>
                <c:pt idx="6">
                  <c:v>0.71399938901986071</c:v>
                </c:pt>
                <c:pt idx="7">
                  <c:v>0.83427976135091597</c:v>
                </c:pt>
                <c:pt idx="8">
                  <c:v>0.73335024398355475</c:v>
                </c:pt>
                <c:pt idx="9">
                  <c:v>0.48225330819182721</c:v>
                </c:pt>
                <c:pt idx="10">
                  <c:v>0.52946052903056162</c:v>
                </c:pt>
                <c:pt idx="11">
                  <c:v>0.31542514737915917</c:v>
                </c:pt>
                <c:pt idx="12">
                  <c:v>0</c:v>
                </c:pt>
                <c:pt idx="13">
                  <c:v>5.3161641075107478E-2</c:v>
                </c:pt>
                <c:pt idx="14">
                  <c:v>0</c:v>
                </c:pt>
                <c:pt idx="15">
                  <c:v>0</c:v>
                </c:pt>
              </c:numCache>
            </c:numRef>
          </c:yVal>
          <c:smooth val="0"/>
          <c:extLst>
            <c:ext xmlns:c16="http://schemas.microsoft.com/office/drawing/2014/chart" uri="{C3380CC4-5D6E-409C-BE32-E72D297353CC}">
              <c16:uniqueId val="{0000000F-CCB5-4621-B045-172F38CA0ED9}"/>
            </c:ext>
          </c:extLst>
        </c:ser>
        <c:ser>
          <c:idx val="11"/>
          <c:order val="12"/>
          <c:tx>
            <c:strRef>
              <c:f>PlantData!$C$17</c:f>
              <c:strCache>
                <c:ptCount val="1"/>
                <c:pt idx="0">
                  <c:v>MF Mesa Ln</c:v>
                </c:pt>
              </c:strCache>
            </c:strRef>
          </c:tx>
          <c:spPr>
            <a:ln w="12700" cap="rnd">
              <a:noFill/>
              <a:prstDash val="sysDot"/>
              <a:round/>
            </a:ln>
            <a:effectLst/>
          </c:spPr>
          <c:marker>
            <c:symbol val="circle"/>
            <c:size val="5"/>
            <c:spPr>
              <a:solidFill>
                <a:schemeClr val="accent6">
                  <a:lumMod val="60000"/>
                </a:schemeClr>
              </a:solidFill>
              <a:ln w="9525">
                <a:solidFill>
                  <a:schemeClr val="accent6">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PlantData!$BB$17:$BQ$17</c:f>
              <c:numCache>
                <c:formatCode>0.00</c:formatCode>
                <c:ptCount val="16"/>
                <c:pt idx="0">
                  <c:v>0.85543238355545026</c:v>
                </c:pt>
                <c:pt idx="1">
                  <c:v>0.97823972488784183</c:v>
                </c:pt>
                <c:pt idx="2">
                  <c:v>0.93803659703434117</c:v>
                </c:pt>
                <c:pt idx="3">
                  <c:v>0.9729807711336762</c:v>
                </c:pt>
                <c:pt idx="4">
                  <c:v>0.95557340886878306</c:v>
                </c:pt>
                <c:pt idx="5">
                  <c:v>0.91087902059158066</c:v>
                </c:pt>
                <c:pt idx="6">
                  <c:v>0.95975656651849395</c:v>
                </c:pt>
                <c:pt idx="7">
                  <c:v>1.0001480206527387</c:v>
                </c:pt>
                <c:pt idx="8">
                  <c:v>0.89943189669025403</c:v>
                </c:pt>
                <c:pt idx="9">
                  <c:v>0.80973768314409422</c:v>
                </c:pt>
                <c:pt idx="10">
                  <c:v>0.94157159375666022</c:v>
                </c:pt>
                <c:pt idx="11">
                  <c:v>0.89504185210842113</c:v>
                </c:pt>
                <c:pt idx="12">
                  <c:v>0.90999634643955418</c:v>
                </c:pt>
                <c:pt idx="13">
                  <c:v>0.88637339330846454</c:v>
                </c:pt>
                <c:pt idx="14">
                  <c:v>0.79319200920646094</c:v>
                </c:pt>
                <c:pt idx="15">
                  <c:v>0.88080520018748498</c:v>
                </c:pt>
              </c:numCache>
            </c:numRef>
          </c:yVal>
          <c:smooth val="0"/>
          <c:extLst>
            <c:ext xmlns:c16="http://schemas.microsoft.com/office/drawing/2014/chart" uri="{C3380CC4-5D6E-409C-BE32-E72D297353CC}">
              <c16:uniqueId val="{00000010-CCB5-4621-B045-172F38CA0ED9}"/>
            </c:ext>
          </c:extLst>
        </c:ser>
        <c:ser>
          <c:idx val="12"/>
          <c:order val="13"/>
          <c:tx>
            <c:strRef>
              <c:f>PlantData!$C$18</c:f>
              <c:strCache>
                <c:ptCount val="1"/>
                <c:pt idx="0">
                  <c:v>Pennsauken</c:v>
                </c:pt>
              </c:strCache>
            </c:strRef>
          </c:tx>
          <c:spPr>
            <a:ln w="12700" cap="rnd">
              <a:noFill/>
              <a:prstDash val="sysDot"/>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PlantData!$BB$18:$BQ$18</c:f>
              <c:numCache>
                <c:formatCode>0.00</c:formatCode>
                <c:ptCount val="16"/>
                <c:pt idx="0">
                  <c:v>0.82513281803273486</c:v>
                </c:pt>
                <c:pt idx="1">
                  <c:v>0.940888972993839</c:v>
                </c:pt>
                <c:pt idx="2">
                  <c:v>0.81214029657899522</c:v>
                </c:pt>
                <c:pt idx="3">
                  <c:v>0.77276517146102985</c:v>
                </c:pt>
                <c:pt idx="4">
                  <c:v>0.78804178878826248</c:v>
                </c:pt>
                <c:pt idx="5">
                  <c:v>0.80249820714527909</c:v>
                </c:pt>
                <c:pt idx="6">
                  <c:v>0.76785062592509135</c:v>
                </c:pt>
                <c:pt idx="7">
                  <c:v>0.7556452839450436</c:v>
                </c:pt>
                <c:pt idx="8">
                  <c:v>0.74523523884095677</c:v>
                </c:pt>
                <c:pt idx="9">
                  <c:v>0.76877554184014818</c:v>
                </c:pt>
                <c:pt idx="10">
                  <c:v>0.66566300514634902</c:v>
                </c:pt>
                <c:pt idx="11">
                  <c:v>0.75128194022313033</c:v>
                </c:pt>
                <c:pt idx="12">
                  <c:v>0.72079633999325121</c:v>
                </c:pt>
                <c:pt idx="13">
                  <c:v>0.6906475546038795</c:v>
                </c:pt>
                <c:pt idx="14">
                  <c:v>0.71741070054296618</c:v>
                </c:pt>
                <c:pt idx="15">
                  <c:v>0.61901679394422493</c:v>
                </c:pt>
              </c:numCache>
            </c:numRef>
          </c:yVal>
          <c:smooth val="0"/>
          <c:extLst>
            <c:ext xmlns:c16="http://schemas.microsoft.com/office/drawing/2014/chart" uri="{C3380CC4-5D6E-409C-BE32-E72D297353CC}">
              <c16:uniqueId val="{00000011-CCB5-4621-B045-172F38CA0ED9}"/>
            </c:ext>
          </c:extLst>
        </c:ser>
        <c:ser>
          <c:idx val="13"/>
          <c:order val="14"/>
          <c:tx>
            <c:strRef>
              <c:f>PlantData!$C$19</c:f>
              <c:strCache>
                <c:ptCount val="1"/>
                <c:pt idx="0">
                  <c:v>SAS Solar Farm</c:v>
                </c:pt>
              </c:strCache>
            </c:strRef>
          </c:tx>
          <c:spPr>
            <a:ln w="12700" cap="rnd">
              <a:noFill/>
              <a:prstDash val="sysDot"/>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PlantData!$BB$19:$BQ$19</c:f>
              <c:numCache>
                <c:formatCode>0.00</c:formatCode>
                <c:ptCount val="16"/>
                <c:pt idx="0">
                  <c:v>0.40511215853817695</c:v>
                </c:pt>
                <c:pt idx="1">
                  <c:v>0.64418786984987375</c:v>
                </c:pt>
                <c:pt idx="2">
                  <c:v>0.95159509506163176</c:v>
                </c:pt>
                <c:pt idx="3">
                  <c:v>0.93526667501118654</c:v>
                </c:pt>
                <c:pt idx="4">
                  <c:v>0.84167286704524291</c:v>
                </c:pt>
                <c:pt idx="5">
                  <c:v>0.9109510302879088</c:v>
                </c:pt>
                <c:pt idx="6">
                  <c:v>0.88162020426151599</c:v>
                </c:pt>
                <c:pt idx="7">
                  <c:v>0.89695569293247401</c:v>
                </c:pt>
                <c:pt idx="8">
                  <c:v>0.83542878763150508</c:v>
                </c:pt>
                <c:pt idx="9">
                  <c:v>0.69945962036618736</c:v>
                </c:pt>
                <c:pt idx="10">
                  <c:v>0.50841108005091851</c:v>
                </c:pt>
                <c:pt idx="11">
                  <c:v>0.54990724184923845</c:v>
                </c:pt>
                <c:pt idx="12">
                  <c:v>0.50878122538113635</c:v>
                </c:pt>
                <c:pt idx="13">
                  <c:v>0.54168104397527794</c:v>
                </c:pt>
                <c:pt idx="14">
                  <c:v>0.48990627999807496</c:v>
                </c:pt>
                <c:pt idx="15">
                  <c:v>0.48016533720866172</c:v>
                </c:pt>
              </c:numCache>
            </c:numRef>
          </c:yVal>
          <c:smooth val="0"/>
          <c:extLst>
            <c:ext xmlns:c16="http://schemas.microsoft.com/office/drawing/2014/chart" uri="{C3380CC4-5D6E-409C-BE32-E72D297353CC}">
              <c16:uniqueId val="{00000012-CCB5-4621-B045-172F38CA0ED9}"/>
            </c:ext>
          </c:extLst>
        </c:ser>
        <c:ser>
          <c:idx val="14"/>
          <c:order val="15"/>
          <c:tx>
            <c:strRef>
              <c:f>PlantData!$C$20</c:f>
              <c:strCache>
                <c:ptCount val="1"/>
                <c:pt idx="0">
                  <c:v>Sacramento Soleil</c:v>
                </c:pt>
              </c:strCache>
            </c:strRef>
          </c:tx>
          <c:spPr>
            <a:ln w="12700" cap="rnd">
              <a:noFill/>
              <a:prstDash val="sysDot"/>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PlantData!$BB$6:$BM$6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PlantData!$BB$20:$BM$20</c:f>
              <c:numCache>
                <c:formatCode>0.00</c:formatCode>
                <c:ptCount val="12"/>
                <c:pt idx="0">
                  <c:v>0.85876737435078587</c:v>
                </c:pt>
                <c:pt idx="1">
                  <c:v>0.89277365526789976</c:v>
                </c:pt>
                <c:pt idx="2">
                  <c:v>0.91578137613345478</c:v>
                </c:pt>
                <c:pt idx="3">
                  <c:v>0.88367137474568025</c:v>
                </c:pt>
                <c:pt idx="4">
                  <c:v>0.92396899906073349</c:v>
                </c:pt>
                <c:pt idx="5">
                  <c:v>0.88369606548533497</c:v>
                </c:pt>
                <c:pt idx="6">
                  <c:v>0.90808308284307437</c:v>
                </c:pt>
                <c:pt idx="7">
                  <c:v>0.88785187697150159</c:v>
                </c:pt>
                <c:pt idx="8">
                  <c:v>0.90662863313672803</c:v>
                </c:pt>
                <c:pt idx="9">
                  <c:v>0.81900038739378245</c:v>
                </c:pt>
                <c:pt idx="10">
                  <c:v>0.77438236084221312</c:v>
                </c:pt>
                <c:pt idx="11">
                  <c:v>0.73198635691973701</c:v>
                </c:pt>
              </c:numCache>
            </c:numRef>
          </c:yVal>
          <c:smooth val="0"/>
          <c:extLst>
            <c:ext xmlns:c16="http://schemas.microsoft.com/office/drawing/2014/chart" uri="{C3380CC4-5D6E-409C-BE32-E72D297353CC}">
              <c16:uniqueId val="{00000013-CCB5-4621-B045-172F38CA0ED9}"/>
            </c:ext>
          </c:extLst>
        </c:ser>
        <c:ser>
          <c:idx val="15"/>
          <c:order val="16"/>
          <c:tx>
            <c:strRef>
              <c:f>PlantData!$C$21</c:f>
              <c:strCache>
                <c:ptCount val="1"/>
                <c:pt idx="0">
                  <c:v>Western 102</c:v>
                </c:pt>
              </c:strCache>
            </c:strRef>
          </c:tx>
          <c:spPr>
            <a:ln w="12700" cap="rnd">
              <a:noFill/>
              <a:prstDash val="sysDot"/>
              <a:round/>
            </a:ln>
            <a:effectLst/>
          </c:spPr>
          <c:marker>
            <c:symbol val="circle"/>
            <c:size val="5"/>
            <c:spPr>
              <a:solidFill>
                <a:schemeClr val="accent4">
                  <a:lumMod val="80000"/>
                  <a:lumOff val="20000"/>
                </a:schemeClr>
              </a:solidFill>
              <a:ln w="9525">
                <a:solidFill>
                  <a:srgbClr val="00B05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PlantData!$BB$21:$BQ$21</c:f>
              <c:numCache>
                <c:formatCode>0.00</c:formatCode>
                <c:ptCount val="16"/>
                <c:pt idx="0">
                  <c:v>0.62499947353688989</c:v>
                </c:pt>
                <c:pt idx="1">
                  <c:v>0.46239126179925705</c:v>
                </c:pt>
                <c:pt idx="2">
                  <c:v>1.0322855618783104</c:v>
                </c:pt>
                <c:pt idx="3">
                  <c:v>0.99140463410623081</c:v>
                </c:pt>
                <c:pt idx="4">
                  <c:v>0.96363793402674525</c:v>
                </c:pt>
                <c:pt idx="5">
                  <c:v>0.94615989046831406</c:v>
                </c:pt>
                <c:pt idx="6">
                  <c:v>0.96802407926571199</c:v>
                </c:pt>
                <c:pt idx="7">
                  <c:v>0.96104266791667115</c:v>
                </c:pt>
                <c:pt idx="8">
                  <c:v>0.96318371624924271</c:v>
                </c:pt>
                <c:pt idx="9">
                  <c:v>0.94293549838382507</c:v>
                </c:pt>
                <c:pt idx="10">
                  <c:v>0.99771477191244717</c:v>
                </c:pt>
                <c:pt idx="11">
                  <c:v>0.86120803518158295</c:v>
                </c:pt>
                <c:pt idx="12">
                  <c:v>0.56892614593276847</c:v>
                </c:pt>
                <c:pt idx="13">
                  <c:v>0.54067555294772152</c:v>
                </c:pt>
                <c:pt idx="14">
                  <c:v>0.49906625060266868</c:v>
                </c:pt>
                <c:pt idx="15">
                  <c:v>0.53180380654722303</c:v>
                </c:pt>
              </c:numCache>
            </c:numRef>
          </c:yVal>
          <c:smooth val="0"/>
          <c:extLst>
            <c:ext xmlns:c16="http://schemas.microsoft.com/office/drawing/2014/chart" uri="{C3380CC4-5D6E-409C-BE32-E72D297353CC}">
              <c16:uniqueId val="{00000014-CCB5-4621-B045-172F38CA0ED9}"/>
            </c:ext>
          </c:extLst>
        </c:ser>
        <c:ser>
          <c:idx val="16"/>
          <c:order val="17"/>
          <c:tx>
            <c:strRef>
              <c:f>PlantData!$C$22</c:f>
              <c:strCache>
                <c:ptCount val="1"/>
                <c:pt idx="0">
                  <c:v>Wild Horse</c:v>
                </c:pt>
              </c:strCache>
            </c:strRef>
          </c:tx>
          <c:spPr>
            <a:ln w="12700" cap="rnd">
              <a:noFill/>
              <a:prstDash val="sysDot"/>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PlantData!$BB$22:$BP$22</c:f>
              <c:numCache>
                <c:formatCode>0.00</c:formatCode>
                <c:ptCount val="15"/>
                <c:pt idx="0">
                  <c:v>1.1499999999999999</c:v>
                </c:pt>
                <c:pt idx="1">
                  <c:v>1.1066117886697027</c:v>
                </c:pt>
                <c:pt idx="2">
                  <c:v>1.067349572758393</c:v>
                </c:pt>
                <c:pt idx="3">
                  <c:v>1.0262570576516028</c:v>
                </c:pt>
                <c:pt idx="4">
                  <c:v>1.1177190141996209</c:v>
                </c:pt>
                <c:pt idx="5">
                  <c:v>1.0337532260328532</c:v>
                </c:pt>
                <c:pt idx="6">
                  <c:v>0.68739198291568215</c:v>
                </c:pt>
                <c:pt idx="7">
                  <c:v>0.7009001089916379</c:v>
                </c:pt>
                <c:pt idx="8">
                  <c:v>0.56151689265538174</c:v>
                </c:pt>
                <c:pt idx="9">
                  <c:v>0.13782047719900598</c:v>
                </c:pt>
                <c:pt idx="10">
                  <c:v>0.70568750028372274</c:v>
                </c:pt>
                <c:pt idx="11">
                  <c:v>0.81473950362919945</c:v>
                </c:pt>
                <c:pt idx="12">
                  <c:v>0.93812418895159255</c:v>
                </c:pt>
                <c:pt idx="13">
                  <c:v>0.98576194921508731</c:v>
                </c:pt>
                <c:pt idx="14">
                  <c:v>1.0055911353605851</c:v>
                </c:pt>
              </c:numCache>
            </c:numRef>
          </c:yVal>
          <c:smooth val="0"/>
          <c:extLst>
            <c:ext xmlns:c16="http://schemas.microsoft.com/office/drawing/2014/chart" uri="{C3380CC4-5D6E-409C-BE32-E72D297353CC}">
              <c16:uniqueId val="{00000015-CCB5-4621-B045-172F38CA0ED9}"/>
            </c:ext>
          </c:extLst>
        </c:ser>
        <c:ser>
          <c:idx val="17"/>
          <c:order val="18"/>
          <c:tx>
            <c:strRef>
              <c:f>PlantData!$C$23</c:f>
              <c:strCache>
                <c:ptCount val="1"/>
                <c:pt idx="0">
                  <c:v>Aqua Ingrams Mill</c:v>
                </c:pt>
              </c:strCache>
            </c:strRef>
          </c:tx>
          <c:spPr>
            <a:ln w="12700" cap="rnd">
              <a:noFill/>
              <a:prstDash val="sysDot"/>
              <a:round/>
            </a:ln>
            <a:effectLst/>
          </c:spPr>
          <c:marker>
            <c:symbol val="circle"/>
            <c:size val="5"/>
            <c:spPr>
              <a:solidFill>
                <a:schemeClr val="accent6">
                  <a:lumMod val="80000"/>
                  <a:lumOff val="20000"/>
                </a:schemeClr>
              </a:solidFill>
              <a:ln w="9525">
                <a:solidFill>
                  <a:srgbClr val="C0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PlantData!$BB$23:$BO$23</c:f>
              <c:numCache>
                <c:formatCode>0.00</c:formatCode>
                <c:ptCount val="14"/>
                <c:pt idx="0">
                  <c:v>0.84932844202016089</c:v>
                </c:pt>
                <c:pt idx="1">
                  <c:v>0.81930292280576833</c:v>
                </c:pt>
                <c:pt idx="2">
                  <c:v>0</c:v>
                </c:pt>
                <c:pt idx="3">
                  <c:v>0.8458220254866855</c:v>
                </c:pt>
                <c:pt idx="4">
                  <c:v>0.80133405992445006</c:v>
                </c:pt>
                <c:pt idx="5">
                  <c:v>0.79963555004487974</c:v>
                </c:pt>
                <c:pt idx="6">
                  <c:v>0.68985081213419952</c:v>
                </c:pt>
                <c:pt idx="7">
                  <c:v>0.79098583719077264</c:v>
                </c:pt>
                <c:pt idx="8">
                  <c:v>0.7445894544052194</c:v>
                </c:pt>
                <c:pt idx="9">
                  <c:v>0.87359381960053983</c:v>
                </c:pt>
                <c:pt idx="10">
                  <c:v>0.72404305312341743</c:v>
                </c:pt>
                <c:pt idx="11">
                  <c:v>0.88174014799311551</c:v>
                </c:pt>
                <c:pt idx="12">
                  <c:v>0.53895009699678198</c:v>
                </c:pt>
                <c:pt idx="13">
                  <c:v>0.50921185953056891</c:v>
                </c:pt>
              </c:numCache>
            </c:numRef>
          </c:yVal>
          <c:smooth val="0"/>
          <c:extLst>
            <c:ext xmlns:c16="http://schemas.microsoft.com/office/drawing/2014/chart" uri="{C3380CC4-5D6E-409C-BE32-E72D297353CC}">
              <c16:uniqueId val="{00000016-CCB5-4621-B045-172F38CA0ED9}"/>
            </c:ext>
          </c:extLst>
        </c:ser>
        <c:ser>
          <c:idx val="18"/>
          <c:order val="19"/>
          <c:tx>
            <c:strRef>
              <c:f>PlantData!$C$24</c:f>
              <c:strCache>
                <c:ptCount val="1"/>
                <c:pt idx="0">
                  <c:v>Calpine Vineland Solar LLC</c:v>
                </c:pt>
              </c:strCache>
            </c:strRef>
          </c:tx>
          <c:spPr>
            <a:ln w="12700" cap="rnd">
              <a:noFill/>
              <a:prstDash val="sysDot"/>
              <a:round/>
            </a:ln>
            <a:effectLst/>
          </c:spPr>
          <c:marker>
            <c:symbol val="circle"/>
            <c:size val="5"/>
            <c:spPr>
              <a:solidFill>
                <a:schemeClr val="accent1">
                  <a:lumMod val="80000"/>
                </a:schemeClr>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PlantData!$BB$24:$BP$24</c:f>
              <c:numCache>
                <c:formatCode>0.00</c:formatCode>
                <c:ptCount val="15"/>
                <c:pt idx="0">
                  <c:v>1.1499999999999999</c:v>
                </c:pt>
                <c:pt idx="1">
                  <c:v>0.93329526659240214</c:v>
                </c:pt>
                <c:pt idx="2">
                  <c:v>1.1499999999999999</c:v>
                </c:pt>
                <c:pt idx="3">
                  <c:v>0.92210075402621572</c:v>
                </c:pt>
                <c:pt idx="4">
                  <c:v>0.95123112915668306</c:v>
                </c:pt>
                <c:pt idx="5">
                  <c:v>0.93624599191935165</c:v>
                </c:pt>
                <c:pt idx="6">
                  <c:v>0.97667202395458141</c:v>
                </c:pt>
                <c:pt idx="7">
                  <c:v>0.96021458000851179</c:v>
                </c:pt>
                <c:pt idx="8">
                  <c:v>0.89516547793193413</c:v>
                </c:pt>
                <c:pt idx="9">
                  <c:v>0.92230574854949232</c:v>
                </c:pt>
                <c:pt idx="10">
                  <c:v>0.88391789823457056</c:v>
                </c:pt>
                <c:pt idx="11">
                  <c:v>0.98091205450175101</c:v>
                </c:pt>
                <c:pt idx="12">
                  <c:v>0.98997137902044896</c:v>
                </c:pt>
                <c:pt idx="13">
                  <c:v>1.0178661451052344</c:v>
                </c:pt>
                <c:pt idx="14">
                  <c:v>0.97310165517117186</c:v>
                </c:pt>
              </c:numCache>
            </c:numRef>
          </c:yVal>
          <c:smooth val="0"/>
          <c:extLst>
            <c:ext xmlns:c16="http://schemas.microsoft.com/office/drawing/2014/chart" uri="{C3380CC4-5D6E-409C-BE32-E72D297353CC}">
              <c16:uniqueId val="{00000017-CCB5-4621-B045-172F38CA0ED9}"/>
            </c:ext>
          </c:extLst>
        </c:ser>
        <c:ser>
          <c:idx val="19"/>
          <c:order val="20"/>
          <c:tx>
            <c:strRef>
              <c:f>PlantData!$C$25</c:f>
              <c:strCache>
                <c:ptCount val="1"/>
                <c:pt idx="0">
                  <c:v>Chuckawalla SunE</c:v>
                </c:pt>
              </c:strCache>
            </c:strRef>
          </c:tx>
          <c:spPr>
            <a:ln w="12700" cap="rnd">
              <a:noFill/>
              <a:prstDash val="sysDot"/>
              <a:round/>
            </a:ln>
            <a:effectLst/>
          </c:spPr>
          <c:marker>
            <c:symbol val="circle"/>
            <c:size val="5"/>
            <c:spPr>
              <a:solidFill>
                <a:schemeClr val="accent2">
                  <a:lumMod val="80000"/>
                </a:schemeClr>
              </a:solidFill>
              <a:ln w="9525">
                <a:solidFill>
                  <a:schemeClr val="accent2">
                    <a:lumMod val="8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PlantData!$BB$25:$BQ$25</c:f>
              <c:numCache>
                <c:formatCode>0.00</c:formatCode>
                <c:ptCount val="16"/>
                <c:pt idx="0">
                  <c:v>0.9397279776459756</c:v>
                </c:pt>
                <c:pt idx="1">
                  <c:v>0.94626822730540161</c:v>
                </c:pt>
                <c:pt idx="2">
                  <c:v>0.97477608844883712</c:v>
                </c:pt>
                <c:pt idx="3">
                  <c:v>0.79604288422915137</c:v>
                </c:pt>
                <c:pt idx="4">
                  <c:v>0.95137766530490397</c:v>
                </c:pt>
                <c:pt idx="5">
                  <c:v>0.92972730721323993</c:v>
                </c:pt>
                <c:pt idx="6">
                  <c:v>0.88965998544847691</c:v>
                </c:pt>
                <c:pt idx="7">
                  <c:v>1.1499999999999999</c:v>
                </c:pt>
                <c:pt idx="8">
                  <c:v>0.83036789319248561</c:v>
                </c:pt>
                <c:pt idx="9">
                  <c:v>0.72336313579878453</c:v>
                </c:pt>
                <c:pt idx="10">
                  <c:v>0.85917960396383719</c:v>
                </c:pt>
                <c:pt idx="11">
                  <c:v>0.78990630259889538</c:v>
                </c:pt>
                <c:pt idx="12">
                  <c:v>0.71030981984560804</c:v>
                </c:pt>
                <c:pt idx="13">
                  <c:v>0.23361564604990759</c:v>
                </c:pt>
                <c:pt idx="14">
                  <c:v>0.55883804196497677</c:v>
                </c:pt>
                <c:pt idx="15">
                  <c:v>0.67719329310559118</c:v>
                </c:pt>
              </c:numCache>
            </c:numRef>
          </c:yVal>
          <c:smooth val="0"/>
          <c:extLst>
            <c:ext xmlns:c16="http://schemas.microsoft.com/office/drawing/2014/chart" uri="{C3380CC4-5D6E-409C-BE32-E72D297353CC}">
              <c16:uniqueId val="{00000018-CCB5-4621-B045-172F38CA0ED9}"/>
            </c:ext>
          </c:extLst>
        </c:ser>
        <c:ser>
          <c:idx val="20"/>
          <c:order val="21"/>
          <c:tx>
            <c:strRef>
              <c:f>PlantData!$C$26</c:f>
              <c:strCache>
                <c:ptCount val="1"/>
                <c:pt idx="0">
                  <c:v>DeSoto</c:v>
                </c:pt>
              </c:strCache>
            </c:strRef>
          </c:tx>
          <c:spPr>
            <a:ln w="12700" cap="rnd">
              <a:noFill/>
              <a:prstDash val="sysDot"/>
              <a:round/>
            </a:ln>
            <a:effectLst/>
          </c:spPr>
          <c:marker>
            <c:symbol val="circle"/>
            <c:size val="5"/>
            <c:spPr>
              <a:solidFill>
                <a:schemeClr val="accent3">
                  <a:lumMod val="80000"/>
                </a:schemeClr>
              </a:solidFill>
              <a:ln w="9525">
                <a:solidFill>
                  <a:srgbClr val="C0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PlantData!$BB$26:$BP$26</c:f>
              <c:numCache>
                <c:formatCode>0.00</c:formatCode>
                <c:ptCount val="15"/>
                <c:pt idx="0">
                  <c:v>1.1447120810616873</c:v>
                </c:pt>
                <c:pt idx="1">
                  <c:v>1.1181985147922018</c:v>
                </c:pt>
                <c:pt idx="2">
                  <c:v>1.1282179301930526</c:v>
                </c:pt>
                <c:pt idx="3">
                  <c:v>1.0855019565960997</c:v>
                </c:pt>
                <c:pt idx="4">
                  <c:v>1.0382776322405904</c:v>
                </c:pt>
                <c:pt idx="5">
                  <c:v>1.1010379623553797</c:v>
                </c:pt>
                <c:pt idx="6">
                  <c:v>1.0759187428988659</c:v>
                </c:pt>
                <c:pt idx="7">
                  <c:v>1.0713233879102675</c:v>
                </c:pt>
                <c:pt idx="8">
                  <c:v>1.0472650195377127</c:v>
                </c:pt>
                <c:pt idx="9">
                  <c:v>1.0272034140226431</c:v>
                </c:pt>
                <c:pt idx="10">
                  <c:v>0.91573508927047642</c:v>
                </c:pt>
                <c:pt idx="11">
                  <c:v>0.99192734090234791</c:v>
                </c:pt>
                <c:pt idx="12">
                  <c:v>0.85519917129471823</c:v>
                </c:pt>
                <c:pt idx="13">
                  <c:v>0.7663868075145468</c:v>
                </c:pt>
                <c:pt idx="14">
                  <c:v>0.6459741309634246</c:v>
                </c:pt>
              </c:numCache>
            </c:numRef>
          </c:yVal>
          <c:smooth val="0"/>
          <c:extLst>
            <c:ext xmlns:c16="http://schemas.microsoft.com/office/drawing/2014/chart" uri="{C3380CC4-5D6E-409C-BE32-E72D297353CC}">
              <c16:uniqueId val="{00000019-CCB5-4621-B045-172F38CA0ED9}"/>
            </c:ext>
          </c:extLst>
        </c:ser>
        <c:ser>
          <c:idx val="21"/>
          <c:order val="22"/>
          <c:tx>
            <c:strRef>
              <c:f>PlantData!$C$27</c:f>
              <c:strCache>
                <c:ptCount val="1"/>
                <c:pt idx="0">
                  <c:v>Exelon Chicago</c:v>
                </c:pt>
              </c:strCache>
            </c:strRef>
          </c:tx>
          <c:spPr>
            <a:ln w="12700" cap="rnd">
              <a:noFill/>
              <a:prstDash val="sysDot"/>
              <a:round/>
            </a:ln>
            <a:effectLst/>
          </c:spPr>
          <c:marker>
            <c:symbol val="circle"/>
            <c:size val="5"/>
            <c:spPr>
              <a:solidFill>
                <a:schemeClr val="accent4">
                  <a:lumMod val="80000"/>
                </a:schemeClr>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PlantData!$BB$27:$BQ$27</c:f>
              <c:numCache>
                <c:formatCode>0.00</c:formatCode>
                <c:ptCount val="16"/>
                <c:pt idx="0">
                  <c:v>0.97024285279653288</c:v>
                </c:pt>
                <c:pt idx="1">
                  <c:v>0.96939664714700013</c:v>
                </c:pt>
                <c:pt idx="2">
                  <c:v>1.0447988369508445</c:v>
                </c:pt>
                <c:pt idx="3">
                  <c:v>0.99524877547808144</c:v>
                </c:pt>
                <c:pt idx="4">
                  <c:v>1.0166257693962071</c:v>
                </c:pt>
                <c:pt idx="5">
                  <c:v>0.99353071674133187</c:v>
                </c:pt>
                <c:pt idx="6">
                  <c:v>0.99682684749574446</c:v>
                </c:pt>
                <c:pt idx="7">
                  <c:v>1.0178915475775578</c:v>
                </c:pt>
                <c:pt idx="8">
                  <c:v>0.97823933271607333</c:v>
                </c:pt>
                <c:pt idx="9">
                  <c:v>1.0111406926833415</c:v>
                </c:pt>
                <c:pt idx="10">
                  <c:v>0.99711039884967956</c:v>
                </c:pt>
                <c:pt idx="11">
                  <c:v>0.95500841508594458</c:v>
                </c:pt>
                <c:pt idx="12">
                  <c:v>0.98464764218151402</c:v>
                </c:pt>
                <c:pt idx="13">
                  <c:v>0.92143600479995114</c:v>
                </c:pt>
                <c:pt idx="14">
                  <c:v>0.85896221294256359</c:v>
                </c:pt>
                <c:pt idx="15">
                  <c:v>0.95135165888600792</c:v>
                </c:pt>
              </c:numCache>
            </c:numRef>
          </c:yVal>
          <c:smooth val="0"/>
          <c:extLst>
            <c:ext xmlns:c16="http://schemas.microsoft.com/office/drawing/2014/chart" uri="{C3380CC4-5D6E-409C-BE32-E72D297353CC}">
              <c16:uniqueId val="{0000001A-CCB5-4621-B045-172F38CA0ED9}"/>
            </c:ext>
          </c:extLst>
        </c:ser>
        <c:ser>
          <c:idx val="22"/>
          <c:order val="23"/>
          <c:tx>
            <c:strRef>
              <c:f>PlantData!$C$28</c:f>
              <c:strCache>
                <c:ptCount val="1"/>
                <c:pt idx="0">
                  <c:v>Hall's Warehouse</c:v>
                </c:pt>
              </c:strCache>
            </c:strRef>
          </c:tx>
          <c:spPr>
            <a:ln w="12700" cap="rnd">
              <a:noFill/>
              <a:prstDash val="sysDot"/>
              <a:round/>
            </a:ln>
            <a:effectLst/>
          </c:spPr>
          <c:marker>
            <c:symbol val="circle"/>
            <c:size val="5"/>
            <c:spPr>
              <a:solidFill>
                <a:schemeClr val="accent5">
                  <a:lumMod val="80000"/>
                </a:schemeClr>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PlantData!$BB$28:$BQ$28</c:f>
              <c:numCache>
                <c:formatCode>0.00</c:formatCode>
                <c:ptCount val="16"/>
                <c:pt idx="0">
                  <c:v>0.87523150448372389</c:v>
                </c:pt>
                <c:pt idx="1">
                  <c:v>0.97741851847245964</c:v>
                </c:pt>
                <c:pt idx="2">
                  <c:v>0.90625746260411122</c:v>
                </c:pt>
                <c:pt idx="3">
                  <c:v>0.96874635100024997</c:v>
                </c:pt>
                <c:pt idx="4">
                  <c:v>0.8920026258840611</c:v>
                </c:pt>
                <c:pt idx="5">
                  <c:v>0.61396515005826247</c:v>
                </c:pt>
                <c:pt idx="6">
                  <c:v>0.72696250493707582</c:v>
                </c:pt>
                <c:pt idx="7">
                  <c:v>0.70542194206335551</c:v>
                </c:pt>
                <c:pt idx="8">
                  <c:v>0.86770521616109353</c:v>
                </c:pt>
                <c:pt idx="9">
                  <c:v>0.80648934697814678</c:v>
                </c:pt>
                <c:pt idx="10">
                  <c:v>0.76578518395678297</c:v>
                </c:pt>
                <c:pt idx="11">
                  <c:v>0.71575407310762018</c:v>
                </c:pt>
                <c:pt idx="12">
                  <c:v>0.67463979516376649</c:v>
                </c:pt>
                <c:pt idx="13">
                  <c:v>0.85228064501043443</c:v>
                </c:pt>
                <c:pt idx="14">
                  <c:v>0.79986066721812488</c:v>
                </c:pt>
                <c:pt idx="15">
                  <c:v>0.72016357369500106</c:v>
                </c:pt>
              </c:numCache>
            </c:numRef>
          </c:yVal>
          <c:smooth val="0"/>
          <c:extLst>
            <c:ext xmlns:c16="http://schemas.microsoft.com/office/drawing/2014/chart" uri="{C3380CC4-5D6E-409C-BE32-E72D297353CC}">
              <c16:uniqueId val="{0000001B-CCB5-4621-B045-172F38CA0ED9}"/>
            </c:ext>
          </c:extLst>
        </c:ser>
        <c:ser>
          <c:idx val="23"/>
          <c:order val="24"/>
          <c:tx>
            <c:strRef>
              <c:f>PlantData!$C$29</c:f>
              <c:strCache>
                <c:ptCount val="1"/>
                <c:pt idx="0">
                  <c:v>Kohl's San Bernardino SunE</c:v>
                </c:pt>
              </c:strCache>
            </c:strRef>
          </c:tx>
          <c:spPr>
            <a:ln w="12700" cap="rnd">
              <a:noFill/>
              <a:prstDash val="sysDot"/>
              <a:round/>
            </a:ln>
            <a:effectLst/>
          </c:spPr>
          <c:marker>
            <c:symbol val="circle"/>
            <c:size val="5"/>
            <c:spPr>
              <a:solidFill>
                <a:srgbClr val="92D050"/>
              </a:solidFill>
              <a:ln w="9525">
                <a:solidFill>
                  <a:schemeClr val="bg2">
                    <a:lumMod val="1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PlantData!$BB$29:$BQ$29</c:f>
              <c:numCache>
                <c:formatCode>0.00</c:formatCode>
                <c:ptCount val="16"/>
                <c:pt idx="0">
                  <c:v>0.90504472924699808</c:v>
                </c:pt>
                <c:pt idx="1">
                  <c:v>0.89271160561876106</c:v>
                </c:pt>
                <c:pt idx="2">
                  <c:v>1.1499999999999999</c:v>
                </c:pt>
                <c:pt idx="3">
                  <c:v>0.91524676122308857</c:v>
                </c:pt>
                <c:pt idx="4">
                  <c:v>0.88809240353828423</c:v>
                </c:pt>
                <c:pt idx="5">
                  <c:v>0.81555836486441147</c:v>
                </c:pt>
                <c:pt idx="6">
                  <c:v>0.97646052861196742</c:v>
                </c:pt>
                <c:pt idx="7">
                  <c:v>0.43951750099699755</c:v>
                </c:pt>
                <c:pt idx="8">
                  <c:v>0</c:v>
                </c:pt>
                <c:pt idx="9">
                  <c:v>0.52405250641852774</c:v>
                </c:pt>
                <c:pt idx="10">
                  <c:v>0.71055854100933258</c:v>
                </c:pt>
                <c:pt idx="11">
                  <c:v>0.7595452975172492</c:v>
                </c:pt>
                <c:pt idx="12">
                  <c:v>0.76336210805753679</c:v>
                </c:pt>
                <c:pt idx="13">
                  <c:v>0.85736364827681688</c:v>
                </c:pt>
                <c:pt idx="14">
                  <c:v>0.55590033008979767</c:v>
                </c:pt>
                <c:pt idx="15">
                  <c:v>0.50277115951997264</c:v>
                </c:pt>
              </c:numCache>
            </c:numRef>
          </c:yVal>
          <c:smooth val="0"/>
          <c:extLst>
            <c:ext xmlns:c16="http://schemas.microsoft.com/office/drawing/2014/chart" uri="{C3380CC4-5D6E-409C-BE32-E72D297353CC}">
              <c16:uniqueId val="{0000001C-CCB5-4621-B045-172F38CA0ED9}"/>
            </c:ext>
          </c:extLst>
        </c:ser>
        <c:ser>
          <c:idx val="24"/>
          <c:order val="25"/>
          <c:tx>
            <c:strRef>
              <c:f>PlantData!$C$30</c:f>
              <c:strCache>
                <c:ptCount val="1"/>
                <c:pt idx="0">
                  <c:v>Mariani Packing SunE</c:v>
                </c:pt>
              </c:strCache>
            </c:strRef>
          </c:tx>
          <c:spPr>
            <a:ln w="12700" cap="rnd">
              <a:noFill/>
              <a:prstDash val="sysDot"/>
              <a:round/>
            </a:ln>
            <a:effectLst/>
          </c:spPr>
          <c:marker>
            <c:symbol val="circle"/>
            <c:size val="5"/>
            <c:spPr>
              <a:solidFill>
                <a:srgbClr val="002060"/>
              </a:solidFill>
              <a:ln w="9525">
                <a:solidFill>
                  <a:schemeClr val="accent1">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PlantData!$BB$30:$BQ$30</c:f>
              <c:numCache>
                <c:formatCode>0.00</c:formatCode>
                <c:ptCount val="16"/>
                <c:pt idx="0">
                  <c:v>0.97508835019461948</c:v>
                </c:pt>
                <c:pt idx="1">
                  <c:v>0.5557849429614552</c:v>
                </c:pt>
                <c:pt idx="2">
                  <c:v>0.97997842278659186</c:v>
                </c:pt>
                <c:pt idx="3">
                  <c:v>0.9958132419172786</c:v>
                </c:pt>
                <c:pt idx="4">
                  <c:v>1.0676049391313194</c:v>
                </c:pt>
                <c:pt idx="5">
                  <c:v>0.99733092812824931</c:v>
                </c:pt>
                <c:pt idx="6">
                  <c:v>1.0119079402728264</c:v>
                </c:pt>
                <c:pt idx="7">
                  <c:v>0.94261581175943177</c:v>
                </c:pt>
                <c:pt idx="8">
                  <c:v>0.85887197990040387</c:v>
                </c:pt>
                <c:pt idx="9">
                  <c:v>0.70833537976558925</c:v>
                </c:pt>
                <c:pt idx="10">
                  <c:v>0.90039803688650888</c:v>
                </c:pt>
                <c:pt idx="11">
                  <c:v>0.91214964220902661</c:v>
                </c:pt>
                <c:pt idx="12">
                  <c:v>0.81245294935306722</c:v>
                </c:pt>
                <c:pt idx="13">
                  <c:v>0.2841710836413367</c:v>
                </c:pt>
                <c:pt idx="14">
                  <c:v>0.46691519159915357</c:v>
                </c:pt>
                <c:pt idx="15">
                  <c:v>0.65991544148772974</c:v>
                </c:pt>
              </c:numCache>
            </c:numRef>
          </c:yVal>
          <c:smooth val="0"/>
          <c:extLst>
            <c:ext xmlns:c16="http://schemas.microsoft.com/office/drawing/2014/chart" uri="{C3380CC4-5D6E-409C-BE32-E72D297353CC}">
              <c16:uniqueId val="{0000001D-CCB5-4621-B045-172F38CA0ED9}"/>
            </c:ext>
          </c:extLst>
        </c:ser>
        <c:ser>
          <c:idx val="25"/>
          <c:order val="26"/>
          <c:tx>
            <c:strRef>
              <c:f>PlantData!$C$31</c:f>
              <c:strCache>
                <c:ptCount val="1"/>
                <c:pt idx="0">
                  <c:v>PPL Merck</c:v>
                </c:pt>
              </c:strCache>
            </c:strRef>
          </c:tx>
          <c:spPr>
            <a:ln w="12700" cap="rnd">
              <a:noFill/>
              <a:prstDash val="sysDot"/>
              <a:round/>
            </a:ln>
            <a:effectLst/>
          </c:spPr>
          <c:marker>
            <c:symbol val="circle"/>
            <c:size val="5"/>
            <c:spPr>
              <a:solidFill>
                <a:srgbClr val="00B050"/>
              </a:solidFill>
              <a:ln w="9525">
                <a:solidFill>
                  <a:schemeClr val="accent2">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PlantData!$BB$31:$BQ$31</c:f>
              <c:numCache>
                <c:formatCode>0.00</c:formatCode>
                <c:ptCount val="16"/>
                <c:pt idx="0">
                  <c:v>0.77053649099145882</c:v>
                </c:pt>
                <c:pt idx="1">
                  <c:v>0.70760804400333988</c:v>
                </c:pt>
                <c:pt idx="2">
                  <c:v>0.78069775420422216</c:v>
                </c:pt>
                <c:pt idx="3">
                  <c:v>0.75329385861815168</c:v>
                </c:pt>
                <c:pt idx="4">
                  <c:v>0.3250161100658634</c:v>
                </c:pt>
                <c:pt idx="5">
                  <c:v>0.77451434686815401</c:v>
                </c:pt>
                <c:pt idx="6">
                  <c:v>0.81167579029924442</c:v>
                </c:pt>
                <c:pt idx="7">
                  <c:v>0.71691992346076272</c:v>
                </c:pt>
                <c:pt idx="8">
                  <c:v>0.67654002193256002</c:v>
                </c:pt>
                <c:pt idx="9">
                  <c:v>0.745003346094123</c:v>
                </c:pt>
                <c:pt idx="10">
                  <c:v>0.72828132794058653</c:v>
                </c:pt>
                <c:pt idx="11">
                  <c:v>0.63160641581946642</c:v>
                </c:pt>
                <c:pt idx="12">
                  <c:v>0.5687308959765931</c:v>
                </c:pt>
                <c:pt idx="13">
                  <c:v>0.35014883737822605</c:v>
                </c:pt>
                <c:pt idx="14">
                  <c:v>0</c:v>
                </c:pt>
              </c:numCache>
            </c:numRef>
          </c:yVal>
          <c:smooth val="0"/>
          <c:extLst>
            <c:ext xmlns:c16="http://schemas.microsoft.com/office/drawing/2014/chart" uri="{C3380CC4-5D6E-409C-BE32-E72D297353CC}">
              <c16:uniqueId val="{0000001E-CCB5-4621-B045-172F38CA0ED9}"/>
            </c:ext>
          </c:extLst>
        </c:ser>
        <c:ser>
          <c:idx val="26"/>
          <c:order val="27"/>
          <c:tx>
            <c:strRef>
              <c:f>PlantData!$C$32</c:f>
              <c:strCache>
                <c:ptCount val="1"/>
                <c:pt idx="0">
                  <c:v>PSEG Hackettstown</c:v>
                </c:pt>
              </c:strCache>
            </c:strRef>
          </c:tx>
          <c:spPr>
            <a:ln w="12700" cap="rnd">
              <a:noFill/>
              <a:prstDash val="sysDot"/>
              <a:round/>
            </a:ln>
            <a:effectLst/>
          </c:spPr>
          <c:marker>
            <c:symbol val="circle"/>
            <c:size val="5"/>
            <c:spPr>
              <a:solidFill>
                <a:srgbClr val="7030A0"/>
              </a:solidFill>
              <a:ln w="9525">
                <a:solidFill>
                  <a:schemeClr val="accent3">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PlantData!$BB$32:$BP$32</c:f>
              <c:numCache>
                <c:formatCode>0.00</c:formatCode>
                <c:ptCount val="15"/>
                <c:pt idx="0">
                  <c:v>0.94239931350925032</c:v>
                </c:pt>
                <c:pt idx="1">
                  <c:v>0.83253993882836619</c:v>
                </c:pt>
                <c:pt idx="2">
                  <c:v>0.95050685950053893</c:v>
                </c:pt>
                <c:pt idx="3">
                  <c:v>0.92599721924712286</c:v>
                </c:pt>
                <c:pt idx="4">
                  <c:v>0.87949272730757655</c:v>
                </c:pt>
                <c:pt idx="5">
                  <c:v>0.87017819342810521</c:v>
                </c:pt>
                <c:pt idx="6">
                  <c:v>0.93011731759935268</c:v>
                </c:pt>
                <c:pt idx="7">
                  <c:v>0.85653629669628262</c:v>
                </c:pt>
                <c:pt idx="8">
                  <c:v>0.77468495089268785</c:v>
                </c:pt>
                <c:pt idx="9">
                  <c:v>0.8590584290091049</c:v>
                </c:pt>
                <c:pt idx="10">
                  <c:v>0.86012546122485611</c:v>
                </c:pt>
                <c:pt idx="11">
                  <c:v>0.8132776217801444</c:v>
                </c:pt>
                <c:pt idx="12">
                  <c:v>0.87353317419917342</c:v>
                </c:pt>
                <c:pt idx="13">
                  <c:v>0.83760065590797883</c:v>
                </c:pt>
                <c:pt idx="14">
                  <c:v>0.64876450306409528</c:v>
                </c:pt>
              </c:numCache>
            </c:numRef>
          </c:yVal>
          <c:smooth val="0"/>
          <c:extLst>
            <c:ext xmlns:c16="http://schemas.microsoft.com/office/drawing/2014/chart" uri="{C3380CC4-5D6E-409C-BE32-E72D297353CC}">
              <c16:uniqueId val="{0000001F-CCB5-4621-B045-172F38CA0ED9}"/>
            </c:ext>
          </c:extLst>
        </c:ser>
        <c:ser>
          <c:idx val="27"/>
          <c:order val="28"/>
          <c:tx>
            <c:strRef>
              <c:f>PlantData!$C$33</c:f>
              <c:strCache>
                <c:ptCount val="1"/>
                <c:pt idx="0">
                  <c:v>RV CSU</c:v>
                </c:pt>
              </c:strCache>
            </c:strRef>
          </c:tx>
          <c:spPr>
            <a:ln w="12700" cap="rnd">
              <a:noFill/>
              <a:prstDash val="sysDot"/>
              <a:round/>
            </a:ln>
            <a:effectLst/>
          </c:spPr>
          <c:marker>
            <c:symbol val="circle"/>
            <c:size val="5"/>
            <c:spPr>
              <a:solidFill>
                <a:srgbClr val="002060"/>
              </a:solidFill>
              <a:ln w="9525">
                <a:solidFill>
                  <a:schemeClr val="accent4">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PlantData!$BB$33:$BP$33</c:f>
              <c:numCache>
                <c:formatCode>0.00</c:formatCode>
                <c:ptCount val="15"/>
                <c:pt idx="0">
                  <c:v>0.96111813176931404</c:v>
                </c:pt>
                <c:pt idx="1">
                  <c:v>0.95533919508368215</c:v>
                </c:pt>
                <c:pt idx="2">
                  <c:v>0.98763659521880631</c:v>
                </c:pt>
                <c:pt idx="3">
                  <c:v>0.95565909696109363</c:v>
                </c:pt>
                <c:pt idx="4">
                  <c:v>0.83037825720399105</c:v>
                </c:pt>
                <c:pt idx="5">
                  <c:v>0.85192562378346937</c:v>
                </c:pt>
                <c:pt idx="6">
                  <c:v>1.1499999999999999</c:v>
                </c:pt>
                <c:pt idx="7">
                  <c:v>0.9637933234143049</c:v>
                </c:pt>
                <c:pt idx="8">
                  <c:v>0.9804914601958773</c:v>
                </c:pt>
                <c:pt idx="9">
                  <c:v>0.87382883773304831</c:v>
                </c:pt>
                <c:pt idx="10">
                  <c:v>0.87559141083658365</c:v>
                </c:pt>
                <c:pt idx="11">
                  <c:v>0.88439425977473307</c:v>
                </c:pt>
                <c:pt idx="12">
                  <c:v>0.67555262368401536</c:v>
                </c:pt>
                <c:pt idx="13">
                  <c:v>0.74535967871743625</c:v>
                </c:pt>
                <c:pt idx="14">
                  <c:v>0.52353931771288242</c:v>
                </c:pt>
              </c:numCache>
            </c:numRef>
          </c:yVal>
          <c:smooth val="0"/>
          <c:extLst>
            <c:ext xmlns:c16="http://schemas.microsoft.com/office/drawing/2014/chart" uri="{C3380CC4-5D6E-409C-BE32-E72D297353CC}">
              <c16:uniqueId val="{00000020-CCB5-4621-B045-172F38CA0ED9}"/>
            </c:ext>
          </c:extLst>
        </c:ser>
        <c:ser>
          <c:idx val="29"/>
          <c:order val="29"/>
          <c:tx>
            <c:strRef>
              <c:f>PlantData!$C$34</c:f>
              <c:strCache>
                <c:ptCount val="1"/>
                <c:pt idx="0">
                  <c:v>Solar Blythe (NRG)</c:v>
                </c:pt>
              </c:strCache>
            </c:strRef>
          </c:tx>
          <c:spPr>
            <a:ln w="12700" cap="rnd">
              <a:noFill/>
              <a:prstDash val="sysDot"/>
              <a:round/>
            </a:ln>
            <a:effectLst/>
          </c:spPr>
          <c:marker>
            <c:symbol val="circle"/>
            <c:size val="5"/>
            <c:spPr>
              <a:solidFill>
                <a:srgbClr val="C00000"/>
              </a:solidFill>
              <a:ln w="12700">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PlantData!$BB$34:$BP$34</c:f>
              <c:numCache>
                <c:formatCode>0.00</c:formatCode>
                <c:ptCount val="15"/>
                <c:pt idx="0">
                  <c:v>1.0131452752749142</c:v>
                </c:pt>
                <c:pt idx="1">
                  <c:v>1.0472384788191529</c:v>
                </c:pt>
                <c:pt idx="2">
                  <c:v>0.97928263153905348</c:v>
                </c:pt>
                <c:pt idx="3">
                  <c:v>0.98247075160357589</c:v>
                </c:pt>
                <c:pt idx="4">
                  <c:v>0.96907945847900556</c:v>
                </c:pt>
                <c:pt idx="5">
                  <c:v>0.95661232520871764</c:v>
                </c:pt>
                <c:pt idx="6">
                  <c:v>0.95224669192526179</c:v>
                </c:pt>
                <c:pt idx="7">
                  <c:v>0.92626034103322674</c:v>
                </c:pt>
                <c:pt idx="8">
                  <c:v>0.89459468042439505</c:v>
                </c:pt>
                <c:pt idx="9">
                  <c:v>0.92096626890772693</c:v>
                </c:pt>
                <c:pt idx="10">
                  <c:v>0.8880106697400677</c:v>
                </c:pt>
                <c:pt idx="11">
                  <c:v>0.88596647035702369</c:v>
                </c:pt>
                <c:pt idx="12">
                  <c:v>0.90671276103016496</c:v>
                </c:pt>
                <c:pt idx="13">
                  <c:v>0.87892906329338694</c:v>
                </c:pt>
                <c:pt idx="14">
                  <c:v>0.91055115104084594</c:v>
                </c:pt>
              </c:numCache>
            </c:numRef>
          </c:yVal>
          <c:smooth val="0"/>
          <c:extLst>
            <c:ext xmlns:c16="http://schemas.microsoft.com/office/drawing/2014/chart" uri="{C3380CC4-5D6E-409C-BE32-E72D297353CC}">
              <c16:uniqueId val="{00000021-CCB5-4621-B045-172F38CA0ED9}"/>
            </c:ext>
          </c:extLst>
        </c:ser>
        <c:ser>
          <c:idx val="30"/>
          <c:order val="30"/>
          <c:tx>
            <c:strRef>
              <c:f>PlantData!$C$35</c:f>
              <c:strCache>
                <c:ptCount val="1"/>
                <c:pt idx="0">
                  <c:v>Solar PV #02 (SCE)</c:v>
                </c:pt>
              </c:strCache>
            </c:strRef>
          </c:tx>
          <c:spPr>
            <a:ln w="12700" cap="rnd">
              <a:noFill/>
              <a:prstDash val="sysDot"/>
              <a:round/>
            </a:ln>
            <a:effectLst/>
          </c:spPr>
          <c:marker>
            <c:symbol val="circle"/>
            <c:size val="5"/>
            <c:spPr>
              <a:solidFill>
                <a:srgbClr val="FFC000"/>
              </a:solidFill>
              <a:ln w="9525">
                <a:solidFill>
                  <a:schemeClr val="accent1">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PlantData!$BB$35:$BO$35</c:f>
              <c:numCache>
                <c:formatCode>0.00</c:formatCode>
                <c:ptCount val="14"/>
                <c:pt idx="0">
                  <c:v>0.79023088965567567</c:v>
                </c:pt>
                <c:pt idx="1">
                  <c:v>0.73328141568380012</c:v>
                </c:pt>
                <c:pt idx="2">
                  <c:v>0.49823861357973603</c:v>
                </c:pt>
                <c:pt idx="3">
                  <c:v>0.53687254934687978</c:v>
                </c:pt>
                <c:pt idx="4">
                  <c:v>0.44879094371265577</c:v>
                </c:pt>
                <c:pt idx="5">
                  <c:v>0.40086657488453264</c:v>
                </c:pt>
                <c:pt idx="6">
                  <c:v>0.51520626006446857</c:v>
                </c:pt>
                <c:pt idx="7">
                  <c:v>0.33406144273915944</c:v>
                </c:pt>
                <c:pt idx="8">
                  <c:v>0.21128474545103654</c:v>
                </c:pt>
                <c:pt idx="9">
                  <c:v>0.38455074480108808</c:v>
                </c:pt>
                <c:pt idx="10">
                  <c:v>0.4221495339730203</c:v>
                </c:pt>
                <c:pt idx="11">
                  <c:v>0.69928304323263712</c:v>
                </c:pt>
                <c:pt idx="12">
                  <c:v>0.4193158740721864</c:v>
                </c:pt>
                <c:pt idx="13">
                  <c:v>0</c:v>
                </c:pt>
              </c:numCache>
            </c:numRef>
          </c:yVal>
          <c:smooth val="0"/>
          <c:extLst>
            <c:ext xmlns:c16="http://schemas.microsoft.com/office/drawing/2014/chart" uri="{C3380CC4-5D6E-409C-BE32-E72D297353CC}">
              <c16:uniqueId val="{00000022-CCB5-4621-B045-172F38CA0ED9}"/>
            </c:ext>
          </c:extLst>
        </c:ser>
        <c:ser>
          <c:idx val="31"/>
          <c:order val="31"/>
          <c:tx>
            <c:strRef>
              <c:f>PlantData!$C$36</c:f>
              <c:strCache>
                <c:ptCount val="1"/>
                <c:pt idx="0">
                  <c:v>SunE Anheuser</c:v>
                </c:pt>
              </c:strCache>
            </c:strRef>
          </c:tx>
          <c:spPr>
            <a:ln w="12700" cap="rnd">
              <a:noFill/>
              <a:prstDash val="sysDot"/>
              <a:round/>
            </a:ln>
            <a:effectLst/>
          </c:spPr>
          <c:marker>
            <c:symbol val="circle"/>
            <c:size val="5"/>
            <c:spPr>
              <a:solidFill>
                <a:srgbClr val="FFFF00"/>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PlantData!$BB$36:$BQ$36</c:f>
              <c:numCache>
                <c:formatCode>0.00</c:formatCode>
                <c:ptCount val="16"/>
                <c:pt idx="0">
                  <c:v>0.98831913316945474</c:v>
                </c:pt>
                <c:pt idx="1">
                  <c:v>0.93297733026723084</c:v>
                </c:pt>
                <c:pt idx="2">
                  <c:v>0.98425493151308596</c:v>
                </c:pt>
                <c:pt idx="3">
                  <c:v>0.97419926758449593</c:v>
                </c:pt>
                <c:pt idx="4">
                  <c:v>1.0055938056842659</c:v>
                </c:pt>
                <c:pt idx="5">
                  <c:v>0.96013764765937837</c:v>
                </c:pt>
                <c:pt idx="6">
                  <c:v>0.94834904601439651</c:v>
                </c:pt>
                <c:pt idx="7">
                  <c:v>1.1499999999999999</c:v>
                </c:pt>
                <c:pt idx="8">
                  <c:v>0.75886517742532233</c:v>
                </c:pt>
                <c:pt idx="9">
                  <c:v>0.79594035067575142</c:v>
                </c:pt>
                <c:pt idx="10">
                  <c:v>0.74485294913001665</c:v>
                </c:pt>
                <c:pt idx="11">
                  <c:v>0.6530103550619234</c:v>
                </c:pt>
                <c:pt idx="12">
                  <c:v>0.80847542320680921</c:v>
                </c:pt>
                <c:pt idx="13">
                  <c:v>0.79580938790383526</c:v>
                </c:pt>
                <c:pt idx="14">
                  <c:v>0.35883297132157171</c:v>
                </c:pt>
                <c:pt idx="15">
                  <c:v>0.57305905290670989</c:v>
                </c:pt>
              </c:numCache>
            </c:numRef>
          </c:yVal>
          <c:smooth val="0"/>
          <c:extLst>
            <c:ext xmlns:c16="http://schemas.microsoft.com/office/drawing/2014/chart" uri="{C3380CC4-5D6E-409C-BE32-E72D297353CC}">
              <c16:uniqueId val="{00000023-CCB5-4621-B045-172F38CA0ED9}"/>
            </c:ext>
          </c:extLst>
        </c:ser>
        <c:ser>
          <c:idx val="32"/>
          <c:order val="32"/>
          <c:tx>
            <c:strRef>
              <c:f>PlantData!$C$37</c:f>
              <c:strCache>
                <c:ptCount val="1"/>
                <c:pt idx="0">
                  <c:v>SunE Ironwood</c:v>
                </c:pt>
              </c:strCache>
            </c:strRef>
          </c:tx>
          <c:spPr>
            <a:ln w="12700" cap="rnd">
              <a:noFill/>
              <a:prstDash val="sysDot"/>
              <a:round/>
            </a:ln>
            <a:effectLst/>
          </c:spPr>
          <c:marker>
            <c:symbol val="circle"/>
            <c:size val="5"/>
            <c:spPr>
              <a:solidFill>
                <a:schemeClr val="accent4">
                  <a:lumMod val="75000"/>
                </a:schemeClr>
              </a:solidFill>
              <a:ln w="9525">
                <a:solidFill>
                  <a:schemeClr val="accent3">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PlantData!$BB$37:$BQ$37</c:f>
              <c:numCache>
                <c:formatCode>0.00</c:formatCode>
                <c:ptCount val="16"/>
                <c:pt idx="0">
                  <c:v>0.9656169098269326</c:v>
                </c:pt>
                <c:pt idx="1">
                  <c:v>0.98439763565594796</c:v>
                </c:pt>
                <c:pt idx="2">
                  <c:v>1.0131794222687542</c:v>
                </c:pt>
                <c:pt idx="3">
                  <c:v>0.93081660194696814</c:v>
                </c:pt>
                <c:pt idx="4">
                  <c:v>0.86594345091956093</c:v>
                </c:pt>
                <c:pt idx="5">
                  <c:v>0.88028065726143223</c:v>
                </c:pt>
                <c:pt idx="6">
                  <c:v>0.8152247924334346</c:v>
                </c:pt>
                <c:pt idx="7">
                  <c:v>1.1499999999999999</c:v>
                </c:pt>
                <c:pt idx="8">
                  <c:v>0.63434402927210198</c:v>
                </c:pt>
                <c:pt idx="9">
                  <c:v>0.86793650170811398</c:v>
                </c:pt>
                <c:pt idx="10">
                  <c:v>0.70847137110967795</c:v>
                </c:pt>
                <c:pt idx="11">
                  <c:v>0.79316908483707849</c:v>
                </c:pt>
                <c:pt idx="12">
                  <c:v>0.68060477244317452</c:v>
                </c:pt>
                <c:pt idx="13">
                  <c:v>0.16990682711532482</c:v>
                </c:pt>
                <c:pt idx="14">
                  <c:v>0.50304072727966109</c:v>
                </c:pt>
                <c:pt idx="15">
                  <c:v>0.40219352703657463</c:v>
                </c:pt>
              </c:numCache>
            </c:numRef>
          </c:yVal>
          <c:smooth val="0"/>
          <c:extLst>
            <c:ext xmlns:c16="http://schemas.microsoft.com/office/drawing/2014/chart" uri="{C3380CC4-5D6E-409C-BE32-E72D297353CC}">
              <c16:uniqueId val="{00000024-CCB5-4621-B045-172F38CA0ED9}"/>
            </c:ext>
          </c:extLst>
        </c:ser>
        <c:ser>
          <c:idx val="33"/>
          <c:order val="33"/>
          <c:tx>
            <c:strRef>
              <c:f>PlantData!$C$38</c:f>
              <c:strCache>
                <c:ptCount val="1"/>
                <c:pt idx="0">
                  <c:v>SunE LV Sutton</c:v>
                </c:pt>
              </c:strCache>
            </c:strRef>
          </c:tx>
          <c:spPr>
            <a:ln w="12700" cap="rnd">
              <a:noFill/>
              <a:prstDash val="sysDot"/>
              <a:round/>
            </a:ln>
            <a:effectLst/>
          </c:spPr>
          <c:marker>
            <c:symbol val="circle"/>
            <c:size val="5"/>
            <c:spPr>
              <a:solidFill>
                <a:srgbClr val="00B0F0"/>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PlantData!$BB$38:$BQ$38</c:f>
              <c:numCache>
                <c:formatCode>0.00</c:formatCode>
                <c:ptCount val="16"/>
                <c:pt idx="0">
                  <c:v>0.73858934353616212</c:v>
                </c:pt>
                <c:pt idx="1">
                  <c:v>1.012182397477694</c:v>
                </c:pt>
                <c:pt idx="2">
                  <c:v>0.99487763332364265</c:v>
                </c:pt>
                <c:pt idx="3">
                  <c:v>0.95384687434543236</c:v>
                </c:pt>
                <c:pt idx="4">
                  <c:v>0.86508913981347091</c:v>
                </c:pt>
                <c:pt idx="5">
                  <c:v>0.99187031320707153</c:v>
                </c:pt>
                <c:pt idx="6">
                  <c:v>0.94649266173392566</c:v>
                </c:pt>
                <c:pt idx="7">
                  <c:v>0.63451380692185755</c:v>
                </c:pt>
                <c:pt idx="8">
                  <c:v>0.79660347189425884</c:v>
                </c:pt>
                <c:pt idx="9">
                  <c:v>0.49332961694120786</c:v>
                </c:pt>
                <c:pt idx="10">
                  <c:v>0.91957674591970195</c:v>
                </c:pt>
                <c:pt idx="11">
                  <c:v>0.77300409598418784</c:v>
                </c:pt>
                <c:pt idx="12">
                  <c:v>0.71161277991816496</c:v>
                </c:pt>
                <c:pt idx="13">
                  <c:v>0.17960378470749772</c:v>
                </c:pt>
                <c:pt idx="14">
                  <c:v>0.62312509784775627</c:v>
                </c:pt>
                <c:pt idx="15">
                  <c:v>0.60941861064662661</c:v>
                </c:pt>
              </c:numCache>
            </c:numRef>
          </c:yVal>
          <c:smooth val="0"/>
          <c:extLst>
            <c:ext xmlns:c16="http://schemas.microsoft.com/office/drawing/2014/chart" uri="{C3380CC4-5D6E-409C-BE32-E72D297353CC}">
              <c16:uniqueId val="{00000025-CCB5-4621-B045-172F38CA0ED9}"/>
            </c:ext>
          </c:extLst>
        </c:ser>
        <c:ser>
          <c:idx val="34"/>
          <c:order val="34"/>
          <c:tx>
            <c:strRef>
              <c:f>PlantData!$C$39</c:f>
              <c:strCache>
                <c:ptCount val="1"/>
                <c:pt idx="0">
                  <c:v>SunE Oxnard</c:v>
                </c:pt>
              </c:strCache>
            </c:strRef>
          </c:tx>
          <c:spPr>
            <a:ln w="12700" cap="rnd">
              <a:noFill/>
              <a:prstDash val="sysDot"/>
              <a:round/>
            </a:ln>
            <a:effectLst/>
          </c:spPr>
          <c:marker>
            <c:symbol val="circle"/>
            <c:size val="5"/>
            <c:spPr>
              <a:solidFill>
                <a:schemeClr val="accent1">
                  <a:lumMod val="20000"/>
                  <a:lumOff val="80000"/>
                </a:schemeClr>
              </a:solidFill>
              <a:ln w="9525">
                <a:solidFill>
                  <a:srgbClr val="7030A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PlantData!$BB$39:$BP$39</c:f>
              <c:numCache>
                <c:formatCode>0.00</c:formatCode>
                <c:ptCount val="15"/>
                <c:pt idx="0">
                  <c:v>0.91854737575688739</c:v>
                </c:pt>
                <c:pt idx="1">
                  <c:v>0.90430174171446775</c:v>
                </c:pt>
                <c:pt idx="2">
                  <c:v>0.90042097994709336</c:v>
                </c:pt>
                <c:pt idx="3">
                  <c:v>0.97268433462209158</c:v>
                </c:pt>
                <c:pt idx="4">
                  <c:v>1.0403325433045592</c:v>
                </c:pt>
                <c:pt idx="5">
                  <c:v>1.0279205232577342</c:v>
                </c:pt>
                <c:pt idx="6">
                  <c:v>0.98795895351482999</c:v>
                </c:pt>
                <c:pt idx="7">
                  <c:v>0.89249737002577545</c:v>
                </c:pt>
                <c:pt idx="8">
                  <c:v>0.88395894522338747</c:v>
                </c:pt>
                <c:pt idx="9">
                  <c:v>0.92221363192435368</c:v>
                </c:pt>
                <c:pt idx="10">
                  <c:v>0.97288880634142183</c:v>
                </c:pt>
                <c:pt idx="11">
                  <c:v>0.96951478471846708</c:v>
                </c:pt>
                <c:pt idx="12">
                  <c:v>1.1499999999999999</c:v>
                </c:pt>
                <c:pt idx="13">
                  <c:v>0.82070603557975963</c:v>
                </c:pt>
                <c:pt idx="14">
                  <c:v>0.91374408458381895</c:v>
                </c:pt>
              </c:numCache>
            </c:numRef>
          </c:yVal>
          <c:smooth val="0"/>
          <c:extLst>
            <c:ext xmlns:c16="http://schemas.microsoft.com/office/drawing/2014/chart" uri="{C3380CC4-5D6E-409C-BE32-E72D297353CC}">
              <c16:uniqueId val="{00000026-CCB5-4621-B045-172F38CA0ED9}"/>
            </c:ext>
          </c:extLst>
        </c:ser>
        <c:ser>
          <c:idx val="35"/>
          <c:order val="35"/>
          <c:tx>
            <c:strRef>
              <c:f>PlantData!$C$40</c:f>
              <c:strCache>
                <c:ptCount val="1"/>
                <c:pt idx="0">
                  <c:v>SunE Moreno Valley</c:v>
                </c:pt>
              </c:strCache>
            </c:strRef>
          </c:tx>
          <c:spPr>
            <a:ln w="12700" cap="rnd">
              <a:noFill/>
              <a:prstDash val="sysDot"/>
              <a:round/>
            </a:ln>
            <a:effectLst/>
          </c:spPr>
          <c:marker>
            <c:symbol val="circle"/>
            <c:size val="5"/>
            <c:spPr>
              <a:solidFill>
                <a:schemeClr val="bg1">
                  <a:lumMod val="85000"/>
                </a:schemeClr>
              </a:solidFill>
              <a:ln w="9525">
                <a:solidFill>
                  <a:schemeClr val="accent6">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PlantData!$BB$40:$BQ$40</c:f>
              <c:numCache>
                <c:formatCode>0.00</c:formatCode>
                <c:ptCount val="16"/>
                <c:pt idx="0">
                  <c:v>0.98211698311534656</c:v>
                </c:pt>
                <c:pt idx="1">
                  <c:v>0.96738984903151315</c:v>
                </c:pt>
                <c:pt idx="2">
                  <c:v>0.96484065406225494</c:v>
                </c:pt>
                <c:pt idx="3">
                  <c:v>0.96869607436849359</c:v>
                </c:pt>
                <c:pt idx="4">
                  <c:v>0.92565916097842127</c:v>
                </c:pt>
                <c:pt idx="5">
                  <c:v>0.92228647119116702</c:v>
                </c:pt>
                <c:pt idx="6">
                  <c:v>0.8971829887448538</c:v>
                </c:pt>
                <c:pt idx="7">
                  <c:v>0.47668070261922391</c:v>
                </c:pt>
                <c:pt idx="8">
                  <c:v>0.60635453229964453</c:v>
                </c:pt>
                <c:pt idx="9">
                  <c:v>0.86012089734626318</c:v>
                </c:pt>
                <c:pt idx="10">
                  <c:v>0.45613387338006839</c:v>
                </c:pt>
                <c:pt idx="11">
                  <c:v>0.75405134042424038</c:v>
                </c:pt>
                <c:pt idx="12">
                  <c:v>0.69239303907165195</c:v>
                </c:pt>
                <c:pt idx="13">
                  <c:v>0.56066538541390676</c:v>
                </c:pt>
                <c:pt idx="14">
                  <c:v>0.66054454791284978</c:v>
                </c:pt>
                <c:pt idx="15">
                  <c:v>0.47456511558712133</c:v>
                </c:pt>
              </c:numCache>
            </c:numRef>
          </c:yVal>
          <c:smooth val="0"/>
          <c:extLst>
            <c:ext xmlns:c16="http://schemas.microsoft.com/office/drawing/2014/chart" uri="{C3380CC4-5D6E-409C-BE32-E72D297353CC}">
              <c16:uniqueId val="{00000027-CCB5-4621-B045-172F38CA0ED9}"/>
            </c:ext>
          </c:extLst>
        </c:ser>
        <c:ser>
          <c:idx val="36"/>
          <c:order val="36"/>
          <c:tx>
            <c:strRef>
              <c:f>PlantData!$C$41</c:f>
              <c:strCache>
                <c:ptCount val="1"/>
                <c:pt idx="0">
                  <c:v>SunE Apple Valley</c:v>
                </c:pt>
              </c:strCache>
            </c:strRef>
          </c:tx>
          <c:spPr>
            <a:ln w="12700" cap="rnd">
              <a:noFill/>
              <a:prstDash val="sysDot"/>
              <a:round/>
            </a:ln>
            <a:effectLst/>
          </c:spPr>
          <c:marker>
            <c:symbol val="circle"/>
            <c:size val="5"/>
            <c:spPr>
              <a:solidFill>
                <a:srgbClr val="C00000"/>
              </a:solidFill>
              <a:ln w="9525">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PlantData!$BB$41:$BP$41</c:f>
              <c:numCache>
                <c:formatCode>0.00</c:formatCode>
                <c:ptCount val="15"/>
                <c:pt idx="0">
                  <c:v>0.93977223691069589</c:v>
                </c:pt>
                <c:pt idx="1">
                  <c:v>0.99042071870393844</c:v>
                </c:pt>
                <c:pt idx="2">
                  <c:v>0.9250275158503003</c:v>
                </c:pt>
                <c:pt idx="3">
                  <c:v>0.99583687928885189</c:v>
                </c:pt>
                <c:pt idx="4">
                  <c:v>0.98899455030001049</c:v>
                </c:pt>
                <c:pt idx="5">
                  <c:v>0.92252798374431078</c:v>
                </c:pt>
                <c:pt idx="6">
                  <c:v>0.92561981640879554</c:v>
                </c:pt>
                <c:pt idx="7">
                  <c:v>0.63156024539441125</c:v>
                </c:pt>
                <c:pt idx="8">
                  <c:v>0.90843367437246325</c:v>
                </c:pt>
                <c:pt idx="9">
                  <c:v>0.87616524506516613</c:v>
                </c:pt>
                <c:pt idx="10">
                  <c:v>0.90774125092151614</c:v>
                </c:pt>
                <c:pt idx="11">
                  <c:v>0.71598945831850047</c:v>
                </c:pt>
                <c:pt idx="12">
                  <c:v>0.86239108512963314</c:v>
                </c:pt>
                <c:pt idx="13">
                  <c:v>0.38738756582294059</c:v>
                </c:pt>
                <c:pt idx="14">
                  <c:v>0.28768143828453463</c:v>
                </c:pt>
              </c:numCache>
            </c:numRef>
          </c:yVal>
          <c:smooth val="0"/>
          <c:extLst>
            <c:ext xmlns:c16="http://schemas.microsoft.com/office/drawing/2014/chart" uri="{C3380CC4-5D6E-409C-BE32-E72D297353CC}">
              <c16:uniqueId val="{00000028-CCB5-4621-B045-172F38CA0ED9}"/>
            </c:ext>
          </c:extLst>
        </c:ser>
        <c:ser>
          <c:idx val="37"/>
          <c:order val="37"/>
          <c:tx>
            <c:strRef>
              <c:f>PlantData!$C$42</c:f>
              <c:strCache>
                <c:ptCount val="1"/>
                <c:pt idx="0">
                  <c:v>PG&amp;E Vaca-Dixon</c:v>
                </c:pt>
              </c:strCache>
            </c:strRef>
          </c:tx>
          <c:spPr>
            <a:ln w="12700" cap="rnd">
              <a:noFill/>
              <a:prstDash val="sysDot"/>
              <a:round/>
            </a:ln>
            <a:effectLst/>
          </c:spPr>
          <c:marker>
            <c:symbol val="circle"/>
            <c:size val="5"/>
            <c:spPr>
              <a:solidFill>
                <a:srgbClr val="92D050"/>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PlantData!$BB$42:$BP$42</c:f>
              <c:numCache>
                <c:formatCode>0.00</c:formatCode>
                <c:ptCount val="15"/>
                <c:pt idx="0">
                  <c:v>1.0062694940557826</c:v>
                </c:pt>
                <c:pt idx="1">
                  <c:v>1.0489883054979781</c:v>
                </c:pt>
                <c:pt idx="2">
                  <c:v>1.0241725630469876</c:v>
                </c:pt>
                <c:pt idx="3">
                  <c:v>1.1478335182813311</c:v>
                </c:pt>
                <c:pt idx="4">
                  <c:v>0.9940530675790421</c:v>
                </c:pt>
                <c:pt idx="5">
                  <c:v>1.0899380591411845</c:v>
                </c:pt>
                <c:pt idx="6">
                  <c:v>0.99713721198550742</c:v>
                </c:pt>
                <c:pt idx="7">
                  <c:v>0.8543634722665544</c:v>
                </c:pt>
                <c:pt idx="8">
                  <c:v>1.0174357426774554</c:v>
                </c:pt>
                <c:pt idx="9">
                  <c:v>0.77250283686569932</c:v>
                </c:pt>
                <c:pt idx="10">
                  <c:v>0.90393007756490251</c:v>
                </c:pt>
                <c:pt idx="11">
                  <c:v>0.78510904056697117</c:v>
                </c:pt>
                <c:pt idx="12">
                  <c:v>1.0053873404768534</c:v>
                </c:pt>
                <c:pt idx="13">
                  <c:v>0.95223863099589123</c:v>
                </c:pt>
                <c:pt idx="14">
                  <c:v>0.83539876054712958</c:v>
                </c:pt>
              </c:numCache>
            </c:numRef>
          </c:yVal>
          <c:smooth val="0"/>
          <c:extLst>
            <c:ext xmlns:c16="http://schemas.microsoft.com/office/drawing/2014/chart" uri="{C3380CC4-5D6E-409C-BE32-E72D297353CC}">
              <c16:uniqueId val="{00000029-CCB5-4621-B045-172F38CA0ED9}"/>
            </c:ext>
          </c:extLst>
        </c:ser>
        <c:ser>
          <c:idx val="38"/>
          <c:order val="38"/>
          <c:tx>
            <c:strRef>
              <c:f>PlantData!$C$43</c:f>
              <c:strCache>
                <c:ptCount val="1"/>
                <c:pt idx="0">
                  <c:v>WWRF Rifle SunE</c:v>
                </c:pt>
              </c:strCache>
            </c:strRef>
          </c:tx>
          <c:spPr>
            <a:ln w="12700" cap="rnd">
              <a:noFill/>
              <a:prstDash val="sysDot"/>
              <a:round/>
            </a:ln>
            <a:effectLst/>
          </c:spPr>
          <c:marker>
            <c:symbol val="circle"/>
            <c:size val="5"/>
            <c:spPr>
              <a:solidFill>
                <a:schemeClr val="accent3">
                  <a:lumMod val="70000"/>
                  <a:lumOff val="30000"/>
                </a:schemeClr>
              </a:solidFill>
              <a:ln w="9525">
                <a:solidFill>
                  <a:schemeClr val="tx2">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PlantData!$BB$43:$BP$43</c:f>
              <c:numCache>
                <c:formatCode>0.00</c:formatCode>
                <c:ptCount val="15"/>
                <c:pt idx="0">
                  <c:v>0.72795568268795274</c:v>
                </c:pt>
                <c:pt idx="1">
                  <c:v>0.6982624985703102</c:v>
                </c:pt>
                <c:pt idx="2">
                  <c:v>0.7492170473836266</c:v>
                </c:pt>
                <c:pt idx="3">
                  <c:v>0.69319889062671813</c:v>
                </c:pt>
                <c:pt idx="4">
                  <c:v>0.70884205484411533</c:v>
                </c:pt>
                <c:pt idx="5">
                  <c:v>0</c:v>
                </c:pt>
                <c:pt idx="6">
                  <c:v>0.71791062552299512</c:v>
                </c:pt>
                <c:pt idx="7">
                  <c:v>0.67988751105210499</c:v>
                </c:pt>
                <c:pt idx="8">
                  <c:v>0.72003557578359256</c:v>
                </c:pt>
                <c:pt idx="9">
                  <c:v>0.69725025877183422</c:v>
                </c:pt>
                <c:pt idx="10">
                  <c:v>0.67421776134174127</c:v>
                </c:pt>
                <c:pt idx="11">
                  <c:v>0.49165930337965585</c:v>
                </c:pt>
                <c:pt idx="12">
                  <c:v>0.51721086004770356</c:v>
                </c:pt>
                <c:pt idx="13">
                  <c:v>0.24992779722402747</c:v>
                </c:pt>
                <c:pt idx="14">
                  <c:v>0.42590931452032882</c:v>
                </c:pt>
              </c:numCache>
            </c:numRef>
          </c:yVal>
          <c:smooth val="0"/>
          <c:extLst>
            <c:ext xmlns:c16="http://schemas.microsoft.com/office/drawing/2014/chart" uri="{C3380CC4-5D6E-409C-BE32-E72D297353CC}">
              <c16:uniqueId val="{0000002A-CCB5-4621-B045-172F38CA0ED9}"/>
            </c:ext>
          </c:extLst>
        </c:ser>
        <c:ser>
          <c:idx val="39"/>
          <c:order val="39"/>
          <c:tx>
            <c:strRef>
              <c:f>PlantData!$C$44</c:f>
              <c:strCache>
                <c:ptCount val="1"/>
                <c:pt idx="0">
                  <c:v>Woodland Walgreens SunE</c:v>
                </c:pt>
              </c:strCache>
            </c:strRef>
          </c:tx>
          <c:spPr>
            <a:ln w="12700" cap="rnd">
              <a:noFill/>
              <a:prstDash val="sysDot"/>
              <a:round/>
            </a:ln>
            <a:effectLst/>
          </c:spPr>
          <c:marker>
            <c:symbol val="circle"/>
            <c:size val="5"/>
            <c:spPr>
              <a:solidFill>
                <a:schemeClr val="accent4">
                  <a:lumMod val="70000"/>
                  <a:lumOff val="30000"/>
                </a:schemeClr>
              </a:solidFill>
              <a:ln w="9525">
                <a:solidFill>
                  <a:schemeClr val="tx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PlantData!$BB$44:$BQ$44</c:f>
              <c:numCache>
                <c:formatCode>0.00</c:formatCode>
                <c:ptCount val="16"/>
                <c:pt idx="0">
                  <c:v>1.0082735992674154</c:v>
                </c:pt>
                <c:pt idx="1">
                  <c:v>0.94634724755361543</c:v>
                </c:pt>
                <c:pt idx="2">
                  <c:v>0.98052414362736684</c:v>
                </c:pt>
                <c:pt idx="3">
                  <c:v>0.9416661970248934</c:v>
                </c:pt>
                <c:pt idx="4">
                  <c:v>0.88239058104922885</c:v>
                </c:pt>
                <c:pt idx="5">
                  <c:v>0.91094817451511245</c:v>
                </c:pt>
                <c:pt idx="6">
                  <c:v>0.84856426935257312</c:v>
                </c:pt>
                <c:pt idx="7">
                  <c:v>0.26687147567920122</c:v>
                </c:pt>
                <c:pt idx="8">
                  <c:v>0.38482668548890714</c:v>
                </c:pt>
                <c:pt idx="9">
                  <c:v>0.4875526150856872</c:v>
                </c:pt>
                <c:pt idx="10">
                  <c:v>0.92405543712485883</c:v>
                </c:pt>
                <c:pt idx="11">
                  <c:v>0.79670411866218294</c:v>
                </c:pt>
                <c:pt idx="12">
                  <c:v>0.70612183417235574</c:v>
                </c:pt>
                <c:pt idx="13">
                  <c:v>0.60444528823413757</c:v>
                </c:pt>
                <c:pt idx="14">
                  <c:v>0.46567665069308617</c:v>
                </c:pt>
                <c:pt idx="15">
                  <c:v>0.54833444490753414</c:v>
                </c:pt>
              </c:numCache>
            </c:numRef>
          </c:yVal>
          <c:smooth val="0"/>
          <c:extLst>
            <c:ext xmlns:c16="http://schemas.microsoft.com/office/drawing/2014/chart" uri="{C3380CC4-5D6E-409C-BE32-E72D297353CC}">
              <c16:uniqueId val="{0000002B-CCB5-4621-B045-172F38CA0ED9}"/>
            </c:ext>
          </c:extLst>
        </c:ser>
        <c:ser>
          <c:idx val="40"/>
          <c:order val="40"/>
          <c:tx>
            <c:strRef>
              <c:f>PlantData!$C$45</c:f>
              <c:strCache>
                <c:ptCount val="1"/>
                <c:pt idx="0">
                  <c:v>Bayville Central</c:v>
                </c:pt>
              </c:strCache>
            </c:strRef>
          </c:tx>
          <c:spPr>
            <a:ln w="12700" cap="rnd">
              <a:noFill/>
              <a:prstDash val="sysDot"/>
              <a:round/>
            </a:ln>
            <a:effectLst/>
          </c:spPr>
          <c:marker>
            <c:symbol val="circle"/>
            <c:size val="5"/>
            <c:spPr>
              <a:solidFill>
                <a:schemeClr val="accent5">
                  <a:lumMod val="70000"/>
                  <a:lumOff val="30000"/>
                </a:schemeClr>
              </a:solidFill>
              <a:ln w="9525">
                <a:solidFill>
                  <a:schemeClr val="tx1"/>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PlantData!$BB$45:$BP$45</c:f>
              <c:numCache>
                <c:formatCode>0.00</c:formatCode>
                <c:ptCount val="15"/>
                <c:pt idx="0">
                  <c:v>0.60088389615911775</c:v>
                </c:pt>
                <c:pt idx="1">
                  <c:v>0.63729899368009613</c:v>
                </c:pt>
                <c:pt idx="2">
                  <c:v>0.69084659734912002</c:v>
                </c:pt>
                <c:pt idx="3">
                  <c:v>0.67464115461432184</c:v>
                </c:pt>
                <c:pt idx="4">
                  <c:v>0.70345748533905417</c:v>
                </c:pt>
                <c:pt idx="5">
                  <c:v>0.78933293343931321</c:v>
                </c:pt>
                <c:pt idx="6">
                  <c:v>0.83895695177744145</c:v>
                </c:pt>
                <c:pt idx="7">
                  <c:v>0.66822879624019371</c:v>
                </c:pt>
                <c:pt idx="8">
                  <c:v>0.62546918620623304</c:v>
                </c:pt>
                <c:pt idx="9">
                  <c:v>0.26361158763757592</c:v>
                </c:pt>
                <c:pt idx="10">
                  <c:v>0.27949320683866907</c:v>
                </c:pt>
                <c:pt idx="11">
                  <c:v>0.6993182206285794</c:v>
                </c:pt>
                <c:pt idx="12">
                  <c:v>0.64107723595816024</c:v>
                </c:pt>
                <c:pt idx="13">
                  <c:v>0.54676727053736407</c:v>
                </c:pt>
                <c:pt idx="14">
                  <c:v>0.51387063861449944</c:v>
                </c:pt>
              </c:numCache>
            </c:numRef>
          </c:yVal>
          <c:smooth val="0"/>
          <c:extLst>
            <c:ext xmlns:c16="http://schemas.microsoft.com/office/drawing/2014/chart" uri="{C3380CC4-5D6E-409C-BE32-E72D297353CC}">
              <c16:uniqueId val="{0000002C-CCB5-4621-B045-172F38CA0ED9}"/>
            </c:ext>
          </c:extLst>
        </c:ser>
        <c:ser>
          <c:idx val="41"/>
          <c:order val="41"/>
          <c:tx>
            <c:strRef>
              <c:f>PlantData!$C$46</c:f>
              <c:strCache>
                <c:ptCount val="1"/>
                <c:pt idx="0">
                  <c:v>Blue Wing</c:v>
                </c:pt>
              </c:strCache>
            </c:strRef>
          </c:tx>
          <c:spPr>
            <a:ln w="12700" cap="rnd">
              <a:noFill/>
              <a:prstDash val="sysDot"/>
              <a:round/>
            </a:ln>
            <a:effectLst/>
          </c:spPr>
          <c:marker>
            <c:symbol val="circle"/>
            <c:size val="5"/>
            <c:spPr>
              <a:solidFill>
                <a:schemeClr val="accent6">
                  <a:lumMod val="70000"/>
                  <a:lumOff val="3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PlantData!$BB$46:$BO$46</c:f>
              <c:numCache>
                <c:formatCode>0.00</c:formatCode>
                <c:ptCount val="14"/>
                <c:pt idx="0">
                  <c:v>1.1083968567034146</c:v>
                </c:pt>
                <c:pt idx="1">
                  <c:v>0.97992816875779154</c:v>
                </c:pt>
                <c:pt idx="2">
                  <c:v>0.92601851242217381</c:v>
                </c:pt>
                <c:pt idx="3">
                  <c:v>0.90918092641362525</c:v>
                </c:pt>
                <c:pt idx="4">
                  <c:v>0.86747187266790426</c:v>
                </c:pt>
                <c:pt idx="5">
                  <c:v>0.91996845039011599</c:v>
                </c:pt>
                <c:pt idx="6">
                  <c:v>0.90113960225223599</c:v>
                </c:pt>
                <c:pt idx="7">
                  <c:v>0.87364047070296547</c:v>
                </c:pt>
                <c:pt idx="8">
                  <c:v>0.8748883256501041</c:v>
                </c:pt>
                <c:pt idx="9">
                  <c:v>0.82766214703574648</c:v>
                </c:pt>
                <c:pt idx="10">
                  <c:v>0.80756895573019305</c:v>
                </c:pt>
                <c:pt idx="11">
                  <c:v>0.87186727587407886</c:v>
                </c:pt>
                <c:pt idx="12">
                  <c:v>0.73107708607167554</c:v>
                </c:pt>
                <c:pt idx="13">
                  <c:v>0.7881211717304405</c:v>
                </c:pt>
              </c:numCache>
            </c:numRef>
          </c:yVal>
          <c:smooth val="0"/>
          <c:extLst>
            <c:ext xmlns:c16="http://schemas.microsoft.com/office/drawing/2014/chart" uri="{C3380CC4-5D6E-409C-BE32-E72D297353CC}">
              <c16:uniqueId val="{0000002D-CCB5-4621-B045-172F38CA0ED9}"/>
            </c:ext>
          </c:extLst>
        </c:ser>
        <c:ser>
          <c:idx val="42"/>
          <c:order val="42"/>
          <c:tx>
            <c:strRef>
              <c:f>PlantData!$C$47</c:f>
              <c:strCache>
                <c:ptCount val="1"/>
                <c:pt idx="0">
                  <c:v>Copper Mtn 48 (FS)</c:v>
                </c:pt>
              </c:strCache>
            </c:strRef>
          </c:tx>
          <c:spPr>
            <a:ln w="12700" cap="rnd">
              <a:noFill/>
              <a:prstDash val="sysDot"/>
              <a:round/>
            </a:ln>
            <a:effectLst/>
          </c:spPr>
          <c:marker>
            <c:symbol val="circle"/>
            <c:size val="5"/>
            <c:spPr>
              <a:solidFill>
                <a:srgbClr val="FFFF00"/>
              </a:solidFill>
              <a:ln w="9525">
                <a:solidFill>
                  <a:schemeClr val="accent1">
                    <a:lumMod val="7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PlantData!$BB$47:$BO$47</c:f>
              <c:numCache>
                <c:formatCode>0.00</c:formatCode>
                <c:ptCount val="14"/>
                <c:pt idx="0">
                  <c:v>0.97165879043566761</c:v>
                </c:pt>
                <c:pt idx="1">
                  <c:v>0.96148357582371002</c:v>
                </c:pt>
                <c:pt idx="2">
                  <c:v>0.95607772301713589</c:v>
                </c:pt>
                <c:pt idx="3">
                  <c:v>0.94449479836366101</c:v>
                </c:pt>
                <c:pt idx="4">
                  <c:v>0.93529453024088649</c:v>
                </c:pt>
                <c:pt idx="5">
                  <c:v>0.90638243280350661</c:v>
                </c:pt>
                <c:pt idx="6">
                  <c:v>0.93793409498424662</c:v>
                </c:pt>
                <c:pt idx="7">
                  <c:v>0.93334231717355631</c:v>
                </c:pt>
                <c:pt idx="8">
                  <c:v>0.91714778856873069</c:v>
                </c:pt>
                <c:pt idx="9">
                  <c:v>0.94358353823039987</c:v>
                </c:pt>
                <c:pt idx="10">
                  <c:v>0.8920746764747528</c:v>
                </c:pt>
                <c:pt idx="11">
                  <c:v>0.9322411065574655</c:v>
                </c:pt>
                <c:pt idx="12">
                  <c:v>0.89080530327192908</c:v>
                </c:pt>
                <c:pt idx="13">
                  <c:v>0.90560033005345164</c:v>
                </c:pt>
              </c:numCache>
            </c:numRef>
          </c:yVal>
          <c:smooth val="0"/>
          <c:extLst>
            <c:ext xmlns:c16="http://schemas.microsoft.com/office/drawing/2014/chart" uri="{C3380CC4-5D6E-409C-BE32-E72D297353CC}">
              <c16:uniqueId val="{0000002E-CCB5-4621-B045-172F38CA0ED9}"/>
            </c:ext>
          </c:extLst>
        </c:ser>
        <c:ser>
          <c:idx val="43"/>
          <c:order val="43"/>
          <c:tx>
            <c:strRef>
              <c:f>PlantData!$C$48</c:f>
              <c:strCache>
                <c:ptCount val="1"/>
                <c:pt idx="0">
                  <c:v>CalRenew-1</c:v>
                </c:pt>
              </c:strCache>
            </c:strRef>
          </c:tx>
          <c:spPr>
            <a:ln w="12700" cap="rnd">
              <a:noFill/>
              <a:prstDash val="sysDot"/>
              <a:round/>
            </a:ln>
            <a:effectLst/>
          </c:spPr>
          <c:marker>
            <c:symbol val="circle"/>
            <c:size val="5"/>
            <c:spPr>
              <a:solidFill>
                <a:srgbClr val="00B0F0"/>
              </a:solidFill>
              <a:ln w="9525">
                <a:solidFill>
                  <a:srgbClr val="FF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PlantData!$BB$48:$BO$48</c:f>
              <c:numCache>
                <c:formatCode>0.00</c:formatCode>
                <c:ptCount val="14"/>
                <c:pt idx="0">
                  <c:v>0.95321386182506673</c:v>
                </c:pt>
                <c:pt idx="1">
                  <c:v>1.0152690065278398</c:v>
                </c:pt>
                <c:pt idx="2">
                  <c:v>1.0503645834065614</c:v>
                </c:pt>
                <c:pt idx="3">
                  <c:v>1.0198218013017404</c:v>
                </c:pt>
                <c:pt idx="4">
                  <c:v>1.0018311370922006</c:v>
                </c:pt>
                <c:pt idx="5">
                  <c:v>0.9251101635727792</c:v>
                </c:pt>
                <c:pt idx="6">
                  <c:v>0.9761574872763642</c:v>
                </c:pt>
                <c:pt idx="7">
                  <c:v>0.98405841288974849</c:v>
                </c:pt>
                <c:pt idx="8">
                  <c:v>0.89958668157058308</c:v>
                </c:pt>
                <c:pt idx="9">
                  <c:v>0.92589293374704318</c:v>
                </c:pt>
                <c:pt idx="10">
                  <c:v>0.53399940606950036</c:v>
                </c:pt>
                <c:pt idx="11">
                  <c:v>0.86380668796970694</c:v>
                </c:pt>
                <c:pt idx="12">
                  <c:v>0.64770616949547422</c:v>
                </c:pt>
                <c:pt idx="13">
                  <c:v>0.13727188425640097</c:v>
                </c:pt>
              </c:numCache>
            </c:numRef>
          </c:yVal>
          <c:smooth val="0"/>
          <c:extLst>
            <c:ext xmlns:c16="http://schemas.microsoft.com/office/drawing/2014/chart" uri="{C3380CC4-5D6E-409C-BE32-E72D297353CC}">
              <c16:uniqueId val="{0000002F-CCB5-4621-B045-172F38CA0ED9}"/>
            </c:ext>
          </c:extLst>
        </c:ser>
        <c:ser>
          <c:idx val="44"/>
          <c:order val="44"/>
          <c:tx>
            <c:strRef>
              <c:f>PlantData!$C$49</c:f>
              <c:strCache>
                <c:ptCount val="1"/>
                <c:pt idx="0">
                  <c:v>Carson</c:v>
                </c:pt>
              </c:strCache>
            </c:strRef>
          </c:tx>
          <c:spPr>
            <a:ln w="12700" cap="rnd">
              <a:noFill/>
              <a:prstDash val="sysDot"/>
              <a:round/>
            </a:ln>
            <a:effectLst/>
          </c:spPr>
          <c:marker>
            <c:symbol val="circle"/>
            <c:size val="5"/>
            <c:spPr>
              <a:solidFill>
                <a:srgbClr val="C00000"/>
              </a:solidFill>
              <a:ln w="9525">
                <a:solidFill>
                  <a:srgbClr val="00B05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PlantData!$BB$49:$BP$49</c:f>
              <c:numCache>
                <c:formatCode>0.00</c:formatCode>
                <c:ptCount val="15"/>
                <c:pt idx="0">
                  <c:v>0.92319639436578449</c:v>
                </c:pt>
                <c:pt idx="1">
                  <c:v>0.95502601211107963</c:v>
                </c:pt>
                <c:pt idx="2">
                  <c:v>0.95552649674787249</c:v>
                </c:pt>
                <c:pt idx="3">
                  <c:v>0.77178042150548021</c:v>
                </c:pt>
                <c:pt idx="4">
                  <c:v>0.65439419784912689</c:v>
                </c:pt>
                <c:pt idx="5">
                  <c:v>0.75150368478136886</c:v>
                </c:pt>
                <c:pt idx="6">
                  <c:v>0.84424712966982951</c:v>
                </c:pt>
                <c:pt idx="7">
                  <c:v>0.68918133034271789</c:v>
                </c:pt>
                <c:pt idx="8">
                  <c:v>0.52051178157290379</c:v>
                </c:pt>
                <c:pt idx="9">
                  <c:v>0</c:v>
                </c:pt>
                <c:pt idx="10">
                  <c:v>0.73094494141814204</c:v>
                </c:pt>
                <c:pt idx="11">
                  <c:v>1.0683601106348271</c:v>
                </c:pt>
                <c:pt idx="12">
                  <c:v>0.95621905308271904</c:v>
                </c:pt>
                <c:pt idx="13">
                  <c:v>0.97724672921839095</c:v>
                </c:pt>
                <c:pt idx="14">
                  <c:v>1.0268306840673196</c:v>
                </c:pt>
              </c:numCache>
            </c:numRef>
          </c:yVal>
          <c:smooth val="0"/>
          <c:extLst>
            <c:ext xmlns:c16="http://schemas.microsoft.com/office/drawing/2014/chart" uri="{C3380CC4-5D6E-409C-BE32-E72D297353CC}">
              <c16:uniqueId val="{00000030-CCB5-4621-B045-172F38CA0ED9}"/>
            </c:ext>
          </c:extLst>
        </c:ser>
        <c:ser>
          <c:idx val="45"/>
          <c:order val="45"/>
          <c:tx>
            <c:strRef>
              <c:f>PlantData!$C$51</c:f>
              <c:strCache>
                <c:ptCount val="1"/>
                <c:pt idx="0">
                  <c:v>Crayola</c:v>
                </c:pt>
              </c:strCache>
            </c:strRef>
          </c:tx>
          <c:spPr>
            <a:ln w="12700" cap="rnd">
              <a:noFill/>
              <a:prstDash val="sysDot"/>
              <a:round/>
            </a:ln>
            <a:effectLst/>
          </c:spPr>
          <c:marker>
            <c:symbol val="circle"/>
            <c:size val="5"/>
            <c:spPr>
              <a:solidFill>
                <a:srgbClr val="7030A0"/>
              </a:solidFill>
              <a:ln w="9525">
                <a:solidFill>
                  <a:schemeClr val="accent4"/>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PlantData!$BB$51:$BN$51</c:f>
              <c:numCache>
                <c:formatCode>0.00</c:formatCode>
                <c:ptCount val="13"/>
                <c:pt idx="0">
                  <c:v>0.61298497621163872</c:v>
                </c:pt>
                <c:pt idx="1">
                  <c:v>0.732174628169311</c:v>
                </c:pt>
                <c:pt idx="2">
                  <c:v>0.76441162670687357</c:v>
                </c:pt>
                <c:pt idx="3">
                  <c:v>1.0889149674740692</c:v>
                </c:pt>
                <c:pt idx="4">
                  <c:v>0.66021295722960494</c:v>
                </c:pt>
                <c:pt idx="5">
                  <c:v>0.63978846038394932</c:v>
                </c:pt>
                <c:pt idx="6">
                  <c:v>0.66636258848877894</c:v>
                </c:pt>
                <c:pt idx="7">
                  <c:v>0.67299280454707944</c:v>
                </c:pt>
                <c:pt idx="8">
                  <c:v>0.63552834517314027</c:v>
                </c:pt>
                <c:pt idx="9">
                  <c:v>0.71241083517939152</c:v>
                </c:pt>
                <c:pt idx="10">
                  <c:v>0.69420867850381884</c:v>
                </c:pt>
                <c:pt idx="11">
                  <c:v>0.67683578731903749</c:v>
                </c:pt>
                <c:pt idx="12">
                  <c:v>0.60569045468076588</c:v>
                </c:pt>
              </c:numCache>
            </c:numRef>
          </c:yVal>
          <c:smooth val="0"/>
          <c:extLst>
            <c:ext xmlns:c16="http://schemas.microsoft.com/office/drawing/2014/chart" uri="{C3380CC4-5D6E-409C-BE32-E72D297353CC}">
              <c16:uniqueId val="{00000031-CCB5-4621-B045-172F38CA0ED9}"/>
            </c:ext>
          </c:extLst>
        </c:ser>
        <c:ser>
          <c:idx val="46"/>
          <c:order val="46"/>
          <c:tx>
            <c:strRef>
              <c:f>PlantData!$C$52</c:f>
              <c:strCache>
                <c:ptCount val="1"/>
                <c:pt idx="0">
                  <c:v>Duke Egy 10240</c:v>
                </c:pt>
              </c:strCache>
            </c:strRef>
          </c:tx>
          <c:spPr>
            <a:ln w="12700" cap="rnd">
              <a:noFill/>
              <a:prstDash val="sysDot"/>
              <a:round/>
            </a:ln>
            <a:effectLst/>
          </c:spPr>
          <c:marker>
            <c:symbol val="circle"/>
            <c:size val="5"/>
            <c:spPr>
              <a:solidFill>
                <a:srgbClr val="00B0F0"/>
              </a:solidFill>
              <a:ln w="9525">
                <a:solidFill>
                  <a:schemeClr val="bg2">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PlantData!$BB$52:$BO$52</c:f>
              <c:numCache>
                <c:formatCode>0.00</c:formatCode>
                <c:ptCount val="14"/>
                <c:pt idx="0">
                  <c:v>0.87200367460427863</c:v>
                </c:pt>
                <c:pt idx="1">
                  <c:v>0.97539867500064092</c:v>
                </c:pt>
                <c:pt idx="2">
                  <c:v>0.9341603010757118</c:v>
                </c:pt>
                <c:pt idx="3">
                  <c:v>0.93850851623296372</c:v>
                </c:pt>
                <c:pt idx="4">
                  <c:v>0.86149241588067593</c:v>
                </c:pt>
                <c:pt idx="5">
                  <c:v>0.88819236625306475</c:v>
                </c:pt>
                <c:pt idx="6">
                  <c:v>0.69487322501866366</c:v>
                </c:pt>
                <c:pt idx="7">
                  <c:v>0.58644304777476886</c:v>
                </c:pt>
                <c:pt idx="8">
                  <c:v>0.71322931698061975</c:v>
                </c:pt>
                <c:pt idx="9">
                  <c:v>0.71431701888156274</c:v>
                </c:pt>
                <c:pt idx="10">
                  <c:v>0.7408451533896091</c:v>
                </c:pt>
                <c:pt idx="11">
                  <c:v>0.52123361702307602</c:v>
                </c:pt>
                <c:pt idx="12">
                  <c:v>0.55534921915270785</c:v>
                </c:pt>
              </c:numCache>
            </c:numRef>
          </c:yVal>
          <c:smooth val="0"/>
          <c:extLst>
            <c:ext xmlns:c16="http://schemas.microsoft.com/office/drawing/2014/chart" uri="{C3380CC4-5D6E-409C-BE32-E72D297353CC}">
              <c16:uniqueId val="{00000032-CCB5-4621-B045-172F38CA0ED9}"/>
            </c:ext>
          </c:extLst>
        </c:ser>
        <c:ser>
          <c:idx val="47"/>
          <c:order val="47"/>
          <c:tx>
            <c:strRef>
              <c:f>PlantData!$C$53</c:f>
              <c:strCache>
                <c:ptCount val="1"/>
                <c:pt idx="0">
                  <c:v>Duke Egy 1725</c:v>
                </c:pt>
              </c:strCache>
            </c:strRef>
          </c:tx>
          <c:spPr>
            <a:ln w="12700" cap="rnd">
              <a:noFill/>
              <a:prstDash val="sysDot"/>
              <a:round/>
            </a:ln>
            <a:effectLst/>
          </c:spPr>
          <c:marker>
            <c:symbol val="circle"/>
            <c:size val="5"/>
            <c:spPr>
              <a:solidFill>
                <a:srgbClr val="FFC000"/>
              </a:solidFill>
              <a:ln w="9525">
                <a:solidFill>
                  <a:schemeClr val="accent6">
                    <a:lumMod val="7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PlantData!$BB$53:$BP$53</c:f>
              <c:numCache>
                <c:formatCode>0.00</c:formatCode>
                <c:ptCount val="15"/>
                <c:pt idx="0">
                  <c:v>0.94088885461924987</c:v>
                </c:pt>
                <c:pt idx="1">
                  <c:v>0.23257892358577023</c:v>
                </c:pt>
                <c:pt idx="2">
                  <c:v>0.28787869938677724</c:v>
                </c:pt>
                <c:pt idx="3">
                  <c:v>0.95390807274362688</c:v>
                </c:pt>
                <c:pt idx="4">
                  <c:v>0.95994422689526926</c:v>
                </c:pt>
                <c:pt idx="5">
                  <c:v>0.96476806723142627</c:v>
                </c:pt>
                <c:pt idx="6">
                  <c:v>1.0455537233140173</c:v>
                </c:pt>
                <c:pt idx="7">
                  <c:v>0.97511932787796796</c:v>
                </c:pt>
                <c:pt idx="8">
                  <c:v>0.87479094857963535</c:v>
                </c:pt>
                <c:pt idx="9">
                  <c:v>0.81930024023990322</c:v>
                </c:pt>
                <c:pt idx="10">
                  <c:v>0.84326642262318785</c:v>
                </c:pt>
                <c:pt idx="11">
                  <c:v>0.52381792639375691</c:v>
                </c:pt>
                <c:pt idx="12">
                  <c:v>0.6305760722950291</c:v>
                </c:pt>
                <c:pt idx="13">
                  <c:v>0.5173957516266906</c:v>
                </c:pt>
                <c:pt idx="14">
                  <c:v>0.58924139285280019</c:v>
                </c:pt>
              </c:numCache>
            </c:numRef>
          </c:yVal>
          <c:smooth val="0"/>
          <c:extLst>
            <c:ext xmlns:c16="http://schemas.microsoft.com/office/drawing/2014/chart" uri="{C3380CC4-5D6E-409C-BE32-E72D297353CC}">
              <c16:uniqueId val="{00000033-CCB5-4621-B045-172F38CA0ED9}"/>
            </c:ext>
          </c:extLst>
        </c:ser>
        <c:ser>
          <c:idx val="48"/>
          <c:order val="48"/>
          <c:tx>
            <c:strRef>
              <c:f>PlantData!$C$54</c:f>
              <c:strCache>
                <c:ptCount val="1"/>
                <c:pt idx="0">
                  <c:v>Duke Egy 657</c:v>
                </c:pt>
              </c:strCache>
            </c:strRef>
          </c:tx>
          <c:spPr>
            <a:ln w="12700" cap="rnd">
              <a:noFill/>
              <a:prstDash val="sysDot"/>
              <a:round/>
            </a:ln>
            <a:effectLst/>
          </c:spPr>
          <c:marker>
            <c:symbol val="circle"/>
            <c:size val="5"/>
            <c:spPr>
              <a:solidFill>
                <a:schemeClr val="accent1">
                  <a:lumMod val="50000"/>
                  <a:lumOff val="50000"/>
                </a:schemeClr>
              </a:solidFill>
              <a:ln w="9525">
                <a:solidFill>
                  <a:schemeClr val="accent2">
                    <a:lumMod val="75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PlantData!$BB$54:$BP$54</c:f>
              <c:numCache>
                <c:formatCode>0.00</c:formatCode>
                <c:ptCount val="15"/>
                <c:pt idx="0">
                  <c:v>1.0054821415569357</c:v>
                </c:pt>
                <c:pt idx="1">
                  <c:v>0.9862247799759648</c:v>
                </c:pt>
                <c:pt idx="2">
                  <c:v>0.81680186814158751</c:v>
                </c:pt>
                <c:pt idx="3">
                  <c:v>0.91238570573000377</c:v>
                </c:pt>
                <c:pt idx="4">
                  <c:v>0.99971565905420912</c:v>
                </c:pt>
                <c:pt idx="5">
                  <c:v>0.97264216440791484</c:v>
                </c:pt>
                <c:pt idx="6">
                  <c:v>0.90128248802421862</c:v>
                </c:pt>
                <c:pt idx="7">
                  <c:v>0.74174372781290954</c:v>
                </c:pt>
                <c:pt idx="8">
                  <c:v>0.66697445923341259</c:v>
                </c:pt>
                <c:pt idx="9">
                  <c:v>0.42422561560174504</c:v>
                </c:pt>
                <c:pt idx="10">
                  <c:v>0.40391753931930235</c:v>
                </c:pt>
                <c:pt idx="11">
                  <c:v>0.21450053580080825</c:v>
                </c:pt>
              </c:numCache>
            </c:numRef>
          </c:yVal>
          <c:smooth val="0"/>
          <c:extLst>
            <c:ext xmlns:c16="http://schemas.microsoft.com/office/drawing/2014/chart" uri="{C3380CC4-5D6E-409C-BE32-E72D297353CC}">
              <c16:uniqueId val="{00000034-CCB5-4621-B045-172F38CA0ED9}"/>
            </c:ext>
          </c:extLst>
        </c:ser>
        <c:ser>
          <c:idx val="49"/>
          <c:order val="49"/>
          <c:tx>
            <c:strRef>
              <c:f>PlantData!$C$55</c:f>
              <c:strCache>
                <c:ptCount val="1"/>
                <c:pt idx="0">
                  <c:v>Dow Jones</c:v>
                </c:pt>
              </c:strCache>
            </c:strRef>
          </c:tx>
          <c:spPr>
            <a:ln w="12700" cap="rnd">
              <a:noFill/>
              <a:prstDash val="sysDot"/>
              <a:round/>
            </a:ln>
            <a:effectLst/>
          </c:spPr>
          <c:marker>
            <c:symbol val="circle"/>
            <c:size val="5"/>
            <c:spPr>
              <a:solidFill>
                <a:schemeClr val="accent2">
                  <a:lumMod val="50000"/>
                  <a:lumOff val="5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PlantData!$BB$55:$BO$55</c:f>
              <c:numCache>
                <c:formatCode>0.00</c:formatCode>
                <c:ptCount val="14"/>
                <c:pt idx="0">
                  <c:v>0.90361177026642492</c:v>
                </c:pt>
                <c:pt idx="1">
                  <c:v>1.0137516646672524</c:v>
                </c:pt>
                <c:pt idx="2">
                  <c:v>0.99504108352724252</c:v>
                </c:pt>
                <c:pt idx="3">
                  <c:v>0.96016723535284088</c:v>
                </c:pt>
                <c:pt idx="4">
                  <c:v>0.99404615573411981</c:v>
                </c:pt>
                <c:pt idx="5">
                  <c:v>1.0364978619287759</c:v>
                </c:pt>
                <c:pt idx="6">
                  <c:v>0.92431962326275241</c:v>
                </c:pt>
                <c:pt idx="7">
                  <c:v>0.81505595206464754</c:v>
                </c:pt>
                <c:pt idx="8">
                  <c:v>0.98494458241982852</c:v>
                </c:pt>
                <c:pt idx="9">
                  <c:v>0.96400641245117979</c:v>
                </c:pt>
                <c:pt idx="10">
                  <c:v>0.96079755922308474</c:v>
                </c:pt>
                <c:pt idx="11">
                  <c:v>0.70746141612673208</c:v>
                </c:pt>
                <c:pt idx="12">
                  <c:v>0.86932143333747613</c:v>
                </c:pt>
                <c:pt idx="13">
                  <c:v>0</c:v>
                </c:pt>
              </c:numCache>
            </c:numRef>
          </c:yVal>
          <c:smooth val="0"/>
          <c:extLst>
            <c:ext xmlns:c16="http://schemas.microsoft.com/office/drawing/2014/chart" uri="{C3380CC4-5D6E-409C-BE32-E72D297353CC}">
              <c16:uniqueId val="{00000035-CCB5-4621-B045-172F38CA0ED9}"/>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4"/>
        <c:delete val="1"/>
      </c:legendEntry>
      <c:legendEntry>
        <c:idx val="25"/>
        <c:delete val="1"/>
      </c:legendEntry>
      <c:legendEntry>
        <c:idx val="26"/>
        <c:delete val="1"/>
      </c:legendEntry>
      <c:legendEntry>
        <c:idx val="27"/>
        <c:delete val="1"/>
      </c:legendEntry>
      <c:legendEntry>
        <c:idx val="28"/>
        <c:delete val="1"/>
      </c:legendEntry>
      <c:legendEntry>
        <c:idx val="29"/>
        <c:delete val="1"/>
      </c:legendEntry>
      <c:legendEntry>
        <c:idx val="30"/>
        <c:delete val="1"/>
      </c:legendEntry>
      <c:legendEntry>
        <c:idx val="31"/>
        <c:delete val="1"/>
      </c:legendEntry>
      <c:legendEntry>
        <c:idx val="32"/>
        <c:delete val="1"/>
      </c:legendEntry>
      <c:legendEntry>
        <c:idx val="33"/>
        <c:delete val="1"/>
      </c:legendEntry>
      <c:legendEntry>
        <c:idx val="34"/>
        <c:delete val="1"/>
      </c:legendEntry>
      <c:legendEntry>
        <c:idx val="35"/>
        <c:delete val="1"/>
      </c:legendEntry>
      <c:legendEntry>
        <c:idx val="36"/>
        <c:delete val="1"/>
      </c:legendEntry>
      <c:legendEntry>
        <c:idx val="37"/>
        <c:delete val="1"/>
      </c:legendEntry>
      <c:legendEntry>
        <c:idx val="38"/>
        <c:delete val="1"/>
      </c:legendEntry>
      <c:legendEntry>
        <c:idx val="39"/>
        <c:delete val="1"/>
      </c:legendEntry>
      <c:legendEntry>
        <c:idx val="40"/>
        <c:delete val="1"/>
      </c:legendEntry>
      <c:legendEntry>
        <c:idx val="41"/>
        <c:delete val="1"/>
      </c:legendEntry>
      <c:legendEntry>
        <c:idx val="42"/>
        <c:delete val="1"/>
      </c:legendEntry>
      <c:legendEntry>
        <c:idx val="43"/>
        <c:delete val="1"/>
      </c:legendEntry>
      <c:legendEntry>
        <c:idx val="44"/>
        <c:delete val="1"/>
      </c:legendEntry>
      <c:legendEntry>
        <c:idx val="45"/>
        <c:delete val="1"/>
      </c:legendEntry>
      <c:legendEntry>
        <c:idx val="46"/>
        <c:delete val="1"/>
      </c:legendEntry>
      <c:legendEntry>
        <c:idx val="47"/>
        <c:delete val="1"/>
      </c:legendEntry>
      <c:legendEntry>
        <c:idx val="48"/>
        <c:delete val="1"/>
      </c:legendEntry>
      <c:legendEntry>
        <c:idx val="49"/>
        <c:delete val="1"/>
      </c:legendEntry>
      <c:legendEntry>
        <c:idx val="50"/>
        <c:delete val="1"/>
      </c:legendEntry>
      <c:legendEntry>
        <c:idx val="5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a:t>
            </a:r>
          </a:p>
          <a:p>
            <a:pPr>
              <a:defRPr b="1"/>
            </a:pPr>
            <a:r>
              <a:rPr lang="en-US" b="1" baseline="0"/>
              <a:t>Median (p50) degradation 3.3%/yr; p90 degr. 6.6%/yr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p50</c:v>
                </c:pt>
              </c:strCache>
            </c:strRef>
          </c:tx>
          <c:spPr>
            <a:ln w="6350" cap="rnd">
              <a:solidFill>
                <a:srgbClr val="FF0000">
                  <a:alpha val="50000"/>
                </a:srgbClr>
              </a:solidFill>
              <a:round/>
            </a:ln>
            <a:effectLst/>
          </c:spPr>
          <c:marker>
            <c:symbol val="none"/>
          </c:marker>
          <c:trendline>
            <c:spPr>
              <a:ln w="50800" cap="rnd">
                <a:solidFill>
                  <a:srgbClr val="FF0000"/>
                </a:solidFill>
                <a:prstDash val="solid"/>
              </a:ln>
              <a:effectLst/>
            </c:spPr>
            <c:trendlineType val="linear"/>
            <c:dispRSqr val="1"/>
            <c:dispEq val="1"/>
            <c:trendlineLbl>
              <c:layout>
                <c:manualLayout>
                  <c:x val="0.22740330853138771"/>
                  <c:y val="1.0805020193314935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1"/>
          <c:extLst>
            <c:ext xmlns:c16="http://schemas.microsoft.com/office/drawing/2014/chart" uri="{C3380CC4-5D6E-409C-BE32-E72D297353CC}">
              <c16:uniqueId val="{00000001-411B-4BF2-9CE9-19EE83520668}"/>
            </c:ext>
          </c:extLst>
        </c:ser>
        <c:ser>
          <c:idx val="50"/>
          <c:order val="1"/>
          <c:tx>
            <c:strRef>
              <c:f>PlantData!$BA$113</c:f>
              <c:strCache>
                <c:ptCount val="1"/>
                <c:pt idx="0">
                  <c:v>p90 (obs.rank)</c:v>
                </c:pt>
              </c:strCache>
            </c:strRef>
          </c:tx>
          <c:spPr>
            <a:ln w="6350" cap="rnd">
              <a:solidFill>
                <a:srgbClr val="FF0000">
                  <a:alpha val="50000"/>
                </a:srgbClr>
              </a:solidFill>
              <a:round/>
            </a:ln>
            <a:effectLst/>
          </c:spPr>
          <c:marker>
            <c:symbol val="none"/>
          </c:marker>
          <c:trendline>
            <c:spPr>
              <a:ln w="50800" cap="rnd">
                <a:solidFill>
                  <a:srgbClr val="C00000"/>
                </a:solidFill>
                <a:prstDash val="solid"/>
              </a:ln>
              <a:effectLst/>
            </c:spPr>
            <c:trendlineType val="linear"/>
            <c:dispRSqr val="1"/>
            <c:dispEq val="1"/>
            <c:trendlineLbl>
              <c:layout>
                <c:manualLayout>
                  <c:x val="0.21977028100845192"/>
                  <c:y val="5.6468016646484237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0.73858934353616212</c:v>
                </c:pt>
                <c:pt idx="1">
                  <c:v>0.70760804400333988</c:v>
                </c:pt>
                <c:pt idx="2">
                  <c:v>0.7492170473836266</c:v>
                </c:pt>
                <c:pt idx="3">
                  <c:v>0.77178042150548021</c:v>
                </c:pt>
                <c:pt idx="4">
                  <c:v>0.70461202905769504</c:v>
                </c:pt>
                <c:pt idx="5">
                  <c:v>0.76136818881943491</c:v>
                </c:pt>
                <c:pt idx="6">
                  <c:v>0.71399938901986071</c:v>
                </c:pt>
                <c:pt idx="7">
                  <c:v>0.63156024539441125</c:v>
                </c:pt>
                <c:pt idx="8">
                  <c:v>0.56151689265538174</c:v>
                </c:pt>
                <c:pt idx="9">
                  <c:v>0.48225330819182721</c:v>
                </c:pt>
                <c:pt idx="10">
                  <c:v>0.53513038371745969</c:v>
                </c:pt>
                <c:pt idx="11">
                  <c:v>0.52123361702307602</c:v>
                </c:pt>
                <c:pt idx="12">
                  <c:v>0.48074780230929676</c:v>
                </c:pt>
                <c:pt idx="13">
                  <c:v>0.13727188425640097</c:v>
                </c:pt>
                <c:pt idx="14">
                  <c:v>0.28768143828453463</c:v>
                </c:pt>
                <c:pt idx="15">
                  <c:v>0.40219352703657463</c:v>
                </c:pt>
              </c:numCache>
            </c:numRef>
          </c:yVal>
          <c:smooth val="1"/>
          <c:extLst>
            <c:ext xmlns:c16="http://schemas.microsoft.com/office/drawing/2014/chart" uri="{C3380CC4-5D6E-409C-BE32-E72D297353CC}">
              <c16:uniqueId val="{00000003-411B-4BF2-9CE9-19EE83520668}"/>
            </c:ext>
          </c:extLst>
        </c:ser>
        <c:ser>
          <c:idx val="0"/>
          <c:order val="2"/>
          <c:tx>
            <c:strRef>
              <c:f>PlantData!$C$7</c:f>
              <c:strCache>
                <c:ptCount val="1"/>
                <c:pt idx="0">
                  <c:v>Agua Fria PV-3</c:v>
                </c:pt>
              </c:strCache>
            </c:strRef>
          </c:tx>
          <c:spPr>
            <a:ln w="12700" cap="rnd">
              <a:noFill/>
              <a:prstDash val="sysDot"/>
              <a:round/>
            </a:ln>
            <a:effectLst/>
          </c:spPr>
          <c:marker>
            <c:symbol val="circle"/>
            <c:size val="5"/>
            <c:spPr>
              <a:solidFill>
                <a:schemeClr val="accent1"/>
              </a:solidFill>
              <a:ln w="9525">
                <a:solidFill>
                  <a:schemeClr val="accent1"/>
                </a:solidFill>
              </a:ln>
              <a:effectLst/>
            </c:spPr>
          </c:marker>
          <c:xVal>
            <c:numRef>
              <c:f>PlantData!$BB$6:$BX$6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PlantData!$BB$7:$BX$7</c:f>
              <c:numCache>
                <c:formatCode>0.00</c:formatCode>
                <c:ptCount val="23"/>
                <c:pt idx="0">
                  <c:v>0.72908004236912194</c:v>
                </c:pt>
                <c:pt idx="1">
                  <c:v>0.55094910650373186</c:v>
                </c:pt>
                <c:pt idx="2">
                  <c:v>0.20694499711322348</c:v>
                </c:pt>
                <c:pt idx="3">
                  <c:v>0.53401533955605685</c:v>
                </c:pt>
                <c:pt idx="4">
                  <c:v>0.74949521341200953</c:v>
                </c:pt>
                <c:pt idx="5">
                  <c:v>0.82707357960922245</c:v>
                </c:pt>
                <c:pt idx="6">
                  <c:v>0.38232763244472634</c:v>
                </c:pt>
                <c:pt idx="7">
                  <c:v>0.8373184480151511</c:v>
                </c:pt>
                <c:pt idx="8">
                  <c:v>0.85881771015527997</c:v>
                </c:pt>
                <c:pt idx="9">
                  <c:v>0.84382390551832398</c:v>
                </c:pt>
                <c:pt idx="10">
                  <c:v>0.76655690967362655</c:v>
                </c:pt>
                <c:pt idx="11">
                  <c:v>0.49735261616124876</c:v>
                </c:pt>
                <c:pt idx="12">
                  <c:v>0</c:v>
                </c:pt>
                <c:pt idx="13">
                  <c:v>0.30141821640539301</c:v>
                </c:pt>
                <c:pt idx="14">
                  <c:v>0.42964990284737592</c:v>
                </c:pt>
                <c:pt idx="15">
                  <c:v>0.55916273857820276</c:v>
                </c:pt>
                <c:pt idx="16">
                  <c:v>0.27198673955770158</c:v>
                </c:pt>
                <c:pt idx="17">
                  <c:v>0</c:v>
                </c:pt>
                <c:pt idx="18">
                  <c:v>0</c:v>
                </c:pt>
                <c:pt idx="19">
                  <c:v>0</c:v>
                </c:pt>
                <c:pt idx="20">
                  <c:v>0</c:v>
                </c:pt>
                <c:pt idx="21">
                  <c:v>4.3063836069786303E-2</c:v>
                </c:pt>
                <c:pt idx="22">
                  <c:v>0.16281613062996497</c:v>
                </c:pt>
              </c:numCache>
            </c:numRef>
          </c:yVal>
          <c:smooth val="0"/>
          <c:extLst>
            <c:ext xmlns:c16="http://schemas.microsoft.com/office/drawing/2014/chart" uri="{C3380CC4-5D6E-409C-BE32-E72D297353CC}">
              <c16:uniqueId val="{00000004-411B-4BF2-9CE9-19EE83520668}"/>
            </c:ext>
          </c:extLst>
        </c:ser>
        <c:ser>
          <c:idx val="1"/>
          <c:order val="3"/>
          <c:tx>
            <c:strRef>
              <c:f>PlantData!$C$8</c:f>
              <c:strCache>
                <c:ptCount val="1"/>
                <c:pt idx="0">
                  <c:v>Nellis Sunpower</c:v>
                </c:pt>
              </c:strCache>
            </c:strRef>
          </c:tx>
          <c:spPr>
            <a:ln w="12700" cap="rnd">
              <a:noFill/>
              <a:prstDash val="sysDot"/>
              <a:round/>
            </a:ln>
            <a:effectLst/>
          </c:spPr>
          <c:marker>
            <c:symbol val="circle"/>
            <c:size val="5"/>
            <c:spPr>
              <a:solidFill>
                <a:schemeClr val="accent2"/>
              </a:solidFill>
              <a:ln w="9525">
                <a:solidFill>
                  <a:schemeClr val="accent2"/>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PlantData!$BB$8:$BR$8</c:f>
              <c:numCache>
                <c:formatCode>0.00</c:formatCode>
                <c:ptCount val="17"/>
                <c:pt idx="0">
                  <c:v>1.015625</c:v>
                </c:pt>
                <c:pt idx="1">
                  <c:v>1.0050251256281406</c:v>
                </c:pt>
                <c:pt idx="2">
                  <c:v>0.98801166637206117</c:v>
                </c:pt>
                <c:pt idx="3">
                  <c:v>1.019116694048257</c:v>
                </c:pt>
                <c:pt idx="4">
                  <c:v>1.0253219017702644</c:v>
                </c:pt>
                <c:pt idx="5">
                  <c:v>1.0176249872897576</c:v>
                </c:pt>
                <c:pt idx="6">
                  <c:v>1.004833185811133</c:v>
                </c:pt>
                <c:pt idx="7">
                  <c:v>0.98483134787652638</c:v>
                </c:pt>
                <c:pt idx="8">
                  <c:v>0.64162664039483874</c:v>
                </c:pt>
                <c:pt idx="9">
                  <c:v>0.92234110504153655</c:v>
                </c:pt>
                <c:pt idx="10">
                  <c:v>0.88416417096533406</c:v>
                </c:pt>
                <c:pt idx="11">
                  <c:v>0.87420985500285731</c:v>
                </c:pt>
                <c:pt idx="12">
                  <c:v>0.82832397885082709</c:v>
                </c:pt>
                <c:pt idx="13">
                  <c:v>0.63973273613384696</c:v>
                </c:pt>
                <c:pt idx="14">
                  <c:v>0.66959727753855791</c:v>
                </c:pt>
                <c:pt idx="15">
                  <c:v>0.731852587592284</c:v>
                </c:pt>
                <c:pt idx="16">
                  <c:v>0.80463750837893555</c:v>
                </c:pt>
              </c:numCache>
            </c:numRef>
          </c:yVal>
          <c:smooth val="0"/>
          <c:extLst>
            <c:ext xmlns:c16="http://schemas.microsoft.com/office/drawing/2014/chart" uri="{C3380CC4-5D6E-409C-BE32-E72D297353CC}">
              <c16:uniqueId val="{00000005-411B-4BF2-9CE9-19EE83520668}"/>
            </c:ext>
          </c:extLst>
        </c:ser>
        <c:ser>
          <c:idx val="2"/>
          <c:order val="4"/>
          <c:tx>
            <c:strRef>
              <c:f>PlantData!$C$9</c:f>
              <c:strCache>
                <c:ptCount val="1"/>
                <c:pt idx="0">
                  <c:v>SunE Alamosa1</c:v>
                </c:pt>
              </c:strCache>
            </c:strRef>
          </c:tx>
          <c:spPr>
            <a:ln w="12700" cap="rnd">
              <a:noFill/>
              <a:prstDash val="sysDot"/>
              <a:round/>
            </a:ln>
            <a:effectLst/>
          </c:spPr>
          <c:marker>
            <c:symbol val="circle"/>
            <c:size val="5"/>
            <c:spPr>
              <a:solidFill>
                <a:schemeClr val="accent3"/>
              </a:solidFill>
              <a:ln w="9525">
                <a:solidFill>
                  <a:schemeClr val="accent3"/>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PlantData!$BB$9:$BR$9</c:f>
              <c:numCache>
                <c:formatCode>0.00</c:formatCode>
                <c:ptCount val="17"/>
                <c:pt idx="0">
                  <c:v>0.86156351293016908</c:v>
                </c:pt>
                <c:pt idx="1">
                  <c:v>0.86213917790401451</c:v>
                </c:pt>
                <c:pt idx="2">
                  <c:v>0.87406650235041639</c:v>
                </c:pt>
                <c:pt idx="3">
                  <c:v>0.88788795992287439</c:v>
                </c:pt>
                <c:pt idx="4">
                  <c:v>0.88111824615715939</c:v>
                </c:pt>
                <c:pt idx="5">
                  <c:v>0.85198462509892503</c:v>
                </c:pt>
                <c:pt idx="6">
                  <c:v>0.84076838687239086</c:v>
                </c:pt>
                <c:pt idx="7">
                  <c:v>0.13427458989843302</c:v>
                </c:pt>
                <c:pt idx="8">
                  <c:v>0.13484702472646379</c:v>
                </c:pt>
                <c:pt idx="9">
                  <c:v>1.1499999999999999</c:v>
                </c:pt>
                <c:pt idx="10">
                  <c:v>0.82358963403313246</c:v>
                </c:pt>
                <c:pt idx="11">
                  <c:v>0.80581339165191135</c:v>
                </c:pt>
                <c:pt idx="12">
                  <c:v>0.74415302251885529</c:v>
                </c:pt>
                <c:pt idx="13">
                  <c:v>0.64628863143426585</c:v>
                </c:pt>
                <c:pt idx="14">
                  <c:v>0.7237630095906884</c:v>
                </c:pt>
                <c:pt idx="15">
                  <c:v>0.60172495516561963</c:v>
                </c:pt>
                <c:pt idx="16">
                  <c:v>0.71540008510015962</c:v>
                </c:pt>
              </c:numCache>
            </c:numRef>
          </c:yVal>
          <c:smooth val="0"/>
          <c:extLst>
            <c:ext xmlns:c16="http://schemas.microsoft.com/office/drawing/2014/chart" uri="{C3380CC4-5D6E-409C-BE32-E72D297353CC}">
              <c16:uniqueId val="{00000006-411B-4BF2-9CE9-19EE83520668}"/>
            </c:ext>
          </c:extLst>
        </c:ser>
        <c:ser>
          <c:idx val="3"/>
          <c:order val="5"/>
          <c:tx>
            <c:strRef>
              <c:f>PlantData!$C$10</c:f>
              <c:strCache>
                <c:ptCount val="1"/>
                <c:pt idx="0">
                  <c:v>Atlantic Cty ConvCtr</c:v>
                </c:pt>
              </c:strCache>
            </c:strRef>
          </c:tx>
          <c:spPr>
            <a:ln w="12700" cap="rnd">
              <a:noFill/>
              <a:prstDash val="sysDot"/>
              <a:round/>
            </a:ln>
            <a:effectLst/>
          </c:spPr>
          <c:marker>
            <c:symbol val="circle"/>
            <c:size val="5"/>
            <c:spPr>
              <a:solidFill>
                <a:schemeClr val="accent4"/>
              </a:solidFill>
              <a:ln w="9525">
                <a:solidFill>
                  <a:schemeClr val="accent4"/>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PlantData!$BB$10:$BQ$10</c:f>
              <c:numCache>
                <c:formatCode>0.00</c:formatCode>
                <c:ptCount val="16"/>
                <c:pt idx="0">
                  <c:v>0.89389555950122512</c:v>
                </c:pt>
                <c:pt idx="1">
                  <c:v>0.9831287823903434</c:v>
                </c:pt>
                <c:pt idx="2">
                  <c:v>1.0014478711775401</c:v>
                </c:pt>
                <c:pt idx="3">
                  <c:v>1.0054964208564288</c:v>
                </c:pt>
                <c:pt idx="4">
                  <c:v>0.93935587901701012</c:v>
                </c:pt>
                <c:pt idx="5">
                  <c:v>0.98680813315407667</c:v>
                </c:pt>
                <c:pt idx="6">
                  <c:v>0.99276572626997239</c:v>
                </c:pt>
                <c:pt idx="7">
                  <c:v>1.0245218897433699</c:v>
                </c:pt>
                <c:pt idx="8">
                  <c:v>1.0054585305143209</c:v>
                </c:pt>
                <c:pt idx="9">
                  <c:v>0.97975640071965719</c:v>
                </c:pt>
                <c:pt idx="10">
                  <c:v>1.0587260902800208</c:v>
                </c:pt>
                <c:pt idx="11">
                  <c:v>1.0425400920918948</c:v>
                </c:pt>
                <c:pt idx="12">
                  <c:v>1.0244492649845158</c:v>
                </c:pt>
                <c:pt idx="13">
                  <c:v>1.0668365356124532</c:v>
                </c:pt>
                <c:pt idx="14">
                  <c:v>0.97620569584193784</c:v>
                </c:pt>
                <c:pt idx="15">
                  <c:v>0.72268578207759449</c:v>
                </c:pt>
              </c:numCache>
            </c:numRef>
          </c:yVal>
          <c:smooth val="0"/>
          <c:extLst>
            <c:ext xmlns:c16="http://schemas.microsoft.com/office/drawing/2014/chart" uri="{C3380CC4-5D6E-409C-BE32-E72D297353CC}">
              <c16:uniqueId val="{00000007-411B-4BF2-9CE9-19EE83520668}"/>
            </c:ext>
          </c:extLst>
        </c:ser>
        <c:ser>
          <c:idx val="4"/>
          <c:order val="6"/>
          <c:tx>
            <c:strRef>
              <c:f>PlantData!$C$11</c:f>
              <c:strCache>
                <c:ptCount val="1"/>
                <c:pt idx="0">
                  <c:v>MMA Bolthouse</c:v>
                </c:pt>
              </c:strCache>
            </c:strRef>
          </c:tx>
          <c:spPr>
            <a:ln w="12700" cap="rnd">
              <a:noFill/>
              <a:prstDash val="sysDot"/>
              <a:round/>
            </a:ln>
            <a:effectLst/>
          </c:spPr>
          <c:marker>
            <c:symbol val="circle"/>
            <c:size val="5"/>
            <c:spPr>
              <a:solidFill>
                <a:schemeClr val="accent5"/>
              </a:solidFill>
              <a:ln w="9525">
                <a:solidFill>
                  <a:schemeClr val="accent5"/>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PlantData!$BB$11:$BQ$11</c:f>
              <c:numCache>
                <c:formatCode>0.00</c:formatCode>
                <c:ptCount val="16"/>
                <c:pt idx="0">
                  <c:v>0.58633487313494093</c:v>
                </c:pt>
                <c:pt idx="1">
                  <c:v>0.60348141867953564</c:v>
                </c:pt>
                <c:pt idx="2">
                  <c:v>1.0078391651739538</c:v>
                </c:pt>
                <c:pt idx="3">
                  <c:v>0.996979347895674</c:v>
                </c:pt>
                <c:pt idx="4">
                  <c:v>0.95983517137119456</c:v>
                </c:pt>
                <c:pt idx="5">
                  <c:v>0.97322685862989111</c:v>
                </c:pt>
                <c:pt idx="6">
                  <c:v>0.54036862562873644</c:v>
                </c:pt>
                <c:pt idx="7">
                  <c:v>0.90826539409102469</c:v>
                </c:pt>
                <c:pt idx="8">
                  <c:v>0.7900880364441718</c:v>
                </c:pt>
                <c:pt idx="9">
                  <c:v>0.45797981858334735</c:v>
                </c:pt>
                <c:pt idx="10">
                  <c:v>0.81147140623031899</c:v>
                </c:pt>
                <c:pt idx="11">
                  <c:v>0.68162739650555237</c:v>
                </c:pt>
                <c:pt idx="12">
                  <c:v>0.38159824302896089</c:v>
                </c:pt>
                <c:pt idx="13">
                  <c:v>0.21232109791581905</c:v>
                </c:pt>
                <c:pt idx="14">
                  <c:v>2.3156461544796531E-2</c:v>
                </c:pt>
                <c:pt idx="15">
                  <c:v>1.6766444302170721E-2</c:v>
                </c:pt>
              </c:numCache>
            </c:numRef>
          </c:yVal>
          <c:smooth val="0"/>
          <c:extLst>
            <c:ext xmlns:c16="http://schemas.microsoft.com/office/drawing/2014/chart" uri="{C3380CC4-5D6E-409C-BE32-E72D297353CC}">
              <c16:uniqueId val="{00000008-411B-4BF2-9CE9-19EE83520668}"/>
            </c:ext>
          </c:extLst>
        </c:ser>
        <c:ser>
          <c:idx val="5"/>
          <c:order val="7"/>
          <c:tx>
            <c:strRef>
              <c:f>PlantData!$C$12</c:f>
              <c:strCache>
                <c:ptCount val="1"/>
                <c:pt idx="0">
                  <c:v>Copper Mtn10 (FS)</c:v>
                </c:pt>
              </c:strCache>
            </c:strRef>
          </c:tx>
          <c:spPr>
            <a:ln w="12700" cap="rnd">
              <a:noFill/>
              <a:prstDash val="sysDot"/>
              <a:round/>
            </a:ln>
            <a:effectLst/>
          </c:spPr>
          <c:marker>
            <c:symbol val="circle"/>
            <c:size val="5"/>
            <c:spPr>
              <a:solidFill>
                <a:schemeClr val="accent6"/>
              </a:solidFill>
              <a:ln w="9525">
                <a:solidFill>
                  <a:schemeClr val="accent6"/>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PlantData!$BB$12:$BQ$12</c:f>
              <c:numCache>
                <c:formatCode>0.00</c:formatCode>
                <c:ptCount val="16"/>
                <c:pt idx="0">
                  <c:v>0.95044134804953506</c:v>
                </c:pt>
                <c:pt idx="1">
                  <c:v>0.93250671184533862</c:v>
                </c:pt>
                <c:pt idx="2">
                  <c:v>0.95492071220662389</c:v>
                </c:pt>
                <c:pt idx="3">
                  <c:v>0.94631192399525366</c:v>
                </c:pt>
                <c:pt idx="4">
                  <c:v>0.91212028376305121</c:v>
                </c:pt>
                <c:pt idx="5">
                  <c:v>0.8939380543496902</c:v>
                </c:pt>
                <c:pt idx="6">
                  <c:v>0.89915368835437881</c:v>
                </c:pt>
                <c:pt idx="7">
                  <c:v>0.86622544220841791</c:v>
                </c:pt>
                <c:pt idx="8">
                  <c:v>0.88245338591118561</c:v>
                </c:pt>
                <c:pt idx="9">
                  <c:v>0.89946518977214518</c:v>
                </c:pt>
                <c:pt idx="10">
                  <c:v>1.040863086118992</c:v>
                </c:pt>
                <c:pt idx="11">
                  <c:v>1.017857095492988</c:v>
                </c:pt>
                <c:pt idx="12">
                  <c:v>0.87073538724378385</c:v>
                </c:pt>
                <c:pt idx="13">
                  <c:v>0.88738104078646562</c:v>
                </c:pt>
                <c:pt idx="14">
                  <c:v>0.90374838962285176</c:v>
                </c:pt>
                <c:pt idx="15">
                  <c:v>0.85090972452679814</c:v>
                </c:pt>
              </c:numCache>
            </c:numRef>
          </c:yVal>
          <c:smooth val="0"/>
          <c:extLst>
            <c:ext xmlns:c16="http://schemas.microsoft.com/office/drawing/2014/chart" uri="{C3380CC4-5D6E-409C-BE32-E72D297353CC}">
              <c16:uniqueId val="{00000009-411B-4BF2-9CE9-19EE83520668}"/>
            </c:ext>
          </c:extLst>
        </c:ser>
        <c:ser>
          <c:idx val="6"/>
          <c:order val="8"/>
          <c:tx>
            <c:strRef>
              <c:f>PlantData!$C$13</c:f>
              <c:strCache>
                <c:ptCount val="1"/>
                <c:pt idx="0">
                  <c:v>CSU Fresno MMA</c:v>
                </c:pt>
              </c:strCache>
            </c:strRef>
          </c:tx>
          <c:spPr>
            <a:ln w="12700" cap="rnd">
              <a:no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PlantData!$BB$13:$BR$13</c:f>
              <c:numCache>
                <c:formatCode>0.00</c:formatCode>
                <c:ptCount val="17"/>
                <c:pt idx="0">
                  <c:v>0.9321266968325792</c:v>
                </c:pt>
                <c:pt idx="1">
                  <c:v>1.0751884828148499</c:v>
                </c:pt>
                <c:pt idx="2">
                  <c:v>0.73323515839079167</c:v>
                </c:pt>
                <c:pt idx="3">
                  <c:v>0.64373845217303494</c:v>
                </c:pt>
                <c:pt idx="4">
                  <c:v>1.0261880570858803</c:v>
                </c:pt>
                <c:pt idx="5">
                  <c:v>1.0366473248519699</c:v>
                </c:pt>
                <c:pt idx="6">
                  <c:v>0.96791409927509175</c:v>
                </c:pt>
                <c:pt idx="7">
                  <c:v>0.98148143991622561</c:v>
                </c:pt>
                <c:pt idx="8">
                  <c:v>0.97228343674645135</c:v>
                </c:pt>
                <c:pt idx="9">
                  <c:v>0.98190297519142233</c:v>
                </c:pt>
                <c:pt idx="10">
                  <c:v>0.87945405394583143</c:v>
                </c:pt>
                <c:pt idx="11">
                  <c:v>1.0143369631073136</c:v>
                </c:pt>
                <c:pt idx="12">
                  <c:v>0.7887742893662274</c:v>
                </c:pt>
                <c:pt idx="13">
                  <c:v>0.73064362057356824</c:v>
                </c:pt>
                <c:pt idx="14">
                  <c:v>0.41049536955746851</c:v>
                </c:pt>
                <c:pt idx="15">
                  <c:v>0.76239633012337116</c:v>
                </c:pt>
                <c:pt idx="16">
                  <c:v>1.0071618813605576</c:v>
                </c:pt>
              </c:numCache>
            </c:numRef>
          </c:yVal>
          <c:smooth val="0"/>
          <c:extLst>
            <c:ext xmlns:c16="http://schemas.microsoft.com/office/drawing/2014/chart" uri="{C3380CC4-5D6E-409C-BE32-E72D297353CC}">
              <c16:uniqueId val="{0000000A-411B-4BF2-9CE9-19EE83520668}"/>
            </c:ext>
          </c:extLst>
        </c:ser>
        <c:ser>
          <c:idx val="7"/>
          <c:order val="9"/>
          <c:tx>
            <c:strRef>
              <c:f>PlantData!$C$14</c:f>
              <c:strCache>
                <c:ptCount val="1"/>
                <c:pt idx="0">
                  <c:v>Deer Island</c:v>
                </c:pt>
              </c:strCache>
            </c:strRef>
          </c:tx>
          <c:spPr>
            <a:ln w="12700" cap="rnd">
              <a:no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PlantData!$BB$14:$BP$14</c:f>
              <c:numCache>
                <c:formatCode>0.00</c:formatCode>
                <c:ptCount val="15"/>
                <c:pt idx="0">
                  <c:v>0.69329211806078583</c:v>
                </c:pt>
                <c:pt idx="1">
                  <c:v>0.94808994162053417</c:v>
                </c:pt>
                <c:pt idx="2">
                  <c:v>0.95502225412350783</c:v>
                </c:pt>
                <c:pt idx="3">
                  <c:v>0</c:v>
                </c:pt>
                <c:pt idx="4">
                  <c:v>0.91427721624581937</c:v>
                </c:pt>
                <c:pt idx="5">
                  <c:v>0.95958803907724788</c:v>
                </c:pt>
                <c:pt idx="6">
                  <c:v>0.91353524535268849</c:v>
                </c:pt>
                <c:pt idx="7">
                  <c:v>0.88811449625463668</c:v>
                </c:pt>
                <c:pt idx="8">
                  <c:v>0.90263144631008152</c:v>
                </c:pt>
                <c:pt idx="9">
                  <c:v>1.1499999999999999</c:v>
                </c:pt>
                <c:pt idx="10">
                  <c:v>0.85756397690185082</c:v>
                </c:pt>
                <c:pt idx="11">
                  <c:v>0.90043083530821166</c:v>
                </c:pt>
                <c:pt idx="12">
                  <c:v>0.71575834408004357</c:v>
                </c:pt>
                <c:pt idx="13">
                  <c:v>0.71591870987105466</c:v>
                </c:pt>
                <c:pt idx="14">
                  <c:v>0.7149113870631959</c:v>
                </c:pt>
              </c:numCache>
            </c:numRef>
          </c:yVal>
          <c:smooth val="0"/>
          <c:extLst>
            <c:ext xmlns:c16="http://schemas.microsoft.com/office/drawing/2014/chart" uri="{C3380CC4-5D6E-409C-BE32-E72D297353CC}">
              <c16:uniqueId val="{0000000B-411B-4BF2-9CE9-19EE83520668}"/>
            </c:ext>
          </c:extLst>
        </c:ser>
        <c:ser>
          <c:idx val="8"/>
          <c:order val="10"/>
          <c:tx>
            <c:strRef>
              <c:f>PlantData!$C$15</c:f>
              <c:strCache>
                <c:ptCount val="1"/>
                <c:pt idx="0">
                  <c:v>Denver airport MMA</c:v>
                </c:pt>
              </c:strCache>
            </c:strRef>
          </c:tx>
          <c:spPr>
            <a:ln w="12700" cap="rnd">
              <a:no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PlantData!$BB$15:$BQ$15</c:f>
              <c:numCache>
                <c:formatCode>0.00</c:formatCode>
                <c:ptCount val="16"/>
                <c:pt idx="0">
                  <c:v>0.90417327136101655</c:v>
                </c:pt>
                <c:pt idx="1">
                  <c:v>0.96287693858668033</c:v>
                </c:pt>
                <c:pt idx="2">
                  <c:v>0.92226178650119783</c:v>
                </c:pt>
                <c:pt idx="3">
                  <c:v>0.9779361901035919</c:v>
                </c:pt>
                <c:pt idx="4">
                  <c:v>0.41632275079613068</c:v>
                </c:pt>
                <c:pt idx="5">
                  <c:v>0.76533739588972993</c:v>
                </c:pt>
                <c:pt idx="6">
                  <c:v>0.86651205314185831</c:v>
                </c:pt>
                <c:pt idx="7">
                  <c:v>0.92207689598293952</c:v>
                </c:pt>
                <c:pt idx="8">
                  <c:v>0.81307637454167114</c:v>
                </c:pt>
                <c:pt idx="9">
                  <c:v>0.73782887229937133</c:v>
                </c:pt>
                <c:pt idx="10">
                  <c:v>0.61098640142432714</c:v>
                </c:pt>
                <c:pt idx="11">
                  <c:v>0.67041370372568543</c:v>
                </c:pt>
                <c:pt idx="12">
                  <c:v>0.43158667617891461</c:v>
                </c:pt>
                <c:pt idx="13">
                  <c:v>8.1532979971079944E-2</c:v>
                </c:pt>
                <c:pt idx="14">
                  <c:v>0.47526762194197353</c:v>
                </c:pt>
                <c:pt idx="15">
                  <c:v>0.46148447908040591</c:v>
                </c:pt>
              </c:numCache>
            </c:numRef>
          </c:yVal>
          <c:smooth val="0"/>
          <c:extLst>
            <c:ext xmlns:c16="http://schemas.microsoft.com/office/drawing/2014/chart" uri="{C3380CC4-5D6E-409C-BE32-E72D297353CC}">
              <c16:uniqueId val="{0000000C-411B-4BF2-9CE9-19EE83520668}"/>
            </c:ext>
          </c:extLst>
        </c:ser>
        <c:ser>
          <c:idx val="9"/>
          <c:order val="11"/>
          <c:tx>
            <c:strRef>
              <c:f>PlantData!$C$16</c:f>
              <c:strCache>
                <c:ptCount val="1"/>
                <c:pt idx="0">
                  <c:v>Lanai Sunpower</c:v>
                </c:pt>
              </c:strCache>
            </c:strRef>
          </c:tx>
          <c:spPr>
            <a:ln w="12700" cap="rnd">
              <a:no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PlantData!$BB$16:$BQ$16</c:f>
              <c:numCache>
                <c:formatCode>0.00</c:formatCode>
                <c:ptCount val="16"/>
                <c:pt idx="0">
                  <c:v>0.47746905133110534</c:v>
                </c:pt>
                <c:pt idx="1">
                  <c:v>0.61105543606959722</c:v>
                </c:pt>
                <c:pt idx="2">
                  <c:v>0.63355604364368989</c:v>
                </c:pt>
                <c:pt idx="3">
                  <c:v>0.8194624285516694</c:v>
                </c:pt>
                <c:pt idx="4">
                  <c:v>0.61400542064472341</c:v>
                </c:pt>
                <c:pt idx="5">
                  <c:v>0.62237418730595118</c:v>
                </c:pt>
                <c:pt idx="6">
                  <c:v>0.71399938901986071</c:v>
                </c:pt>
                <c:pt idx="7">
                  <c:v>0.83427976135091597</c:v>
                </c:pt>
                <c:pt idx="8">
                  <c:v>0.73335024398355475</c:v>
                </c:pt>
                <c:pt idx="9">
                  <c:v>0.48225330819182721</c:v>
                </c:pt>
                <c:pt idx="10">
                  <c:v>0.52946052903056162</c:v>
                </c:pt>
                <c:pt idx="11">
                  <c:v>0.31542514737915917</c:v>
                </c:pt>
                <c:pt idx="12">
                  <c:v>0</c:v>
                </c:pt>
                <c:pt idx="13">
                  <c:v>5.3161641075107478E-2</c:v>
                </c:pt>
                <c:pt idx="14">
                  <c:v>0</c:v>
                </c:pt>
                <c:pt idx="15">
                  <c:v>0</c:v>
                </c:pt>
              </c:numCache>
            </c:numRef>
          </c:yVal>
          <c:smooth val="0"/>
          <c:extLst>
            <c:ext xmlns:c16="http://schemas.microsoft.com/office/drawing/2014/chart" uri="{C3380CC4-5D6E-409C-BE32-E72D297353CC}">
              <c16:uniqueId val="{0000000D-411B-4BF2-9CE9-19EE83520668}"/>
            </c:ext>
          </c:extLst>
        </c:ser>
        <c:ser>
          <c:idx val="11"/>
          <c:order val="12"/>
          <c:tx>
            <c:strRef>
              <c:f>PlantData!$C$17</c:f>
              <c:strCache>
                <c:ptCount val="1"/>
                <c:pt idx="0">
                  <c:v>MF Mesa Ln</c:v>
                </c:pt>
              </c:strCache>
            </c:strRef>
          </c:tx>
          <c:spPr>
            <a:ln w="12700" cap="rnd">
              <a:noFill/>
              <a:prstDash val="sysDot"/>
              <a:round/>
            </a:ln>
            <a:effectLst/>
          </c:spPr>
          <c:marker>
            <c:symbol val="circle"/>
            <c:size val="5"/>
            <c:spPr>
              <a:solidFill>
                <a:schemeClr val="accent6">
                  <a:lumMod val="60000"/>
                </a:schemeClr>
              </a:solidFill>
              <a:ln w="9525">
                <a:solidFill>
                  <a:schemeClr val="accent6">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PlantData!$BB$17:$BQ$17</c:f>
              <c:numCache>
                <c:formatCode>0.00</c:formatCode>
                <c:ptCount val="16"/>
                <c:pt idx="0">
                  <c:v>0.85543238355545026</c:v>
                </c:pt>
                <c:pt idx="1">
                  <c:v>0.97823972488784183</c:v>
                </c:pt>
                <c:pt idx="2">
                  <c:v>0.93803659703434117</c:v>
                </c:pt>
                <c:pt idx="3">
                  <c:v>0.9729807711336762</c:v>
                </c:pt>
                <c:pt idx="4">
                  <c:v>0.95557340886878306</c:v>
                </c:pt>
                <c:pt idx="5">
                  <c:v>0.91087902059158066</c:v>
                </c:pt>
                <c:pt idx="6">
                  <c:v>0.95975656651849395</c:v>
                </c:pt>
                <c:pt idx="7">
                  <c:v>1.0001480206527387</c:v>
                </c:pt>
                <c:pt idx="8">
                  <c:v>0.89943189669025403</c:v>
                </c:pt>
                <c:pt idx="9">
                  <c:v>0.80973768314409422</c:v>
                </c:pt>
                <c:pt idx="10">
                  <c:v>0.94157159375666022</c:v>
                </c:pt>
                <c:pt idx="11">
                  <c:v>0.89504185210842113</c:v>
                </c:pt>
                <c:pt idx="12">
                  <c:v>0.90999634643955418</c:v>
                </c:pt>
                <c:pt idx="13">
                  <c:v>0.88637339330846454</c:v>
                </c:pt>
                <c:pt idx="14">
                  <c:v>0.79319200920646094</c:v>
                </c:pt>
                <c:pt idx="15">
                  <c:v>0.88080520018748498</c:v>
                </c:pt>
              </c:numCache>
            </c:numRef>
          </c:yVal>
          <c:smooth val="0"/>
          <c:extLst>
            <c:ext xmlns:c16="http://schemas.microsoft.com/office/drawing/2014/chart" uri="{C3380CC4-5D6E-409C-BE32-E72D297353CC}">
              <c16:uniqueId val="{0000000E-411B-4BF2-9CE9-19EE83520668}"/>
            </c:ext>
          </c:extLst>
        </c:ser>
        <c:ser>
          <c:idx val="12"/>
          <c:order val="13"/>
          <c:tx>
            <c:strRef>
              <c:f>PlantData!$C$18</c:f>
              <c:strCache>
                <c:ptCount val="1"/>
                <c:pt idx="0">
                  <c:v>Pennsauken</c:v>
                </c:pt>
              </c:strCache>
            </c:strRef>
          </c:tx>
          <c:spPr>
            <a:ln w="12700" cap="rnd">
              <a:noFill/>
              <a:prstDash val="sysDot"/>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PlantData!$BB$18:$BQ$18</c:f>
              <c:numCache>
                <c:formatCode>0.00</c:formatCode>
                <c:ptCount val="16"/>
                <c:pt idx="0">
                  <c:v>0.82513281803273486</c:v>
                </c:pt>
                <c:pt idx="1">
                  <c:v>0.940888972993839</c:v>
                </c:pt>
                <c:pt idx="2">
                  <c:v>0.81214029657899522</c:v>
                </c:pt>
                <c:pt idx="3">
                  <c:v>0.77276517146102985</c:v>
                </c:pt>
                <c:pt idx="4">
                  <c:v>0.78804178878826248</c:v>
                </c:pt>
                <c:pt idx="5">
                  <c:v>0.80249820714527909</c:v>
                </c:pt>
                <c:pt idx="6">
                  <c:v>0.76785062592509135</c:v>
                </c:pt>
                <c:pt idx="7">
                  <c:v>0.7556452839450436</c:v>
                </c:pt>
                <c:pt idx="8">
                  <c:v>0.74523523884095677</c:v>
                </c:pt>
                <c:pt idx="9">
                  <c:v>0.76877554184014818</c:v>
                </c:pt>
                <c:pt idx="10">
                  <c:v>0.66566300514634902</c:v>
                </c:pt>
                <c:pt idx="11">
                  <c:v>0.75128194022313033</c:v>
                </c:pt>
                <c:pt idx="12">
                  <c:v>0.72079633999325121</c:v>
                </c:pt>
                <c:pt idx="13">
                  <c:v>0.6906475546038795</c:v>
                </c:pt>
                <c:pt idx="14">
                  <c:v>0.71741070054296618</c:v>
                </c:pt>
                <c:pt idx="15">
                  <c:v>0.61901679394422493</c:v>
                </c:pt>
              </c:numCache>
            </c:numRef>
          </c:yVal>
          <c:smooth val="0"/>
          <c:extLst>
            <c:ext xmlns:c16="http://schemas.microsoft.com/office/drawing/2014/chart" uri="{C3380CC4-5D6E-409C-BE32-E72D297353CC}">
              <c16:uniqueId val="{0000000F-411B-4BF2-9CE9-19EE83520668}"/>
            </c:ext>
          </c:extLst>
        </c:ser>
        <c:ser>
          <c:idx val="13"/>
          <c:order val="14"/>
          <c:tx>
            <c:strRef>
              <c:f>PlantData!$C$19</c:f>
              <c:strCache>
                <c:ptCount val="1"/>
                <c:pt idx="0">
                  <c:v>SAS Solar Farm</c:v>
                </c:pt>
              </c:strCache>
            </c:strRef>
          </c:tx>
          <c:spPr>
            <a:ln w="12700" cap="rnd">
              <a:noFill/>
              <a:prstDash val="sysDot"/>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PlantData!$BB$19:$BQ$19</c:f>
              <c:numCache>
                <c:formatCode>0.00</c:formatCode>
                <c:ptCount val="16"/>
                <c:pt idx="0">
                  <c:v>0.40511215853817695</c:v>
                </c:pt>
                <c:pt idx="1">
                  <c:v>0.64418786984987375</c:v>
                </c:pt>
                <c:pt idx="2">
                  <c:v>0.95159509506163176</c:v>
                </c:pt>
                <c:pt idx="3">
                  <c:v>0.93526667501118654</c:v>
                </c:pt>
                <c:pt idx="4">
                  <c:v>0.84167286704524291</c:v>
                </c:pt>
                <c:pt idx="5">
                  <c:v>0.9109510302879088</c:v>
                </c:pt>
                <c:pt idx="6">
                  <c:v>0.88162020426151599</c:v>
                </c:pt>
                <c:pt idx="7">
                  <c:v>0.89695569293247401</c:v>
                </c:pt>
                <c:pt idx="8">
                  <c:v>0.83542878763150508</c:v>
                </c:pt>
                <c:pt idx="9">
                  <c:v>0.69945962036618736</c:v>
                </c:pt>
                <c:pt idx="10">
                  <c:v>0.50841108005091851</c:v>
                </c:pt>
                <c:pt idx="11">
                  <c:v>0.54990724184923845</c:v>
                </c:pt>
                <c:pt idx="12">
                  <c:v>0.50878122538113635</c:v>
                </c:pt>
                <c:pt idx="13">
                  <c:v>0.54168104397527794</c:v>
                </c:pt>
                <c:pt idx="14">
                  <c:v>0.48990627999807496</c:v>
                </c:pt>
                <c:pt idx="15">
                  <c:v>0.48016533720866172</c:v>
                </c:pt>
              </c:numCache>
            </c:numRef>
          </c:yVal>
          <c:smooth val="0"/>
          <c:extLst>
            <c:ext xmlns:c16="http://schemas.microsoft.com/office/drawing/2014/chart" uri="{C3380CC4-5D6E-409C-BE32-E72D297353CC}">
              <c16:uniqueId val="{00000010-411B-4BF2-9CE9-19EE83520668}"/>
            </c:ext>
          </c:extLst>
        </c:ser>
        <c:ser>
          <c:idx val="14"/>
          <c:order val="15"/>
          <c:tx>
            <c:strRef>
              <c:f>PlantData!$C$20</c:f>
              <c:strCache>
                <c:ptCount val="1"/>
                <c:pt idx="0">
                  <c:v>Sacramento Soleil</c:v>
                </c:pt>
              </c:strCache>
            </c:strRef>
          </c:tx>
          <c:spPr>
            <a:ln w="12700" cap="rnd">
              <a:noFill/>
              <a:prstDash val="sysDot"/>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PlantData!$BB$6:$BM$6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PlantData!$BB$20:$BM$20</c:f>
              <c:numCache>
                <c:formatCode>0.00</c:formatCode>
                <c:ptCount val="12"/>
                <c:pt idx="0">
                  <c:v>0.85876737435078587</c:v>
                </c:pt>
                <c:pt idx="1">
                  <c:v>0.89277365526789976</c:v>
                </c:pt>
                <c:pt idx="2">
                  <c:v>0.91578137613345478</c:v>
                </c:pt>
                <c:pt idx="3">
                  <c:v>0.88367137474568025</c:v>
                </c:pt>
                <c:pt idx="4">
                  <c:v>0.92396899906073349</c:v>
                </c:pt>
                <c:pt idx="5">
                  <c:v>0.88369606548533497</c:v>
                </c:pt>
                <c:pt idx="6">
                  <c:v>0.90808308284307437</c:v>
                </c:pt>
                <c:pt idx="7">
                  <c:v>0.88785187697150159</c:v>
                </c:pt>
                <c:pt idx="8">
                  <c:v>0.90662863313672803</c:v>
                </c:pt>
                <c:pt idx="9">
                  <c:v>0.81900038739378245</c:v>
                </c:pt>
                <c:pt idx="10">
                  <c:v>0.77438236084221312</c:v>
                </c:pt>
                <c:pt idx="11">
                  <c:v>0.73198635691973701</c:v>
                </c:pt>
              </c:numCache>
            </c:numRef>
          </c:yVal>
          <c:smooth val="0"/>
          <c:extLst>
            <c:ext xmlns:c16="http://schemas.microsoft.com/office/drawing/2014/chart" uri="{C3380CC4-5D6E-409C-BE32-E72D297353CC}">
              <c16:uniqueId val="{00000011-411B-4BF2-9CE9-19EE83520668}"/>
            </c:ext>
          </c:extLst>
        </c:ser>
        <c:ser>
          <c:idx val="15"/>
          <c:order val="16"/>
          <c:tx>
            <c:strRef>
              <c:f>PlantData!$C$21</c:f>
              <c:strCache>
                <c:ptCount val="1"/>
                <c:pt idx="0">
                  <c:v>Western 102</c:v>
                </c:pt>
              </c:strCache>
            </c:strRef>
          </c:tx>
          <c:spPr>
            <a:ln w="12700" cap="rnd">
              <a:noFill/>
              <a:prstDash val="sysDot"/>
              <a:round/>
            </a:ln>
            <a:effectLst/>
          </c:spPr>
          <c:marker>
            <c:symbol val="circle"/>
            <c:size val="5"/>
            <c:spPr>
              <a:solidFill>
                <a:schemeClr val="accent4">
                  <a:lumMod val="80000"/>
                  <a:lumOff val="20000"/>
                </a:schemeClr>
              </a:solidFill>
              <a:ln w="9525">
                <a:solidFill>
                  <a:srgbClr val="00B05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PlantData!$BB$21:$BQ$21</c:f>
              <c:numCache>
                <c:formatCode>0.00</c:formatCode>
                <c:ptCount val="16"/>
                <c:pt idx="0">
                  <c:v>0.62499947353688989</c:v>
                </c:pt>
                <c:pt idx="1">
                  <c:v>0.46239126179925705</c:v>
                </c:pt>
                <c:pt idx="2">
                  <c:v>1.0322855618783104</c:v>
                </c:pt>
                <c:pt idx="3">
                  <c:v>0.99140463410623081</c:v>
                </c:pt>
                <c:pt idx="4">
                  <c:v>0.96363793402674525</c:v>
                </c:pt>
                <c:pt idx="5">
                  <c:v>0.94615989046831406</c:v>
                </c:pt>
                <c:pt idx="6">
                  <c:v>0.96802407926571199</c:v>
                </c:pt>
                <c:pt idx="7">
                  <c:v>0.96104266791667115</c:v>
                </c:pt>
                <c:pt idx="8">
                  <c:v>0.96318371624924271</c:v>
                </c:pt>
                <c:pt idx="9">
                  <c:v>0.94293549838382507</c:v>
                </c:pt>
                <c:pt idx="10">
                  <c:v>0.99771477191244717</c:v>
                </c:pt>
                <c:pt idx="11">
                  <c:v>0.86120803518158295</c:v>
                </c:pt>
                <c:pt idx="12">
                  <c:v>0.56892614593276847</c:v>
                </c:pt>
                <c:pt idx="13">
                  <c:v>0.54067555294772152</c:v>
                </c:pt>
                <c:pt idx="14">
                  <c:v>0.49906625060266868</c:v>
                </c:pt>
                <c:pt idx="15">
                  <c:v>0.53180380654722303</c:v>
                </c:pt>
              </c:numCache>
            </c:numRef>
          </c:yVal>
          <c:smooth val="0"/>
          <c:extLst>
            <c:ext xmlns:c16="http://schemas.microsoft.com/office/drawing/2014/chart" uri="{C3380CC4-5D6E-409C-BE32-E72D297353CC}">
              <c16:uniqueId val="{00000012-411B-4BF2-9CE9-19EE83520668}"/>
            </c:ext>
          </c:extLst>
        </c:ser>
        <c:ser>
          <c:idx val="16"/>
          <c:order val="17"/>
          <c:tx>
            <c:strRef>
              <c:f>PlantData!$C$22</c:f>
              <c:strCache>
                <c:ptCount val="1"/>
                <c:pt idx="0">
                  <c:v>Wild Horse</c:v>
                </c:pt>
              </c:strCache>
            </c:strRef>
          </c:tx>
          <c:spPr>
            <a:ln w="12700" cap="rnd">
              <a:noFill/>
              <a:prstDash val="sysDot"/>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PlantData!$BB$22:$BP$22</c:f>
              <c:numCache>
                <c:formatCode>0.00</c:formatCode>
                <c:ptCount val="15"/>
                <c:pt idx="0">
                  <c:v>1.1499999999999999</c:v>
                </c:pt>
                <c:pt idx="1">
                  <c:v>1.1066117886697027</c:v>
                </c:pt>
                <c:pt idx="2">
                  <c:v>1.067349572758393</c:v>
                </c:pt>
                <c:pt idx="3">
                  <c:v>1.0262570576516028</c:v>
                </c:pt>
                <c:pt idx="4">
                  <c:v>1.1177190141996209</c:v>
                </c:pt>
                <c:pt idx="5">
                  <c:v>1.0337532260328532</c:v>
                </c:pt>
                <c:pt idx="6">
                  <c:v>0.68739198291568215</c:v>
                </c:pt>
                <c:pt idx="7">
                  <c:v>0.7009001089916379</c:v>
                </c:pt>
                <c:pt idx="8">
                  <c:v>0.56151689265538174</c:v>
                </c:pt>
                <c:pt idx="9">
                  <c:v>0.13782047719900598</c:v>
                </c:pt>
                <c:pt idx="10">
                  <c:v>0.70568750028372274</c:v>
                </c:pt>
                <c:pt idx="11">
                  <c:v>0.81473950362919945</c:v>
                </c:pt>
                <c:pt idx="12">
                  <c:v>0.93812418895159255</c:v>
                </c:pt>
                <c:pt idx="13">
                  <c:v>0.98576194921508731</c:v>
                </c:pt>
                <c:pt idx="14">
                  <c:v>1.0055911353605851</c:v>
                </c:pt>
              </c:numCache>
            </c:numRef>
          </c:yVal>
          <c:smooth val="0"/>
          <c:extLst>
            <c:ext xmlns:c16="http://schemas.microsoft.com/office/drawing/2014/chart" uri="{C3380CC4-5D6E-409C-BE32-E72D297353CC}">
              <c16:uniqueId val="{00000013-411B-4BF2-9CE9-19EE83520668}"/>
            </c:ext>
          </c:extLst>
        </c:ser>
        <c:ser>
          <c:idx val="17"/>
          <c:order val="18"/>
          <c:tx>
            <c:strRef>
              <c:f>PlantData!$C$23</c:f>
              <c:strCache>
                <c:ptCount val="1"/>
                <c:pt idx="0">
                  <c:v>Aqua Ingrams Mill</c:v>
                </c:pt>
              </c:strCache>
            </c:strRef>
          </c:tx>
          <c:spPr>
            <a:ln w="12700" cap="rnd">
              <a:noFill/>
              <a:prstDash val="sysDot"/>
              <a:round/>
            </a:ln>
            <a:effectLst/>
          </c:spPr>
          <c:marker>
            <c:symbol val="circle"/>
            <c:size val="5"/>
            <c:spPr>
              <a:solidFill>
                <a:schemeClr val="accent6">
                  <a:lumMod val="80000"/>
                  <a:lumOff val="20000"/>
                </a:schemeClr>
              </a:solidFill>
              <a:ln w="9525">
                <a:solidFill>
                  <a:srgbClr val="C0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PlantData!$BB$23:$BO$23</c:f>
              <c:numCache>
                <c:formatCode>0.00</c:formatCode>
                <c:ptCount val="14"/>
                <c:pt idx="0">
                  <c:v>0.84932844202016089</c:v>
                </c:pt>
                <c:pt idx="1">
                  <c:v>0.81930292280576833</c:v>
                </c:pt>
                <c:pt idx="2">
                  <c:v>0</c:v>
                </c:pt>
                <c:pt idx="3">
                  <c:v>0.8458220254866855</c:v>
                </c:pt>
                <c:pt idx="4">
                  <c:v>0.80133405992445006</c:v>
                </c:pt>
                <c:pt idx="5">
                  <c:v>0.79963555004487974</c:v>
                </c:pt>
                <c:pt idx="6">
                  <c:v>0.68985081213419952</c:v>
                </c:pt>
                <c:pt idx="7">
                  <c:v>0.79098583719077264</c:v>
                </c:pt>
                <c:pt idx="8">
                  <c:v>0.7445894544052194</c:v>
                </c:pt>
                <c:pt idx="9">
                  <c:v>0.87359381960053983</c:v>
                </c:pt>
                <c:pt idx="10">
                  <c:v>0.72404305312341743</c:v>
                </c:pt>
                <c:pt idx="11">
                  <c:v>0.88174014799311551</c:v>
                </c:pt>
                <c:pt idx="12">
                  <c:v>0.53895009699678198</c:v>
                </c:pt>
                <c:pt idx="13">
                  <c:v>0.50921185953056891</c:v>
                </c:pt>
              </c:numCache>
            </c:numRef>
          </c:yVal>
          <c:smooth val="0"/>
          <c:extLst>
            <c:ext xmlns:c16="http://schemas.microsoft.com/office/drawing/2014/chart" uri="{C3380CC4-5D6E-409C-BE32-E72D297353CC}">
              <c16:uniqueId val="{00000014-411B-4BF2-9CE9-19EE83520668}"/>
            </c:ext>
          </c:extLst>
        </c:ser>
        <c:ser>
          <c:idx val="18"/>
          <c:order val="19"/>
          <c:tx>
            <c:strRef>
              <c:f>PlantData!$C$24</c:f>
              <c:strCache>
                <c:ptCount val="1"/>
                <c:pt idx="0">
                  <c:v>Calpine Vineland Solar LLC</c:v>
                </c:pt>
              </c:strCache>
            </c:strRef>
          </c:tx>
          <c:spPr>
            <a:ln w="12700" cap="rnd">
              <a:noFill/>
              <a:prstDash val="sysDot"/>
              <a:round/>
            </a:ln>
            <a:effectLst/>
          </c:spPr>
          <c:marker>
            <c:symbol val="circle"/>
            <c:size val="5"/>
            <c:spPr>
              <a:solidFill>
                <a:schemeClr val="accent1">
                  <a:lumMod val="80000"/>
                </a:schemeClr>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PlantData!$BB$24:$BP$24</c:f>
              <c:numCache>
                <c:formatCode>0.00</c:formatCode>
                <c:ptCount val="15"/>
                <c:pt idx="0">
                  <c:v>1.1499999999999999</c:v>
                </c:pt>
                <c:pt idx="1">
                  <c:v>0.93329526659240214</c:v>
                </c:pt>
                <c:pt idx="2">
                  <c:v>1.1499999999999999</c:v>
                </c:pt>
                <c:pt idx="3">
                  <c:v>0.92210075402621572</c:v>
                </c:pt>
                <c:pt idx="4">
                  <c:v>0.95123112915668306</c:v>
                </c:pt>
                <c:pt idx="5">
                  <c:v>0.93624599191935165</c:v>
                </c:pt>
                <c:pt idx="6">
                  <c:v>0.97667202395458141</c:v>
                </c:pt>
                <c:pt idx="7">
                  <c:v>0.96021458000851179</c:v>
                </c:pt>
                <c:pt idx="8">
                  <c:v>0.89516547793193413</c:v>
                </c:pt>
                <c:pt idx="9">
                  <c:v>0.92230574854949232</c:v>
                </c:pt>
                <c:pt idx="10">
                  <c:v>0.88391789823457056</c:v>
                </c:pt>
                <c:pt idx="11">
                  <c:v>0.98091205450175101</c:v>
                </c:pt>
                <c:pt idx="12">
                  <c:v>0.98997137902044896</c:v>
                </c:pt>
                <c:pt idx="13">
                  <c:v>1.0178661451052344</c:v>
                </c:pt>
                <c:pt idx="14">
                  <c:v>0.97310165517117186</c:v>
                </c:pt>
              </c:numCache>
            </c:numRef>
          </c:yVal>
          <c:smooth val="0"/>
          <c:extLst>
            <c:ext xmlns:c16="http://schemas.microsoft.com/office/drawing/2014/chart" uri="{C3380CC4-5D6E-409C-BE32-E72D297353CC}">
              <c16:uniqueId val="{00000015-411B-4BF2-9CE9-19EE83520668}"/>
            </c:ext>
          </c:extLst>
        </c:ser>
        <c:ser>
          <c:idx val="19"/>
          <c:order val="20"/>
          <c:tx>
            <c:strRef>
              <c:f>PlantData!$C$25</c:f>
              <c:strCache>
                <c:ptCount val="1"/>
                <c:pt idx="0">
                  <c:v>Chuckawalla SunE</c:v>
                </c:pt>
              </c:strCache>
            </c:strRef>
          </c:tx>
          <c:spPr>
            <a:ln w="12700" cap="rnd">
              <a:noFill/>
              <a:prstDash val="sysDot"/>
              <a:round/>
            </a:ln>
            <a:effectLst/>
          </c:spPr>
          <c:marker>
            <c:symbol val="circle"/>
            <c:size val="5"/>
            <c:spPr>
              <a:solidFill>
                <a:schemeClr val="accent2">
                  <a:lumMod val="80000"/>
                </a:schemeClr>
              </a:solidFill>
              <a:ln w="9525">
                <a:solidFill>
                  <a:schemeClr val="accent2">
                    <a:lumMod val="8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PlantData!$BB$25:$BQ$25</c:f>
              <c:numCache>
                <c:formatCode>0.00</c:formatCode>
                <c:ptCount val="16"/>
                <c:pt idx="0">
                  <c:v>0.9397279776459756</c:v>
                </c:pt>
                <c:pt idx="1">
                  <c:v>0.94626822730540161</c:v>
                </c:pt>
                <c:pt idx="2">
                  <c:v>0.97477608844883712</c:v>
                </c:pt>
                <c:pt idx="3">
                  <c:v>0.79604288422915137</c:v>
                </c:pt>
                <c:pt idx="4">
                  <c:v>0.95137766530490397</c:v>
                </c:pt>
                <c:pt idx="5">
                  <c:v>0.92972730721323993</c:v>
                </c:pt>
                <c:pt idx="6">
                  <c:v>0.88965998544847691</c:v>
                </c:pt>
                <c:pt idx="7">
                  <c:v>1.1499999999999999</c:v>
                </c:pt>
                <c:pt idx="8">
                  <c:v>0.83036789319248561</c:v>
                </c:pt>
                <c:pt idx="9">
                  <c:v>0.72336313579878453</c:v>
                </c:pt>
                <c:pt idx="10">
                  <c:v>0.85917960396383719</c:v>
                </c:pt>
                <c:pt idx="11">
                  <c:v>0.78990630259889538</c:v>
                </c:pt>
                <c:pt idx="12">
                  <c:v>0.71030981984560804</c:v>
                </c:pt>
                <c:pt idx="13">
                  <c:v>0.23361564604990759</c:v>
                </c:pt>
                <c:pt idx="14">
                  <c:v>0.55883804196497677</c:v>
                </c:pt>
                <c:pt idx="15">
                  <c:v>0.67719329310559118</c:v>
                </c:pt>
              </c:numCache>
            </c:numRef>
          </c:yVal>
          <c:smooth val="0"/>
          <c:extLst>
            <c:ext xmlns:c16="http://schemas.microsoft.com/office/drawing/2014/chart" uri="{C3380CC4-5D6E-409C-BE32-E72D297353CC}">
              <c16:uniqueId val="{00000016-411B-4BF2-9CE9-19EE83520668}"/>
            </c:ext>
          </c:extLst>
        </c:ser>
        <c:ser>
          <c:idx val="20"/>
          <c:order val="21"/>
          <c:tx>
            <c:strRef>
              <c:f>PlantData!$C$26</c:f>
              <c:strCache>
                <c:ptCount val="1"/>
                <c:pt idx="0">
                  <c:v>DeSoto</c:v>
                </c:pt>
              </c:strCache>
            </c:strRef>
          </c:tx>
          <c:spPr>
            <a:ln w="12700" cap="rnd">
              <a:noFill/>
              <a:prstDash val="sysDot"/>
              <a:round/>
            </a:ln>
            <a:effectLst/>
          </c:spPr>
          <c:marker>
            <c:symbol val="circle"/>
            <c:size val="5"/>
            <c:spPr>
              <a:solidFill>
                <a:schemeClr val="accent3">
                  <a:lumMod val="80000"/>
                </a:schemeClr>
              </a:solidFill>
              <a:ln w="9525">
                <a:solidFill>
                  <a:srgbClr val="C0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PlantData!$BB$26:$BP$26</c:f>
              <c:numCache>
                <c:formatCode>0.00</c:formatCode>
                <c:ptCount val="15"/>
                <c:pt idx="0">
                  <c:v>1.1447120810616873</c:v>
                </c:pt>
                <c:pt idx="1">
                  <c:v>1.1181985147922018</c:v>
                </c:pt>
                <c:pt idx="2">
                  <c:v>1.1282179301930526</c:v>
                </c:pt>
                <c:pt idx="3">
                  <c:v>1.0855019565960997</c:v>
                </c:pt>
                <c:pt idx="4">
                  <c:v>1.0382776322405904</c:v>
                </c:pt>
                <c:pt idx="5">
                  <c:v>1.1010379623553797</c:v>
                </c:pt>
                <c:pt idx="6">
                  <c:v>1.0759187428988659</c:v>
                </c:pt>
                <c:pt idx="7">
                  <c:v>1.0713233879102675</c:v>
                </c:pt>
                <c:pt idx="8">
                  <c:v>1.0472650195377127</c:v>
                </c:pt>
                <c:pt idx="9">
                  <c:v>1.0272034140226431</c:v>
                </c:pt>
                <c:pt idx="10">
                  <c:v>0.91573508927047642</c:v>
                </c:pt>
                <c:pt idx="11">
                  <c:v>0.99192734090234791</c:v>
                </c:pt>
                <c:pt idx="12">
                  <c:v>0.85519917129471823</c:v>
                </c:pt>
                <c:pt idx="13">
                  <c:v>0.7663868075145468</c:v>
                </c:pt>
                <c:pt idx="14">
                  <c:v>0.6459741309634246</c:v>
                </c:pt>
              </c:numCache>
            </c:numRef>
          </c:yVal>
          <c:smooth val="0"/>
          <c:extLst>
            <c:ext xmlns:c16="http://schemas.microsoft.com/office/drawing/2014/chart" uri="{C3380CC4-5D6E-409C-BE32-E72D297353CC}">
              <c16:uniqueId val="{00000017-411B-4BF2-9CE9-19EE83520668}"/>
            </c:ext>
          </c:extLst>
        </c:ser>
        <c:ser>
          <c:idx val="21"/>
          <c:order val="22"/>
          <c:tx>
            <c:strRef>
              <c:f>PlantData!$C$27</c:f>
              <c:strCache>
                <c:ptCount val="1"/>
                <c:pt idx="0">
                  <c:v>Exelon Chicago</c:v>
                </c:pt>
              </c:strCache>
            </c:strRef>
          </c:tx>
          <c:spPr>
            <a:ln w="12700" cap="rnd">
              <a:noFill/>
              <a:prstDash val="sysDot"/>
              <a:round/>
            </a:ln>
            <a:effectLst/>
          </c:spPr>
          <c:marker>
            <c:symbol val="circle"/>
            <c:size val="5"/>
            <c:spPr>
              <a:solidFill>
                <a:schemeClr val="accent4">
                  <a:lumMod val="80000"/>
                </a:schemeClr>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PlantData!$BB$27:$BQ$27</c:f>
              <c:numCache>
                <c:formatCode>0.00</c:formatCode>
                <c:ptCount val="16"/>
                <c:pt idx="0">
                  <c:v>0.97024285279653288</c:v>
                </c:pt>
                <c:pt idx="1">
                  <c:v>0.96939664714700013</c:v>
                </c:pt>
                <c:pt idx="2">
                  <c:v>1.0447988369508445</c:v>
                </c:pt>
                <c:pt idx="3">
                  <c:v>0.99524877547808144</c:v>
                </c:pt>
                <c:pt idx="4">
                  <c:v>1.0166257693962071</c:v>
                </c:pt>
                <c:pt idx="5">
                  <c:v>0.99353071674133187</c:v>
                </c:pt>
                <c:pt idx="6">
                  <c:v>0.99682684749574446</c:v>
                </c:pt>
                <c:pt idx="7">
                  <c:v>1.0178915475775578</c:v>
                </c:pt>
                <c:pt idx="8">
                  <c:v>0.97823933271607333</c:v>
                </c:pt>
                <c:pt idx="9">
                  <c:v>1.0111406926833415</c:v>
                </c:pt>
                <c:pt idx="10">
                  <c:v>0.99711039884967956</c:v>
                </c:pt>
                <c:pt idx="11">
                  <c:v>0.95500841508594458</c:v>
                </c:pt>
                <c:pt idx="12">
                  <c:v>0.98464764218151402</c:v>
                </c:pt>
                <c:pt idx="13">
                  <c:v>0.92143600479995114</c:v>
                </c:pt>
                <c:pt idx="14">
                  <c:v>0.85896221294256359</c:v>
                </c:pt>
                <c:pt idx="15">
                  <c:v>0.95135165888600792</c:v>
                </c:pt>
              </c:numCache>
            </c:numRef>
          </c:yVal>
          <c:smooth val="0"/>
          <c:extLst>
            <c:ext xmlns:c16="http://schemas.microsoft.com/office/drawing/2014/chart" uri="{C3380CC4-5D6E-409C-BE32-E72D297353CC}">
              <c16:uniqueId val="{00000018-411B-4BF2-9CE9-19EE83520668}"/>
            </c:ext>
          </c:extLst>
        </c:ser>
        <c:ser>
          <c:idx val="22"/>
          <c:order val="23"/>
          <c:tx>
            <c:strRef>
              <c:f>PlantData!$C$28</c:f>
              <c:strCache>
                <c:ptCount val="1"/>
                <c:pt idx="0">
                  <c:v>Hall's Warehouse</c:v>
                </c:pt>
              </c:strCache>
            </c:strRef>
          </c:tx>
          <c:spPr>
            <a:ln w="12700" cap="rnd">
              <a:noFill/>
              <a:prstDash val="sysDot"/>
              <a:round/>
            </a:ln>
            <a:effectLst/>
          </c:spPr>
          <c:marker>
            <c:symbol val="circle"/>
            <c:size val="5"/>
            <c:spPr>
              <a:solidFill>
                <a:schemeClr val="accent5">
                  <a:lumMod val="80000"/>
                </a:schemeClr>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PlantData!$BB$28:$BQ$28</c:f>
              <c:numCache>
                <c:formatCode>0.00</c:formatCode>
                <c:ptCount val="16"/>
                <c:pt idx="0">
                  <c:v>0.87523150448372389</c:v>
                </c:pt>
                <c:pt idx="1">
                  <c:v>0.97741851847245964</c:v>
                </c:pt>
                <c:pt idx="2">
                  <c:v>0.90625746260411122</c:v>
                </c:pt>
                <c:pt idx="3">
                  <c:v>0.96874635100024997</c:v>
                </c:pt>
                <c:pt idx="4">
                  <c:v>0.8920026258840611</c:v>
                </c:pt>
                <c:pt idx="5">
                  <c:v>0.61396515005826247</c:v>
                </c:pt>
                <c:pt idx="6">
                  <c:v>0.72696250493707582</c:v>
                </c:pt>
                <c:pt idx="7">
                  <c:v>0.70542194206335551</c:v>
                </c:pt>
                <c:pt idx="8">
                  <c:v>0.86770521616109353</c:v>
                </c:pt>
                <c:pt idx="9">
                  <c:v>0.80648934697814678</c:v>
                </c:pt>
                <c:pt idx="10">
                  <c:v>0.76578518395678297</c:v>
                </c:pt>
                <c:pt idx="11">
                  <c:v>0.71575407310762018</c:v>
                </c:pt>
                <c:pt idx="12">
                  <c:v>0.67463979516376649</c:v>
                </c:pt>
                <c:pt idx="13">
                  <c:v>0.85228064501043443</c:v>
                </c:pt>
                <c:pt idx="14">
                  <c:v>0.79986066721812488</c:v>
                </c:pt>
                <c:pt idx="15">
                  <c:v>0.72016357369500106</c:v>
                </c:pt>
              </c:numCache>
            </c:numRef>
          </c:yVal>
          <c:smooth val="0"/>
          <c:extLst>
            <c:ext xmlns:c16="http://schemas.microsoft.com/office/drawing/2014/chart" uri="{C3380CC4-5D6E-409C-BE32-E72D297353CC}">
              <c16:uniqueId val="{00000019-411B-4BF2-9CE9-19EE83520668}"/>
            </c:ext>
          </c:extLst>
        </c:ser>
        <c:ser>
          <c:idx val="23"/>
          <c:order val="24"/>
          <c:tx>
            <c:strRef>
              <c:f>PlantData!$C$29</c:f>
              <c:strCache>
                <c:ptCount val="1"/>
                <c:pt idx="0">
                  <c:v>Kohl's San Bernardino SunE</c:v>
                </c:pt>
              </c:strCache>
            </c:strRef>
          </c:tx>
          <c:spPr>
            <a:ln w="12700" cap="rnd">
              <a:noFill/>
              <a:prstDash val="sysDot"/>
              <a:round/>
            </a:ln>
            <a:effectLst/>
          </c:spPr>
          <c:marker>
            <c:symbol val="circle"/>
            <c:size val="5"/>
            <c:spPr>
              <a:solidFill>
                <a:srgbClr val="92D050"/>
              </a:solidFill>
              <a:ln w="9525">
                <a:solidFill>
                  <a:schemeClr val="bg2">
                    <a:lumMod val="1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PlantData!$BB$29:$BQ$29</c:f>
              <c:numCache>
                <c:formatCode>0.00</c:formatCode>
                <c:ptCount val="16"/>
                <c:pt idx="0">
                  <c:v>0.90504472924699808</c:v>
                </c:pt>
                <c:pt idx="1">
                  <c:v>0.89271160561876106</c:v>
                </c:pt>
                <c:pt idx="2">
                  <c:v>1.1499999999999999</c:v>
                </c:pt>
                <c:pt idx="3">
                  <c:v>0.91524676122308857</c:v>
                </c:pt>
                <c:pt idx="4">
                  <c:v>0.88809240353828423</c:v>
                </c:pt>
                <c:pt idx="5">
                  <c:v>0.81555836486441147</c:v>
                </c:pt>
                <c:pt idx="6">
                  <c:v>0.97646052861196742</c:v>
                </c:pt>
                <c:pt idx="7">
                  <c:v>0.43951750099699755</c:v>
                </c:pt>
                <c:pt idx="8">
                  <c:v>0</c:v>
                </c:pt>
                <c:pt idx="9">
                  <c:v>0.52405250641852774</c:v>
                </c:pt>
                <c:pt idx="10">
                  <c:v>0.71055854100933258</c:v>
                </c:pt>
                <c:pt idx="11">
                  <c:v>0.7595452975172492</c:v>
                </c:pt>
                <c:pt idx="12">
                  <c:v>0.76336210805753679</c:v>
                </c:pt>
                <c:pt idx="13">
                  <c:v>0.85736364827681688</c:v>
                </c:pt>
                <c:pt idx="14">
                  <c:v>0.55590033008979767</c:v>
                </c:pt>
                <c:pt idx="15">
                  <c:v>0.50277115951997264</c:v>
                </c:pt>
              </c:numCache>
            </c:numRef>
          </c:yVal>
          <c:smooth val="0"/>
          <c:extLst>
            <c:ext xmlns:c16="http://schemas.microsoft.com/office/drawing/2014/chart" uri="{C3380CC4-5D6E-409C-BE32-E72D297353CC}">
              <c16:uniqueId val="{0000001A-411B-4BF2-9CE9-19EE83520668}"/>
            </c:ext>
          </c:extLst>
        </c:ser>
        <c:ser>
          <c:idx val="24"/>
          <c:order val="25"/>
          <c:tx>
            <c:strRef>
              <c:f>PlantData!$C$30</c:f>
              <c:strCache>
                <c:ptCount val="1"/>
                <c:pt idx="0">
                  <c:v>Mariani Packing SunE</c:v>
                </c:pt>
              </c:strCache>
            </c:strRef>
          </c:tx>
          <c:spPr>
            <a:ln w="12700" cap="rnd">
              <a:noFill/>
              <a:prstDash val="sysDot"/>
              <a:round/>
            </a:ln>
            <a:effectLst/>
          </c:spPr>
          <c:marker>
            <c:symbol val="circle"/>
            <c:size val="5"/>
            <c:spPr>
              <a:solidFill>
                <a:srgbClr val="002060"/>
              </a:solidFill>
              <a:ln w="9525">
                <a:solidFill>
                  <a:schemeClr val="accent1">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PlantData!$BB$30:$BQ$30</c:f>
              <c:numCache>
                <c:formatCode>0.00</c:formatCode>
                <c:ptCount val="16"/>
                <c:pt idx="0">
                  <c:v>0.97508835019461948</c:v>
                </c:pt>
                <c:pt idx="1">
                  <c:v>0.5557849429614552</c:v>
                </c:pt>
                <c:pt idx="2">
                  <c:v>0.97997842278659186</c:v>
                </c:pt>
                <c:pt idx="3">
                  <c:v>0.9958132419172786</c:v>
                </c:pt>
                <c:pt idx="4">
                  <c:v>1.0676049391313194</c:v>
                </c:pt>
                <c:pt idx="5">
                  <c:v>0.99733092812824931</c:v>
                </c:pt>
                <c:pt idx="6">
                  <c:v>1.0119079402728264</c:v>
                </c:pt>
                <c:pt idx="7">
                  <c:v>0.94261581175943177</c:v>
                </c:pt>
                <c:pt idx="8">
                  <c:v>0.85887197990040387</c:v>
                </c:pt>
                <c:pt idx="9">
                  <c:v>0.70833537976558925</c:v>
                </c:pt>
                <c:pt idx="10">
                  <c:v>0.90039803688650888</c:v>
                </c:pt>
                <c:pt idx="11">
                  <c:v>0.91214964220902661</c:v>
                </c:pt>
                <c:pt idx="12">
                  <c:v>0.81245294935306722</c:v>
                </c:pt>
                <c:pt idx="13">
                  <c:v>0.2841710836413367</c:v>
                </c:pt>
                <c:pt idx="14">
                  <c:v>0.46691519159915357</c:v>
                </c:pt>
                <c:pt idx="15">
                  <c:v>0.65991544148772974</c:v>
                </c:pt>
              </c:numCache>
            </c:numRef>
          </c:yVal>
          <c:smooth val="0"/>
          <c:extLst>
            <c:ext xmlns:c16="http://schemas.microsoft.com/office/drawing/2014/chart" uri="{C3380CC4-5D6E-409C-BE32-E72D297353CC}">
              <c16:uniqueId val="{0000001B-411B-4BF2-9CE9-19EE83520668}"/>
            </c:ext>
          </c:extLst>
        </c:ser>
        <c:ser>
          <c:idx val="25"/>
          <c:order val="26"/>
          <c:tx>
            <c:strRef>
              <c:f>PlantData!$C$31</c:f>
              <c:strCache>
                <c:ptCount val="1"/>
                <c:pt idx="0">
                  <c:v>PPL Merck</c:v>
                </c:pt>
              </c:strCache>
            </c:strRef>
          </c:tx>
          <c:spPr>
            <a:ln w="12700" cap="rnd">
              <a:noFill/>
              <a:prstDash val="sysDot"/>
              <a:round/>
            </a:ln>
            <a:effectLst/>
          </c:spPr>
          <c:marker>
            <c:symbol val="circle"/>
            <c:size val="5"/>
            <c:spPr>
              <a:solidFill>
                <a:srgbClr val="00B050"/>
              </a:solidFill>
              <a:ln w="9525">
                <a:solidFill>
                  <a:schemeClr val="accent2">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PlantData!$BB$31:$BQ$31</c:f>
              <c:numCache>
                <c:formatCode>0.00</c:formatCode>
                <c:ptCount val="16"/>
                <c:pt idx="0">
                  <c:v>0.77053649099145882</c:v>
                </c:pt>
                <c:pt idx="1">
                  <c:v>0.70760804400333988</c:v>
                </c:pt>
                <c:pt idx="2">
                  <c:v>0.78069775420422216</c:v>
                </c:pt>
                <c:pt idx="3">
                  <c:v>0.75329385861815168</c:v>
                </c:pt>
                <c:pt idx="4">
                  <c:v>0.3250161100658634</c:v>
                </c:pt>
                <c:pt idx="5">
                  <c:v>0.77451434686815401</c:v>
                </c:pt>
                <c:pt idx="6">
                  <c:v>0.81167579029924442</c:v>
                </c:pt>
                <c:pt idx="7">
                  <c:v>0.71691992346076272</c:v>
                </c:pt>
                <c:pt idx="8">
                  <c:v>0.67654002193256002</c:v>
                </c:pt>
                <c:pt idx="9">
                  <c:v>0.745003346094123</c:v>
                </c:pt>
                <c:pt idx="10">
                  <c:v>0.72828132794058653</c:v>
                </c:pt>
                <c:pt idx="11">
                  <c:v>0.63160641581946642</c:v>
                </c:pt>
                <c:pt idx="12">
                  <c:v>0.5687308959765931</c:v>
                </c:pt>
                <c:pt idx="13">
                  <c:v>0.35014883737822605</c:v>
                </c:pt>
                <c:pt idx="14">
                  <c:v>0</c:v>
                </c:pt>
              </c:numCache>
            </c:numRef>
          </c:yVal>
          <c:smooth val="0"/>
          <c:extLst>
            <c:ext xmlns:c16="http://schemas.microsoft.com/office/drawing/2014/chart" uri="{C3380CC4-5D6E-409C-BE32-E72D297353CC}">
              <c16:uniqueId val="{0000001C-411B-4BF2-9CE9-19EE83520668}"/>
            </c:ext>
          </c:extLst>
        </c:ser>
        <c:ser>
          <c:idx val="26"/>
          <c:order val="27"/>
          <c:tx>
            <c:strRef>
              <c:f>PlantData!$C$32</c:f>
              <c:strCache>
                <c:ptCount val="1"/>
                <c:pt idx="0">
                  <c:v>PSEG Hackettstown</c:v>
                </c:pt>
              </c:strCache>
            </c:strRef>
          </c:tx>
          <c:spPr>
            <a:ln w="12700" cap="rnd">
              <a:noFill/>
              <a:prstDash val="sysDot"/>
              <a:round/>
            </a:ln>
            <a:effectLst/>
          </c:spPr>
          <c:marker>
            <c:symbol val="circle"/>
            <c:size val="5"/>
            <c:spPr>
              <a:solidFill>
                <a:srgbClr val="7030A0"/>
              </a:solidFill>
              <a:ln w="9525">
                <a:solidFill>
                  <a:schemeClr val="accent3">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PlantData!$BB$32:$BP$32</c:f>
              <c:numCache>
                <c:formatCode>0.00</c:formatCode>
                <c:ptCount val="15"/>
                <c:pt idx="0">
                  <c:v>0.94239931350925032</c:v>
                </c:pt>
                <c:pt idx="1">
                  <c:v>0.83253993882836619</c:v>
                </c:pt>
                <c:pt idx="2">
                  <c:v>0.95050685950053893</c:v>
                </c:pt>
                <c:pt idx="3">
                  <c:v>0.92599721924712286</c:v>
                </c:pt>
                <c:pt idx="4">
                  <c:v>0.87949272730757655</c:v>
                </c:pt>
                <c:pt idx="5">
                  <c:v>0.87017819342810521</c:v>
                </c:pt>
                <c:pt idx="6">
                  <c:v>0.93011731759935268</c:v>
                </c:pt>
                <c:pt idx="7">
                  <c:v>0.85653629669628262</c:v>
                </c:pt>
                <c:pt idx="8">
                  <c:v>0.77468495089268785</c:v>
                </c:pt>
                <c:pt idx="9">
                  <c:v>0.8590584290091049</c:v>
                </c:pt>
                <c:pt idx="10">
                  <c:v>0.86012546122485611</c:v>
                </c:pt>
                <c:pt idx="11">
                  <c:v>0.8132776217801444</c:v>
                </c:pt>
                <c:pt idx="12">
                  <c:v>0.87353317419917342</c:v>
                </c:pt>
                <c:pt idx="13">
                  <c:v>0.83760065590797883</c:v>
                </c:pt>
                <c:pt idx="14">
                  <c:v>0.64876450306409528</c:v>
                </c:pt>
              </c:numCache>
            </c:numRef>
          </c:yVal>
          <c:smooth val="0"/>
          <c:extLst>
            <c:ext xmlns:c16="http://schemas.microsoft.com/office/drawing/2014/chart" uri="{C3380CC4-5D6E-409C-BE32-E72D297353CC}">
              <c16:uniqueId val="{0000001D-411B-4BF2-9CE9-19EE83520668}"/>
            </c:ext>
          </c:extLst>
        </c:ser>
        <c:ser>
          <c:idx val="27"/>
          <c:order val="28"/>
          <c:tx>
            <c:strRef>
              <c:f>PlantData!$C$33</c:f>
              <c:strCache>
                <c:ptCount val="1"/>
                <c:pt idx="0">
                  <c:v>RV CSU</c:v>
                </c:pt>
              </c:strCache>
            </c:strRef>
          </c:tx>
          <c:spPr>
            <a:ln w="12700" cap="rnd">
              <a:noFill/>
              <a:prstDash val="sysDot"/>
              <a:round/>
            </a:ln>
            <a:effectLst/>
          </c:spPr>
          <c:marker>
            <c:symbol val="circle"/>
            <c:size val="5"/>
            <c:spPr>
              <a:solidFill>
                <a:srgbClr val="002060"/>
              </a:solidFill>
              <a:ln w="9525">
                <a:solidFill>
                  <a:schemeClr val="accent4">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PlantData!$BB$33:$BP$33</c:f>
              <c:numCache>
                <c:formatCode>0.00</c:formatCode>
                <c:ptCount val="15"/>
                <c:pt idx="0">
                  <c:v>0.96111813176931404</c:v>
                </c:pt>
                <c:pt idx="1">
                  <c:v>0.95533919508368215</c:v>
                </c:pt>
                <c:pt idx="2">
                  <c:v>0.98763659521880631</c:v>
                </c:pt>
                <c:pt idx="3">
                  <c:v>0.95565909696109363</c:v>
                </c:pt>
                <c:pt idx="4">
                  <c:v>0.83037825720399105</c:v>
                </c:pt>
                <c:pt idx="5">
                  <c:v>0.85192562378346937</c:v>
                </c:pt>
                <c:pt idx="6">
                  <c:v>1.1499999999999999</c:v>
                </c:pt>
                <c:pt idx="7">
                  <c:v>0.9637933234143049</c:v>
                </c:pt>
                <c:pt idx="8">
                  <c:v>0.9804914601958773</c:v>
                </c:pt>
                <c:pt idx="9">
                  <c:v>0.87382883773304831</c:v>
                </c:pt>
                <c:pt idx="10">
                  <c:v>0.87559141083658365</c:v>
                </c:pt>
                <c:pt idx="11">
                  <c:v>0.88439425977473307</c:v>
                </c:pt>
                <c:pt idx="12">
                  <c:v>0.67555262368401536</c:v>
                </c:pt>
                <c:pt idx="13">
                  <c:v>0.74535967871743625</c:v>
                </c:pt>
                <c:pt idx="14">
                  <c:v>0.52353931771288242</c:v>
                </c:pt>
              </c:numCache>
            </c:numRef>
          </c:yVal>
          <c:smooth val="0"/>
          <c:extLst>
            <c:ext xmlns:c16="http://schemas.microsoft.com/office/drawing/2014/chart" uri="{C3380CC4-5D6E-409C-BE32-E72D297353CC}">
              <c16:uniqueId val="{0000001E-411B-4BF2-9CE9-19EE83520668}"/>
            </c:ext>
          </c:extLst>
        </c:ser>
        <c:ser>
          <c:idx val="29"/>
          <c:order val="29"/>
          <c:tx>
            <c:strRef>
              <c:f>PlantData!$C$34</c:f>
              <c:strCache>
                <c:ptCount val="1"/>
                <c:pt idx="0">
                  <c:v>Solar Blythe (NRG)</c:v>
                </c:pt>
              </c:strCache>
            </c:strRef>
          </c:tx>
          <c:spPr>
            <a:ln w="12700" cap="rnd">
              <a:noFill/>
              <a:prstDash val="sysDot"/>
              <a:round/>
            </a:ln>
            <a:effectLst/>
          </c:spPr>
          <c:marker>
            <c:symbol val="circle"/>
            <c:size val="5"/>
            <c:spPr>
              <a:solidFill>
                <a:srgbClr val="C00000"/>
              </a:solidFill>
              <a:ln w="12700">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PlantData!$BB$34:$BP$34</c:f>
              <c:numCache>
                <c:formatCode>0.00</c:formatCode>
                <c:ptCount val="15"/>
                <c:pt idx="0">
                  <c:v>1.0131452752749142</c:v>
                </c:pt>
                <c:pt idx="1">
                  <c:v>1.0472384788191529</c:v>
                </c:pt>
                <c:pt idx="2">
                  <c:v>0.97928263153905348</c:v>
                </c:pt>
                <c:pt idx="3">
                  <c:v>0.98247075160357589</c:v>
                </c:pt>
                <c:pt idx="4">
                  <c:v>0.96907945847900556</c:v>
                </c:pt>
                <c:pt idx="5">
                  <c:v>0.95661232520871764</c:v>
                </c:pt>
                <c:pt idx="6">
                  <c:v>0.95224669192526179</c:v>
                </c:pt>
                <c:pt idx="7">
                  <c:v>0.92626034103322674</c:v>
                </c:pt>
                <c:pt idx="8">
                  <c:v>0.89459468042439505</c:v>
                </c:pt>
                <c:pt idx="9">
                  <c:v>0.92096626890772693</c:v>
                </c:pt>
                <c:pt idx="10">
                  <c:v>0.8880106697400677</c:v>
                </c:pt>
                <c:pt idx="11">
                  <c:v>0.88596647035702369</c:v>
                </c:pt>
                <c:pt idx="12">
                  <c:v>0.90671276103016496</c:v>
                </c:pt>
                <c:pt idx="13">
                  <c:v>0.87892906329338694</c:v>
                </c:pt>
                <c:pt idx="14">
                  <c:v>0.91055115104084594</c:v>
                </c:pt>
              </c:numCache>
            </c:numRef>
          </c:yVal>
          <c:smooth val="0"/>
          <c:extLst>
            <c:ext xmlns:c16="http://schemas.microsoft.com/office/drawing/2014/chart" uri="{C3380CC4-5D6E-409C-BE32-E72D297353CC}">
              <c16:uniqueId val="{0000001F-411B-4BF2-9CE9-19EE83520668}"/>
            </c:ext>
          </c:extLst>
        </c:ser>
        <c:ser>
          <c:idx val="30"/>
          <c:order val="30"/>
          <c:tx>
            <c:strRef>
              <c:f>PlantData!$C$35</c:f>
              <c:strCache>
                <c:ptCount val="1"/>
                <c:pt idx="0">
                  <c:v>Solar PV #02 (SCE)</c:v>
                </c:pt>
              </c:strCache>
            </c:strRef>
          </c:tx>
          <c:spPr>
            <a:ln w="12700" cap="rnd">
              <a:noFill/>
              <a:prstDash val="sysDot"/>
              <a:round/>
            </a:ln>
            <a:effectLst/>
          </c:spPr>
          <c:marker>
            <c:symbol val="circle"/>
            <c:size val="5"/>
            <c:spPr>
              <a:solidFill>
                <a:srgbClr val="FFC000"/>
              </a:solidFill>
              <a:ln w="9525">
                <a:solidFill>
                  <a:schemeClr val="accent1">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PlantData!$BB$35:$BO$35</c:f>
              <c:numCache>
                <c:formatCode>0.00</c:formatCode>
                <c:ptCount val="14"/>
                <c:pt idx="0">
                  <c:v>0.79023088965567567</c:v>
                </c:pt>
                <c:pt idx="1">
                  <c:v>0.73328141568380012</c:v>
                </c:pt>
                <c:pt idx="2">
                  <c:v>0.49823861357973603</c:v>
                </c:pt>
                <c:pt idx="3">
                  <c:v>0.53687254934687978</c:v>
                </c:pt>
                <c:pt idx="4">
                  <c:v>0.44879094371265577</c:v>
                </c:pt>
                <c:pt idx="5">
                  <c:v>0.40086657488453264</c:v>
                </c:pt>
                <c:pt idx="6">
                  <c:v>0.51520626006446857</c:v>
                </c:pt>
                <c:pt idx="7">
                  <c:v>0.33406144273915944</c:v>
                </c:pt>
                <c:pt idx="8">
                  <c:v>0.21128474545103654</c:v>
                </c:pt>
                <c:pt idx="9">
                  <c:v>0.38455074480108808</c:v>
                </c:pt>
                <c:pt idx="10">
                  <c:v>0.4221495339730203</c:v>
                </c:pt>
                <c:pt idx="11">
                  <c:v>0.69928304323263712</c:v>
                </c:pt>
                <c:pt idx="12">
                  <c:v>0.4193158740721864</c:v>
                </c:pt>
                <c:pt idx="13">
                  <c:v>0</c:v>
                </c:pt>
              </c:numCache>
            </c:numRef>
          </c:yVal>
          <c:smooth val="0"/>
          <c:extLst>
            <c:ext xmlns:c16="http://schemas.microsoft.com/office/drawing/2014/chart" uri="{C3380CC4-5D6E-409C-BE32-E72D297353CC}">
              <c16:uniqueId val="{00000020-411B-4BF2-9CE9-19EE83520668}"/>
            </c:ext>
          </c:extLst>
        </c:ser>
        <c:ser>
          <c:idx val="31"/>
          <c:order val="31"/>
          <c:tx>
            <c:strRef>
              <c:f>PlantData!$C$36</c:f>
              <c:strCache>
                <c:ptCount val="1"/>
                <c:pt idx="0">
                  <c:v>SunE Anheuser</c:v>
                </c:pt>
              </c:strCache>
            </c:strRef>
          </c:tx>
          <c:spPr>
            <a:ln w="12700" cap="rnd">
              <a:noFill/>
              <a:prstDash val="sysDot"/>
              <a:round/>
            </a:ln>
            <a:effectLst/>
          </c:spPr>
          <c:marker>
            <c:symbol val="circle"/>
            <c:size val="5"/>
            <c:spPr>
              <a:solidFill>
                <a:srgbClr val="FFFF00"/>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PlantData!$BB$36:$BQ$36</c:f>
              <c:numCache>
                <c:formatCode>0.00</c:formatCode>
                <c:ptCount val="16"/>
                <c:pt idx="0">
                  <c:v>0.98831913316945474</c:v>
                </c:pt>
                <c:pt idx="1">
                  <c:v>0.93297733026723084</c:v>
                </c:pt>
                <c:pt idx="2">
                  <c:v>0.98425493151308596</c:v>
                </c:pt>
                <c:pt idx="3">
                  <c:v>0.97419926758449593</c:v>
                </c:pt>
                <c:pt idx="4">
                  <c:v>1.0055938056842659</c:v>
                </c:pt>
                <c:pt idx="5">
                  <c:v>0.96013764765937837</c:v>
                </c:pt>
                <c:pt idx="6">
                  <c:v>0.94834904601439651</c:v>
                </c:pt>
                <c:pt idx="7">
                  <c:v>1.1499999999999999</c:v>
                </c:pt>
                <c:pt idx="8">
                  <c:v>0.75886517742532233</c:v>
                </c:pt>
                <c:pt idx="9">
                  <c:v>0.79594035067575142</c:v>
                </c:pt>
                <c:pt idx="10">
                  <c:v>0.74485294913001665</c:v>
                </c:pt>
                <c:pt idx="11">
                  <c:v>0.6530103550619234</c:v>
                </c:pt>
                <c:pt idx="12">
                  <c:v>0.80847542320680921</c:v>
                </c:pt>
                <c:pt idx="13">
                  <c:v>0.79580938790383526</c:v>
                </c:pt>
                <c:pt idx="14">
                  <c:v>0.35883297132157171</c:v>
                </c:pt>
                <c:pt idx="15">
                  <c:v>0.57305905290670989</c:v>
                </c:pt>
              </c:numCache>
            </c:numRef>
          </c:yVal>
          <c:smooth val="0"/>
          <c:extLst>
            <c:ext xmlns:c16="http://schemas.microsoft.com/office/drawing/2014/chart" uri="{C3380CC4-5D6E-409C-BE32-E72D297353CC}">
              <c16:uniqueId val="{00000021-411B-4BF2-9CE9-19EE83520668}"/>
            </c:ext>
          </c:extLst>
        </c:ser>
        <c:ser>
          <c:idx val="32"/>
          <c:order val="32"/>
          <c:tx>
            <c:strRef>
              <c:f>PlantData!$C$37</c:f>
              <c:strCache>
                <c:ptCount val="1"/>
                <c:pt idx="0">
                  <c:v>SunE Ironwood</c:v>
                </c:pt>
              </c:strCache>
            </c:strRef>
          </c:tx>
          <c:spPr>
            <a:ln w="12700" cap="rnd">
              <a:noFill/>
              <a:prstDash val="sysDot"/>
              <a:round/>
            </a:ln>
            <a:effectLst/>
          </c:spPr>
          <c:marker>
            <c:symbol val="circle"/>
            <c:size val="5"/>
            <c:spPr>
              <a:solidFill>
                <a:schemeClr val="accent4">
                  <a:lumMod val="75000"/>
                </a:schemeClr>
              </a:solidFill>
              <a:ln w="9525">
                <a:solidFill>
                  <a:schemeClr val="accent3">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PlantData!$BB$37:$BQ$37</c:f>
              <c:numCache>
                <c:formatCode>0.00</c:formatCode>
                <c:ptCount val="16"/>
                <c:pt idx="0">
                  <c:v>0.9656169098269326</c:v>
                </c:pt>
                <c:pt idx="1">
                  <c:v>0.98439763565594796</c:v>
                </c:pt>
                <c:pt idx="2">
                  <c:v>1.0131794222687542</c:v>
                </c:pt>
                <c:pt idx="3">
                  <c:v>0.93081660194696814</c:v>
                </c:pt>
                <c:pt idx="4">
                  <c:v>0.86594345091956093</c:v>
                </c:pt>
                <c:pt idx="5">
                  <c:v>0.88028065726143223</c:v>
                </c:pt>
                <c:pt idx="6">
                  <c:v>0.8152247924334346</c:v>
                </c:pt>
                <c:pt idx="7">
                  <c:v>1.1499999999999999</c:v>
                </c:pt>
                <c:pt idx="8">
                  <c:v>0.63434402927210198</c:v>
                </c:pt>
                <c:pt idx="9">
                  <c:v>0.86793650170811398</c:v>
                </c:pt>
                <c:pt idx="10">
                  <c:v>0.70847137110967795</c:v>
                </c:pt>
                <c:pt idx="11">
                  <c:v>0.79316908483707849</c:v>
                </c:pt>
                <c:pt idx="12">
                  <c:v>0.68060477244317452</c:v>
                </c:pt>
                <c:pt idx="13">
                  <c:v>0.16990682711532482</c:v>
                </c:pt>
                <c:pt idx="14">
                  <c:v>0.50304072727966109</c:v>
                </c:pt>
                <c:pt idx="15">
                  <c:v>0.40219352703657463</c:v>
                </c:pt>
              </c:numCache>
            </c:numRef>
          </c:yVal>
          <c:smooth val="0"/>
          <c:extLst>
            <c:ext xmlns:c16="http://schemas.microsoft.com/office/drawing/2014/chart" uri="{C3380CC4-5D6E-409C-BE32-E72D297353CC}">
              <c16:uniqueId val="{00000022-411B-4BF2-9CE9-19EE83520668}"/>
            </c:ext>
          </c:extLst>
        </c:ser>
        <c:ser>
          <c:idx val="33"/>
          <c:order val="33"/>
          <c:tx>
            <c:strRef>
              <c:f>PlantData!$C$38</c:f>
              <c:strCache>
                <c:ptCount val="1"/>
                <c:pt idx="0">
                  <c:v>SunE LV Sutton</c:v>
                </c:pt>
              </c:strCache>
            </c:strRef>
          </c:tx>
          <c:spPr>
            <a:ln w="12700" cap="rnd">
              <a:noFill/>
              <a:prstDash val="sysDot"/>
              <a:round/>
            </a:ln>
            <a:effectLst/>
          </c:spPr>
          <c:marker>
            <c:symbol val="circle"/>
            <c:size val="5"/>
            <c:spPr>
              <a:solidFill>
                <a:srgbClr val="00B0F0"/>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PlantData!$BB$38:$BQ$38</c:f>
              <c:numCache>
                <c:formatCode>0.00</c:formatCode>
                <c:ptCount val="16"/>
                <c:pt idx="0">
                  <c:v>0.73858934353616212</c:v>
                </c:pt>
                <c:pt idx="1">
                  <c:v>1.012182397477694</c:v>
                </c:pt>
                <c:pt idx="2">
                  <c:v>0.99487763332364265</c:v>
                </c:pt>
                <c:pt idx="3">
                  <c:v>0.95384687434543236</c:v>
                </c:pt>
                <c:pt idx="4">
                  <c:v>0.86508913981347091</c:v>
                </c:pt>
                <c:pt idx="5">
                  <c:v>0.99187031320707153</c:v>
                </c:pt>
                <c:pt idx="6">
                  <c:v>0.94649266173392566</c:v>
                </c:pt>
                <c:pt idx="7">
                  <c:v>0.63451380692185755</c:v>
                </c:pt>
                <c:pt idx="8">
                  <c:v>0.79660347189425884</c:v>
                </c:pt>
                <c:pt idx="9">
                  <c:v>0.49332961694120786</c:v>
                </c:pt>
                <c:pt idx="10">
                  <c:v>0.91957674591970195</c:v>
                </c:pt>
                <c:pt idx="11">
                  <c:v>0.77300409598418784</c:v>
                </c:pt>
                <c:pt idx="12">
                  <c:v>0.71161277991816496</c:v>
                </c:pt>
                <c:pt idx="13">
                  <c:v>0.17960378470749772</c:v>
                </c:pt>
                <c:pt idx="14">
                  <c:v>0.62312509784775627</c:v>
                </c:pt>
                <c:pt idx="15">
                  <c:v>0.60941861064662661</c:v>
                </c:pt>
              </c:numCache>
            </c:numRef>
          </c:yVal>
          <c:smooth val="0"/>
          <c:extLst>
            <c:ext xmlns:c16="http://schemas.microsoft.com/office/drawing/2014/chart" uri="{C3380CC4-5D6E-409C-BE32-E72D297353CC}">
              <c16:uniqueId val="{00000023-411B-4BF2-9CE9-19EE83520668}"/>
            </c:ext>
          </c:extLst>
        </c:ser>
        <c:ser>
          <c:idx val="34"/>
          <c:order val="34"/>
          <c:tx>
            <c:strRef>
              <c:f>PlantData!$C$39</c:f>
              <c:strCache>
                <c:ptCount val="1"/>
                <c:pt idx="0">
                  <c:v>SunE Oxnard</c:v>
                </c:pt>
              </c:strCache>
            </c:strRef>
          </c:tx>
          <c:spPr>
            <a:ln w="12700" cap="rnd">
              <a:noFill/>
              <a:prstDash val="sysDot"/>
              <a:round/>
            </a:ln>
            <a:effectLst/>
          </c:spPr>
          <c:marker>
            <c:symbol val="circle"/>
            <c:size val="5"/>
            <c:spPr>
              <a:solidFill>
                <a:schemeClr val="accent1">
                  <a:lumMod val="20000"/>
                  <a:lumOff val="80000"/>
                </a:schemeClr>
              </a:solidFill>
              <a:ln w="9525">
                <a:solidFill>
                  <a:srgbClr val="7030A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PlantData!$BB$39:$BP$39</c:f>
              <c:numCache>
                <c:formatCode>0.00</c:formatCode>
                <c:ptCount val="15"/>
                <c:pt idx="0">
                  <c:v>0.91854737575688739</c:v>
                </c:pt>
                <c:pt idx="1">
                  <c:v>0.90430174171446775</c:v>
                </c:pt>
                <c:pt idx="2">
                  <c:v>0.90042097994709336</c:v>
                </c:pt>
                <c:pt idx="3">
                  <c:v>0.97268433462209158</c:v>
                </c:pt>
                <c:pt idx="4">
                  <c:v>1.0403325433045592</c:v>
                </c:pt>
                <c:pt idx="5">
                  <c:v>1.0279205232577342</c:v>
                </c:pt>
                <c:pt idx="6">
                  <c:v>0.98795895351482999</c:v>
                </c:pt>
                <c:pt idx="7">
                  <c:v>0.89249737002577545</c:v>
                </c:pt>
                <c:pt idx="8">
                  <c:v>0.88395894522338747</c:v>
                </c:pt>
                <c:pt idx="9">
                  <c:v>0.92221363192435368</c:v>
                </c:pt>
                <c:pt idx="10">
                  <c:v>0.97288880634142183</c:v>
                </c:pt>
                <c:pt idx="11">
                  <c:v>0.96951478471846708</c:v>
                </c:pt>
                <c:pt idx="12">
                  <c:v>1.1499999999999999</c:v>
                </c:pt>
                <c:pt idx="13">
                  <c:v>0.82070603557975963</c:v>
                </c:pt>
                <c:pt idx="14">
                  <c:v>0.91374408458381895</c:v>
                </c:pt>
              </c:numCache>
            </c:numRef>
          </c:yVal>
          <c:smooth val="0"/>
          <c:extLst>
            <c:ext xmlns:c16="http://schemas.microsoft.com/office/drawing/2014/chart" uri="{C3380CC4-5D6E-409C-BE32-E72D297353CC}">
              <c16:uniqueId val="{00000024-411B-4BF2-9CE9-19EE83520668}"/>
            </c:ext>
          </c:extLst>
        </c:ser>
        <c:ser>
          <c:idx val="35"/>
          <c:order val="35"/>
          <c:tx>
            <c:strRef>
              <c:f>PlantData!$C$40</c:f>
              <c:strCache>
                <c:ptCount val="1"/>
                <c:pt idx="0">
                  <c:v>SunE Moreno Valley</c:v>
                </c:pt>
              </c:strCache>
            </c:strRef>
          </c:tx>
          <c:spPr>
            <a:ln w="12700" cap="rnd">
              <a:noFill/>
              <a:prstDash val="sysDot"/>
              <a:round/>
            </a:ln>
            <a:effectLst/>
          </c:spPr>
          <c:marker>
            <c:symbol val="circle"/>
            <c:size val="5"/>
            <c:spPr>
              <a:solidFill>
                <a:schemeClr val="bg1">
                  <a:lumMod val="85000"/>
                </a:schemeClr>
              </a:solidFill>
              <a:ln w="9525">
                <a:solidFill>
                  <a:schemeClr val="accent6">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PlantData!$BB$40:$BQ$40</c:f>
              <c:numCache>
                <c:formatCode>0.00</c:formatCode>
                <c:ptCount val="16"/>
                <c:pt idx="0">
                  <c:v>0.98211698311534656</c:v>
                </c:pt>
                <c:pt idx="1">
                  <c:v>0.96738984903151315</c:v>
                </c:pt>
                <c:pt idx="2">
                  <c:v>0.96484065406225494</c:v>
                </c:pt>
                <c:pt idx="3">
                  <c:v>0.96869607436849359</c:v>
                </c:pt>
                <c:pt idx="4">
                  <c:v>0.92565916097842127</c:v>
                </c:pt>
                <c:pt idx="5">
                  <c:v>0.92228647119116702</c:v>
                </c:pt>
                <c:pt idx="6">
                  <c:v>0.8971829887448538</c:v>
                </c:pt>
                <c:pt idx="7">
                  <c:v>0.47668070261922391</c:v>
                </c:pt>
                <c:pt idx="8">
                  <c:v>0.60635453229964453</c:v>
                </c:pt>
                <c:pt idx="9">
                  <c:v>0.86012089734626318</c:v>
                </c:pt>
                <c:pt idx="10">
                  <c:v>0.45613387338006839</c:v>
                </c:pt>
                <c:pt idx="11">
                  <c:v>0.75405134042424038</c:v>
                </c:pt>
                <c:pt idx="12">
                  <c:v>0.69239303907165195</c:v>
                </c:pt>
                <c:pt idx="13">
                  <c:v>0.56066538541390676</c:v>
                </c:pt>
                <c:pt idx="14">
                  <c:v>0.66054454791284978</c:v>
                </c:pt>
                <c:pt idx="15">
                  <c:v>0.47456511558712133</c:v>
                </c:pt>
              </c:numCache>
            </c:numRef>
          </c:yVal>
          <c:smooth val="0"/>
          <c:extLst>
            <c:ext xmlns:c16="http://schemas.microsoft.com/office/drawing/2014/chart" uri="{C3380CC4-5D6E-409C-BE32-E72D297353CC}">
              <c16:uniqueId val="{00000025-411B-4BF2-9CE9-19EE83520668}"/>
            </c:ext>
          </c:extLst>
        </c:ser>
        <c:ser>
          <c:idx val="36"/>
          <c:order val="36"/>
          <c:tx>
            <c:strRef>
              <c:f>PlantData!$C$41</c:f>
              <c:strCache>
                <c:ptCount val="1"/>
                <c:pt idx="0">
                  <c:v>SunE Apple Valley</c:v>
                </c:pt>
              </c:strCache>
            </c:strRef>
          </c:tx>
          <c:spPr>
            <a:ln w="12700" cap="rnd">
              <a:noFill/>
              <a:prstDash val="sysDot"/>
              <a:round/>
            </a:ln>
            <a:effectLst/>
          </c:spPr>
          <c:marker>
            <c:symbol val="circle"/>
            <c:size val="5"/>
            <c:spPr>
              <a:solidFill>
                <a:srgbClr val="C00000"/>
              </a:solidFill>
              <a:ln w="9525">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PlantData!$BB$41:$BP$41</c:f>
              <c:numCache>
                <c:formatCode>0.00</c:formatCode>
                <c:ptCount val="15"/>
                <c:pt idx="0">
                  <c:v>0.93977223691069589</c:v>
                </c:pt>
                <c:pt idx="1">
                  <c:v>0.99042071870393844</c:v>
                </c:pt>
                <c:pt idx="2">
                  <c:v>0.9250275158503003</c:v>
                </c:pt>
                <c:pt idx="3">
                  <c:v>0.99583687928885189</c:v>
                </c:pt>
                <c:pt idx="4">
                  <c:v>0.98899455030001049</c:v>
                </c:pt>
                <c:pt idx="5">
                  <c:v>0.92252798374431078</c:v>
                </c:pt>
                <c:pt idx="6">
                  <c:v>0.92561981640879554</c:v>
                </c:pt>
                <c:pt idx="7">
                  <c:v>0.63156024539441125</c:v>
                </c:pt>
                <c:pt idx="8">
                  <c:v>0.90843367437246325</c:v>
                </c:pt>
                <c:pt idx="9">
                  <c:v>0.87616524506516613</c:v>
                </c:pt>
                <c:pt idx="10">
                  <c:v>0.90774125092151614</c:v>
                </c:pt>
                <c:pt idx="11">
                  <c:v>0.71598945831850047</c:v>
                </c:pt>
                <c:pt idx="12">
                  <c:v>0.86239108512963314</c:v>
                </c:pt>
                <c:pt idx="13">
                  <c:v>0.38738756582294059</c:v>
                </c:pt>
                <c:pt idx="14">
                  <c:v>0.28768143828453463</c:v>
                </c:pt>
              </c:numCache>
            </c:numRef>
          </c:yVal>
          <c:smooth val="0"/>
          <c:extLst>
            <c:ext xmlns:c16="http://schemas.microsoft.com/office/drawing/2014/chart" uri="{C3380CC4-5D6E-409C-BE32-E72D297353CC}">
              <c16:uniqueId val="{00000026-411B-4BF2-9CE9-19EE83520668}"/>
            </c:ext>
          </c:extLst>
        </c:ser>
        <c:ser>
          <c:idx val="37"/>
          <c:order val="37"/>
          <c:tx>
            <c:strRef>
              <c:f>PlantData!$C$42</c:f>
              <c:strCache>
                <c:ptCount val="1"/>
                <c:pt idx="0">
                  <c:v>PG&amp;E Vaca-Dixon</c:v>
                </c:pt>
              </c:strCache>
            </c:strRef>
          </c:tx>
          <c:spPr>
            <a:ln w="12700" cap="rnd">
              <a:noFill/>
              <a:prstDash val="sysDot"/>
              <a:round/>
            </a:ln>
            <a:effectLst/>
          </c:spPr>
          <c:marker>
            <c:symbol val="circle"/>
            <c:size val="5"/>
            <c:spPr>
              <a:solidFill>
                <a:srgbClr val="92D050"/>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PlantData!$BB$42:$BP$42</c:f>
              <c:numCache>
                <c:formatCode>0.00</c:formatCode>
                <c:ptCount val="15"/>
                <c:pt idx="0">
                  <c:v>1.0062694940557826</c:v>
                </c:pt>
                <c:pt idx="1">
                  <c:v>1.0489883054979781</c:v>
                </c:pt>
                <c:pt idx="2">
                  <c:v>1.0241725630469876</c:v>
                </c:pt>
                <c:pt idx="3">
                  <c:v>1.1478335182813311</c:v>
                </c:pt>
                <c:pt idx="4">
                  <c:v>0.9940530675790421</c:v>
                </c:pt>
                <c:pt idx="5">
                  <c:v>1.0899380591411845</c:v>
                </c:pt>
                <c:pt idx="6">
                  <c:v>0.99713721198550742</c:v>
                </c:pt>
                <c:pt idx="7">
                  <c:v>0.8543634722665544</c:v>
                </c:pt>
                <c:pt idx="8">
                  <c:v>1.0174357426774554</c:v>
                </c:pt>
                <c:pt idx="9">
                  <c:v>0.77250283686569932</c:v>
                </c:pt>
                <c:pt idx="10">
                  <c:v>0.90393007756490251</c:v>
                </c:pt>
                <c:pt idx="11">
                  <c:v>0.78510904056697117</c:v>
                </c:pt>
                <c:pt idx="12">
                  <c:v>1.0053873404768534</c:v>
                </c:pt>
                <c:pt idx="13">
                  <c:v>0.95223863099589123</c:v>
                </c:pt>
                <c:pt idx="14">
                  <c:v>0.83539876054712958</c:v>
                </c:pt>
              </c:numCache>
            </c:numRef>
          </c:yVal>
          <c:smooth val="0"/>
          <c:extLst>
            <c:ext xmlns:c16="http://schemas.microsoft.com/office/drawing/2014/chart" uri="{C3380CC4-5D6E-409C-BE32-E72D297353CC}">
              <c16:uniqueId val="{00000027-411B-4BF2-9CE9-19EE83520668}"/>
            </c:ext>
          </c:extLst>
        </c:ser>
        <c:ser>
          <c:idx val="38"/>
          <c:order val="38"/>
          <c:tx>
            <c:strRef>
              <c:f>PlantData!$C$43</c:f>
              <c:strCache>
                <c:ptCount val="1"/>
                <c:pt idx="0">
                  <c:v>WWRF Rifle SunE</c:v>
                </c:pt>
              </c:strCache>
            </c:strRef>
          </c:tx>
          <c:spPr>
            <a:ln w="12700" cap="rnd">
              <a:noFill/>
              <a:prstDash val="sysDot"/>
              <a:round/>
            </a:ln>
            <a:effectLst/>
          </c:spPr>
          <c:marker>
            <c:symbol val="circle"/>
            <c:size val="5"/>
            <c:spPr>
              <a:solidFill>
                <a:schemeClr val="accent3">
                  <a:lumMod val="70000"/>
                  <a:lumOff val="30000"/>
                </a:schemeClr>
              </a:solidFill>
              <a:ln w="9525">
                <a:solidFill>
                  <a:schemeClr val="tx2">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PlantData!$BB$43:$BP$43</c:f>
              <c:numCache>
                <c:formatCode>0.00</c:formatCode>
                <c:ptCount val="15"/>
                <c:pt idx="0">
                  <c:v>0.72795568268795274</c:v>
                </c:pt>
                <c:pt idx="1">
                  <c:v>0.6982624985703102</c:v>
                </c:pt>
                <c:pt idx="2">
                  <c:v>0.7492170473836266</c:v>
                </c:pt>
                <c:pt idx="3">
                  <c:v>0.69319889062671813</c:v>
                </c:pt>
                <c:pt idx="4">
                  <c:v>0.70884205484411533</c:v>
                </c:pt>
                <c:pt idx="5">
                  <c:v>0</c:v>
                </c:pt>
                <c:pt idx="6">
                  <c:v>0.71791062552299512</c:v>
                </c:pt>
                <c:pt idx="7">
                  <c:v>0.67988751105210499</c:v>
                </c:pt>
                <c:pt idx="8">
                  <c:v>0.72003557578359256</c:v>
                </c:pt>
                <c:pt idx="9">
                  <c:v>0.69725025877183422</c:v>
                </c:pt>
                <c:pt idx="10">
                  <c:v>0.67421776134174127</c:v>
                </c:pt>
                <c:pt idx="11">
                  <c:v>0.49165930337965585</c:v>
                </c:pt>
                <c:pt idx="12">
                  <c:v>0.51721086004770356</c:v>
                </c:pt>
                <c:pt idx="13">
                  <c:v>0.24992779722402747</c:v>
                </c:pt>
                <c:pt idx="14">
                  <c:v>0.42590931452032882</c:v>
                </c:pt>
              </c:numCache>
            </c:numRef>
          </c:yVal>
          <c:smooth val="0"/>
          <c:extLst>
            <c:ext xmlns:c16="http://schemas.microsoft.com/office/drawing/2014/chart" uri="{C3380CC4-5D6E-409C-BE32-E72D297353CC}">
              <c16:uniqueId val="{00000028-411B-4BF2-9CE9-19EE83520668}"/>
            </c:ext>
          </c:extLst>
        </c:ser>
        <c:ser>
          <c:idx val="39"/>
          <c:order val="39"/>
          <c:tx>
            <c:strRef>
              <c:f>PlantData!$C$44</c:f>
              <c:strCache>
                <c:ptCount val="1"/>
                <c:pt idx="0">
                  <c:v>Woodland Walgreens SunE</c:v>
                </c:pt>
              </c:strCache>
            </c:strRef>
          </c:tx>
          <c:spPr>
            <a:ln w="12700" cap="rnd">
              <a:noFill/>
              <a:prstDash val="sysDot"/>
              <a:round/>
            </a:ln>
            <a:effectLst/>
          </c:spPr>
          <c:marker>
            <c:symbol val="circle"/>
            <c:size val="5"/>
            <c:spPr>
              <a:solidFill>
                <a:schemeClr val="accent4">
                  <a:lumMod val="70000"/>
                  <a:lumOff val="30000"/>
                </a:schemeClr>
              </a:solidFill>
              <a:ln w="9525">
                <a:solidFill>
                  <a:schemeClr val="tx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PlantData!$BB$44:$BQ$44</c:f>
              <c:numCache>
                <c:formatCode>0.00</c:formatCode>
                <c:ptCount val="16"/>
                <c:pt idx="0">
                  <c:v>1.0082735992674154</c:v>
                </c:pt>
                <c:pt idx="1">
                  <c:v>0.94634724755361543</c:v>
                </c:pt>
                <c:pt idx="2">
                  <c:v>0.98052414362736684</c:v>
                </c:pt>
                <c:pt idx="3">
                  <c:v>0.9416661970248934</c:v>
                </c:pt>
                <c:pt idx="4">
                  <c:v>0.88239058104922885</c:v>
                </c:pt>
                <c:pt idx="5">
                  <c:v>0.91094817451511245</c:v>
                </c:pt>
                <c:pt idx="6">
                  <c:v>0.84856426935257312</c:v>
                </c:pt>
                <c:pt idx="7">
                  <c:v>0.26687147567920122</c:v>
                </c:pt>
                <c:pt idx="8">
                  <c:v>0.38482668548890714</c:v>
                </c:pt>
                <c:pt idx="9">
                  <c:v>0.4875526150856872</c:v>
                </c:pt>
                <c:pt idx="10">
                  <c:v>0.92405543712485883</c:v>
                </c:pt>
                <c:pt idx="11">
                  <c:v>0.79670411866218294</c:v>
                </c:pt>
                <c:pt idx="12">
                  <c:v>0.70612183417235574</c:v>
                </c:pt>
                <c:pt idx="13">
                  <c:v>0.60444528823413757</c:v>
                </c:pt>
                <c:pt idx="14">
                  <c:v>0.46567665069308617</c:v>
                </c:pt>
                <c:pt idx="15">
                  <c:v>0.54833444490753414</c:v>
                </c:pt>
              </c:numCache>
            </c:numRef>
          </c:yVal>
          <c:smooth val="0"/>
          <c:extLst>
            <c:ext xmlns:c16="http://schemas.microsoft.com/office/drawing/2014/chart" uri="{C3380CC4-5D6E-409C-BE32-E72D297353CC}">
              <c16:uniqueId val="{00000029-411B-4BF2-9CE9-19EE83520668}"/>
            </c:ext>
          </c:extLst>
        </c:ser>
        <c:ser>
          <c:idx val="40"/>
          <c:order val="40"/>
          <c:tx>
            <c:strRef>
              <c:f>PlantData!$C$45</c:f>
              <c:strCache>
                <c:ptCount val="1"/>
                <c:pt idx="0">
                  <c:v>Bayville Central</c:v>
                </c:pt>
              </c:strCache>
            </c:strRef>
          </c:tx>
          <c:spPr>
            <a:ln w="12700" cap="rnd">
              <a:noFill/>
              <a:prstDash val="sysDot"/>
              <a:round/>
            </a:ln>
            <a:effectLst/>
          </c:spPr>
          <c:marker>
            <c:symbol val="circle"/>
            <c:size val="5"/>
            <c:spPr>
              <a:solidFill>
                <a:schemeClr val="accent5">
                  <a:lumMod val="70000"/>
                  <a:lumOff val="30000"/>
                </a:schemeClr>
              </a:solidFill>
              <a:ln w="9525">
                <a:solidFill>
                  <a:schemeClr val="tx1"/>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PlantData!$BB$45:$BP$45</c:f>
              <c:numCache>
                <c:formatCode>0.00</c:formatCode>
                <c:ptCount val="15"/>
                <c:pt idx="0">
                  <c:v>0.60088389615911775</c:v>
                </c:pt>
                <c:pt idx="1">
                  <c:v>0.63729899368009613</c:v>
                </c:pt>
                <c:pt idx="2">
                  <c:v>0.69084659734912002</c:v>
                </c:pt>
                <c:pt idx="3">
                  <c:v>0.67464115461432184</c:v>
                </c:pt>
                <c:pt idx="4">
                  <c:v>0.70345748533905417</c:v>
                </c:pt>
                <c:pt idx="5">
                  <c:v>0.78933293343931321</c:v>
                </c:pt>
                <c:pt idx="6">
                  <c:v>0.83895695177744145</c:v>
                </c:pt>
                <c:pt idx="7">
                  <c:v>0.66822879624019371</c:v>
                </c:pt>
                <c:pt idx="8">
                  <c:v>0.62546918620623304</c:v>
                </c:pt>
                <c:pt idx="9">
                  <c:v>0.26361158763757592</c:v>
                </c:pt>
                <c:pt idx="10">
                  <c:v>0.27949320683866907</c:v>
                </c:pt>
                <c:pt idx="11">
                  <c:v>0.6993182206285794</c:v>
                </c:pt>
                <c:pt idx="12">
                  <c:v>0.64107723595816024</c:v>
                </c:pt>
                <c:pt idx="13">
                  <c:v>0.54676727053736407</c:v>
                </c:pt>
                <c:pt idx="14">
                  <c:v>0.51387063861449944</c:v>
                </c:pt>
              </c:numCache>
            </c:numRef>
          </c:yVal>
          <c:smooth val="0"/>
          <c:extLst>
            <c:ext xmlns:c16="http://schemas.microsoft.com/office/drawing/2014/chart" uri="{C3380CC4-5D6E-409C-BE32-E72D297353CC}">
              <c16:uniqueId val="{0000002A-411B-4BF2-9CE9-19EE83520668}"/>
            </c:ext>
          </c:extLst>
        </c:ser>
        <c:ser>
          <c:idx val="41"/>
          <c:order val="41"/>
          <c:tx>
            <c:strRef>
              <c:f>PlantData!$C$46</c:f>
              <c:strCache>
                <c:ptCount val="1"/>
                <c:pt idx="0">
                  <c:v>Blue Wing</c:v>
                </c:pt>
              </c:strCache>
            </c:strRef>
          </c:tx>
          <c:spPr>
            <a:ln w="12700" cap="rnd">
              <a:noFill/>
              <a:prstDash val="sysDot"/>
              <a:round/>
            </a:ln>
            <a:effectLst/>
          </c:spPr>
          <c:marker>
            <c:symbol val="circle"/>
            <c:size val="5"/>
            <c:spPr>
              <a:solidFill>
                <a:schemeClr val="accent6">
                  <a:lumMod val="70000"/>
                  <a:lumOff val="3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PlantData!$BB$46:$BO$46</c:f>
              <c:numCache>
                <c:formatCode>0.00</c:formatCode>
                <c:ptCount val="14"/>
                <c:pt idx="0">
                  <c:v>1.1083968567034146</c:v>
                </c:pt>
                <c:pt idx="1">
                  <c:v>0.97992816875779154</c:v>
                </c:pt>
                <c:pt idx="2">
                  <c:v>0.92601851242217381</c:v>
                </c:pt>
                <c:pt idx="3">
                  <c:v>0.90918092641362525</c:v>
                </c:pt>
                <c:pt idx="4">
                  <c:v>0.86747187266790426</c:v>
                </c:pt>
                <c:pt idx="5">
                  <c:v>0.91996845039011599</c:v>
                </c:pt>
                <c:pt idx="6">
                  <c:v>0.90113960225223599</c:v>
                </c:pt>
                <c:pt idx="7">
                  <c:v>0.87364047070296547</c:v>
                </c:pt>
                <c:pt idx="8">
                  <c:v>0.8748883256501041</c:v>
                </c:pt>
                <c:pt idx="9">
                  <c:v>0.82766214703574648</c:v>
                </c:pt>
                <c:pt idx="10">
                  <c:v>0.80756895573019305</c:v>
                </c:pt>
                <c:pt idx="11">
                  <c:v>0.87186727587407886</c:v>
                </c:pt>
                <c:pt idx="12">
                  <c:v>0.73107708607167554</c:v>
                </c:pt>
                <c:pt idx="13">
                  <c:v>0.7881211717304405</c:v>
                </c:pt>
              </c:numCache>
            </c:numRef>
          </c:yVal>
          <c:smooth val="0"/>
          <c:extLst>
            <c:ext xmlns:c16="http://schemas.microsoft.com/office/drawing/2014/chart" uri="{C3380CC4-5D6E-409C-BE32-E72D297353CC}">
              <c16:uniqueId val="{0000002B-411B-4BF2-9CE9-19EE83520668}"/>
            </c:ext>
          </c:extLst>
        </c:ser>
        <c:ser>
          <c:idx val="42"/>
          <c:order val="42"/>
          <c:tx>
            <c:strRef>
              <c:f>PlantData!$C$47</c:f>
              <c:strCache>
                <c:ptCount val="1"/>
                <c:pt idx="0">
                  <c:v>Copper Mtn 48 (FS)</c:v>
                </c:pt>
              </c:strCache>
            </c:strRef>
          </c:tx>
          <c:spPr>
            <a:ln w="12700" cap="rnd">
              <a:noFill/>
              <a:prstDash val="sysDot"/>
              <a:round/>
            </a:ln>
            <a:effectLst/>
          </c:spPr>
          <c:marker>
            <c:symbol val="circle"/>
            <c:size val="5"/>
            <c:spPr>
              <a:solidFill>
                <a:srgbClr val="FFFF00"/>
              </a:solidFill>
              <a:ln w="9525">
                <a:solidFill>
                  <a:schemeClr val="accent1">
                    <a:lumMod val="7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PlantData!$BB$47:$BO$47</c:f>
              <c:numCache>
                <c:formatCode>0.00</c:formatCode>
                <c:ptCount val="14"/>
                <c:pt idx="0">
                  <c:v>0.97165879043566761</c:v>
                </c:pt>
                <c:pt idx="1">
                  <c:v>0.96148357582371002</c:v>
                </c:pt>
                <c:pt idx="2">
                  <c:v>0.95607772301713589</c:v>
                </c:pt>
                <c:pt idx="3">
                  <c:v>0.94449479836366101</c:v>
                </c:pt>
                <c:pt idx="4">
                  <c:v>0.93529453024088649</c:v>
                </c:pt>
                <c:pt idx="5">
                  <c:v>0.90638243280350661</c:v>
                </c:pt>
                <c:pt idx="6">
                  <c:v>0.93793409498424662</c:v>
                </c:pt>
                <c:pt idx="7">
                  <c:v>0.93334231717355631</c:v>
                </c:pt>
                <c:pt idx="8">
                  <c:v>0.91714778856873069</c:v>
                </c:pt>
                <c:pt idx="9">
                  <c:v>0.94358353823039987</c:v>
                </c:pt>
                <c:pt idx="10">
                  <c:v>0.8920746764747528</c:v>
                </c:pt>
                <c:pt idx="11">
                  <c:v>0.9322411065574655</c:v>
                </c:pt>
                <c:pt idx="12">
                  <c:v>0.89080530327192908</c:v>
                </c:pt>
                <c:pt idx="13">
                  <c:v>0.90560033005345164</c:v>
                </c:pt>
              </c:numCache>
            </c:numRef>
          </c:yVal>
          <c:smooth val="0"/>
          <c:extLst>
            <c:ext xmlns:c16="http://schemas.microsoft.com/office/drawing/2014/chart" uri="{C3380CC4-5D6E-409C-BE32-E72D297353CC}">
              <c16:uniqueId val="{0000002C-411B-4BF2-9CE9-19EE83520668}"/>
            </c:ext>
          </c:extLst>
        </c:ser>
        <c:ser>
          <c:idx val="43"/>
          <c:order val="43"/>
          <c:tx>
            <c:strRef>
              <c:f>PlantData!$C$48</c:f>
              <c:strCache>
                <c:ptCount val="1"/>
                <c:pt idx="0">
                  <c:v>CalRenew-1</c:v>
                </c:pt>
              </c:strCache>
            </c:strRef>
          </c:tx>
          <c:spPr>
            <a:ln w="12700" cap="rnd">
              <a:noFill/>
              <a:prstDash val="sysDot"/>
              <a:round/>
            </a:ln>
            <a:effectLst/>
          </c:spPr>
          <c:marker>
            <c:symbol val="circle"/>
            <c:size val="5"/>
            <c:spPr>
              <a:solidFill>
                <a:srgbClr val="00B0F0"/>
              </a:solidFill>
              <a:ln w="9525">
                <a:solidFill>
                  <a:srgbClr val="FF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PlantData!$BB$48:$BO$48</c:f>
              <c:numCache>
                <c:formatCode>0.00</c:formatCode>
                <c:ptCount val="14"/>
                <c:pt idx="0">
                  <c:v>0.95321386182506673</c:v>
                </c:pt>
                <c:pt idx="1">
                  <c:v>1.0152690065278398</c:v>
                </c:pt>
                <c:pt idx="2">
                  <c:v>1.0503645834065614</c:v>
                </c:pt>
                <c:pt idx="3">
                  <c:v>1.0198218013017404</c:v>
                </c:pt>
                <c:pt idx="4">
                  <c:v>1.0018311370922006</c:v>
                </c:pt>
                <c:pt idx="5">
                  <c:v>0.9251101635727792</c:v>
                </c:pt>
                <c:pt idx="6">
                  <c:v>0.9761574872763642</c:v>
                </c:pt>
                <c:pt idx="7">
                  <c:v>0.98405841288974849</c:v>
                </c:pt>
                <c:pt idx="8">
                  <c:v>0.89958668157058308</c:v>
                </c:pt>
                <c:pt idx="9">
                  <c:v>0.92589293374704318</c:v>
                </c:pt>
                <c:pt idx="10">
                  <c:v>0.53399940606950036</c:v>
                </c:pt>
                <c:pt idx="11">
                  <c:v>0.86380668796970694</c:v>
                </c:pt>
                <c:pt idx="12">
                  <c:v>0.64770616949547422</c:v>
                </c:pt>
                <c:pt idx="13">
                  <c:v>0.13727188425640097</c:v>
                </c:pt>
              </c:numCache>
            </c:numRef>
          </c:yVal>
          <c:smooth val="0"/>
          <c:extLst>
            <c:ext xmlns:c16="http://schemas.microsoft.com/office/drawing/2014/chart" uri="{C3380CC4-5D6E-409C-BE32-E72D297353CC}">
              <c16:uniqueId val="{0000002D-411B-4BF2-9CE9-19EE83520668}"/>
            </c:ext>
          </c:extLst>
        </c:ser>
        <c:ser>
          <c:idx val="44"/>
          <c:order val="44"/>
          <c:tx>
            <c:strRef>
              <c:f>PlantData!$C$49</c:f>
              <c:strCache>
                <c:ptCount val="1"/>
                <c:pt idx="0">
                  <c:v>Carson</c:v>
                </c:pt>
              </c:strCache>
            </c:strRef>
          </c:tx>
          <c:spPr>
            <a:ln w="12700" cap="rnd">
              <a:noFill/>
              <a:prstDash val="sysDot"/>
              <a:round/>
            </a:ln>
            <a:effectLst/>
          </c:spPr>
          <c:marker>
            <c:symbol val="circle"/>
            <c:size val="5"/>
            <c:spPr>
              <a:solidFill>
                <a:srgbClr val="C00000"/>
              </a:solidFill>
              <a:ln w="9525">
                <a:solidFill>
                  <a:srgbClr val="00B05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PlantData!$BB$49:$BP$49</c:f>
              <c:numCache>
                <c:formatCode>0.00</c:formatCode>
                <c:ptCount val="15"/>
                <c:pt idx="0">
                  <c:v>0.92319639436578449</c:v>
                </c:pt>
                <c:pt idx="1">
                  <c:v>0.95502601211107963</c:v>
                </c:pt>
                <c:pt idx="2">
                  <c:v>0.95552649674787249</c:v>
                </c:pt>
                <c:pt idx="3">
                  <c:v>0.77178042150548021</c:v>
                </c:pt>
                <c:pt idx="4">
                  <c:v>0.65439419784912689</c:v>
                </c:pt>
                <c:pt idx="5">
                  <c:v>0.75150368478136886</c:v>
                </c:pt>
                <c:pt idx="6">
                  <c:v>0.84424712966982951</c:v>
                </c:pt>
                <c:pt idx="7">
                  <c:v>0.68918133034271789</c:v>
                </c:pt>
                <c:pt idx="8">
                  <c:v>0.52051178157290379</c:v>
                </c:pt>
                <c:pt idx="9">
                  <c:v>0</c:v>
                </c:pt>
                <c:pt idx="10">
                  <c:v>0.73094494141814204</c:v>
                </c:pt>
                <c:pt idx="11">
                  <c:v>1.0683601106348271</c:v>
                </c:pt>
                <c:pt idx="12">
                  <c:v>0.95621905308271904</c:v>
                </c:pt>
                <c:pt idx="13">
                  <c:v>0.97724672921839095</c:v>
                </c:pt>
                <c:pt idx="14">
                  <c:v>1.0268306840673196</c:v>
                </c:pt>
              </c:numCache>
            </c:numRef>
          </c:yVal>
          <c:smooth val="0"/>
          <c:extLst>
            <c:ext xmlns:c16="http://schemas.microsoft.com/office/drawing/2014/chart" uri="{C3380CC4-5D6E-409C-BE32-E72D297353CC}">
              <c16:uniqueId val="{0000002E-411B-4BF2-9CE9-19EE83520668}"/>
            </c:ext>
          </c:extLst>
        </c:ser>
        <c:ser>
          <c:idx val="45"/>
          <c:order val="45"/>
          <c:tx>
            <c:strRef>
              <c:f>PlantData!$C$51</c:f>
              <c:strCache>
                <c:ptCount val="1"/>
                <c:pt idx="0">
                  <c:v>Crayola</c:v>
                </c:pt>
              </c:strCache>
            </c:strRef>
          </c:tx>
          <c:spPr>
            <a:ln w="12700" cap="rnd">
              <a:noFill/>
              <a:prstDash val="sysDot"/>
              <a:round/>
            </a:ln>
            <a:effectLst/>
          </c:spPr>
          <c:marker>
            <c:symbol val="circle"/>
            <c:size val="5"/>
            <c:spPr>
              <a:solidFill>
                <a:srgbClr val="7030A0"/>
              </a:solidFill>
              <a:ln w="9525">
                <a:solidFill>
                  <a:schemeClr val="accent4"/>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PlantData!$BB$51:$BN$51</c:f>
              <c:numCache>
                <c:formatCode>0.00</c:formatCode>
                <c:ptCount val="13"/>
                <c:pt idx="0">
                  <c:v>0.61298497621163872</c:v>
                </c:pt>
                <c:pt idx="1">
                  <c:v>0.732174628169311</c:v>
                </c:pt>
                <c:pt idx="2">
                  <c:v>0.76441162670687357</c:v>
                </c:pt>
                <c:pt idx="3">
                  <c:v>1.0889149674740692</c:v>
                </c:pt>
                <c:pt idx="4">
                  <c:v>0.66021295722960494</c:v>
                </c:pt>
                <c:pt idx="5">
                  <c:v>0.63978846038394932</c:v>
                </c:pt>
                <c:pt idx="6">
                  <c:v>0.66636258848877894</c:v>
                </c:pt>
                <c:pt idx="7">
                  <c:v>0.67299280454707944</c:v>
                </c:pt>
                <c:pt idx="8">
                  <c:v>0.63552834517314027</c:v>
                </c:pt>
                <c:pt idx="9">
                  <c:v>0.71241083517939152</c:v>
                </c:pt>
                <c:pt idx="10">
                  <c:v>0.69420867850381884</c:v>
                </c:pt>
                <c:pt idx="11">
                  <c:v>0.67683578731903749</c:v>
                </c:pt>
                <c:pt idx="12">
                  <c:v>0.60569045468076588</c:v>
                </c:pt>
              </c:numCache>
            </c:numRef>
          </c:yVal>
          <c:smooth val="0"/>
          <c:extLst>
            <c:ext xmlns:c16="http://schemas.microsoft.com/office/drawing/2014/chart" uri="{C3380CC4-5D6E-409C-BE32-E72D297353CC}">
              <c16:uniqueId val="{0000002F-411B-4BF2-9CE9-19EE83520668}"/>
            </c:ext>
          </c:extLst>
        </c:ser>
        <c:ser>
          <c:idx val="46"/>
          <c:order val="46"/>
          <c:tx>
            <c:strRef>
              <c:f>PlantData!$C$52</c:f>
              <c:strCache>
                <c:ptCount val="1"/>
                <c:pt idx="0">
                  <c:v>Duke Egy 10240</c:v>
                </c:pt>
              </c:strCache>
            </c:strRef>
          </c:tx>
          <c:spPr>
            <a:ln w="12700" cap="rnd">
              <a:noFill/>
              <a:prstDash val="sysDot"/>
              <a:round/>
            </a:ln>
            <a:effectLst/>
          </c:spPr>
          <c:marker>
            <c:symbol val="circle"/>
            <c:size val="5"/>
            <c:spPr>
              <a:solidFill>
                <a:srgbClr val="00B0F0"/>
              </a:solidFill>
              <a:ln w="9525">
                <a:solidFill>
                  <a:schemeClr val="bg2">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PlantData!$BB$52:$BO$52</c:f>
              <c:numCache>
                <c:formatCode>0.00</c:formatCode>
                <c:ptCount val="14"/>
                <c:pt idx="0">
                  <c:v>0.87200367460427863</c:v>
                </c:pt>
                <c:pt idx="1">
                  <c:v>0.97539867500064092</c:v>
                </c:pt>
                <c:pt idx="2">
                  <c:v>0.9341603010757118</c:v>
                </c:pt>
                <c:pt idx="3">
                  <c:v>0.93850851623296372</c:v>
                </c:pt>
                <c:pt idx="4">
                  <c:v>0.86149241588067593</c:v>
                </c:pt>
                <c:pt idx="5">
                  <c:v>0.88819236625306475</c:v>
                </c:pt>
                <c:pt idx="6">
                  <c:v>0.69487322501866366</c:v>
                </c:pt>
                <c:pt idx="7">
                  <c:v>0.58644304777476886</c:v>
                </c:pt>
                <c:pt idx="8">
                  <c:v>0.71322931698061975</c:v>
                </c:pt>
                <c:pt idx="9">
                  <c:v>0.71431701888156274</c:v>
                </c:pt>
                <c:pt idx="10">
                  <c:v>0.7408451533896091</c:v>
                </c:pt>
                <c:pt idx="11">
                  <c:v>0.52123361702307602</c:v>
                </c:pt>
                <c:pt idx="12">
                  <c:v>0.55534921915270785</c:v>
                </c:pt>
              </c:numCache>
            </c:numRef>
          </c:yVal>
          <c:smooth val="0"/>
          <c:extLst>
            <c:ext xmlns:c16="http://schemas.microsoft.com/office/drawing/2014/chart" uri="{C3380CC4-5D6E-409C-BE32-E72D297353CC}">
              <c16:uniqueId val="{00000030-411B-4BF2-9CE9-19EE83520668}"/>
            </c:ext>
          </c:extLst>
        </c:ser>
        <c:ser>
          <c:idx val="47"/>
          <c:order val="47"/>
          <c:tx>
            <c:strRef>
              <c:f>PlantData!$C$53</c:f>
              <c:strCache>
                <c:ptCount val="1"/>
                <c:pt idx="0">
                  <c:v>Duke Egy 1725</c:v>
                </c:pt>
              </c:strCache>
            </c:strRef>
          </c:tx>
          <c:spPr>
            <a:ln w="12700" cap="rnd">
              <a:noFill/>
              <a:prstDash val="sysDot"/>
              <a:round/>
            </a:ln>
            <a:effectLst/>
          </c:spPr>
          <c:marker>
            <c:symbol val="circle"/>
            <c:size val="5"/>
            <c:spPr>
              <a:solidFill>
                <a:srgbClr val="FFC000"/>
              </a:solidFill>
              <a:ln w="9525">
                <a:solidFill>
                  <a:schemeClr val="accent6">
                    <a:lumMod val="7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PlantData!$BB$53:$BP$53</c:f>
              <c:numCache>
                <c:formatCode>0.00</c:formatCode>
                <c:ptCount val="15"/>
                <c:pt idx="0">
                  <c:v>0.94088885461924987</c:v>
                </c:pt>
                <c:pt idx="1">
                  <c:v>0.23257892358577023</c:v>
                </c:pt>
                <c:pt idx="2">
                  <c:v>0.28787869938677724</c:v>
                </c:pt>
                <c:pt idx="3">
                  <c:v>0.95390807274362688</c:v>
                </c:pt>
                <c:pt idx="4">
                  <c:v>0.95994422689526926</c:v>
                </c:pt>
                <c:pt idx="5">
                  <c:v>0.96476806723142627</c:v>
                </c:pt>
                <c:pt idx="6">
                  <c:v>1.0455537233140173</c:v>
                </c:pt>
                <c:pt idx="7">
                  <c:v>0.97511932787796796</c:v>
                </c:pt>
                <c:pt idx="8">
                  <c:v>0.87479094857963535</c:v>
                </c:pt>
                <c:pt idx="9">
                  <c:v>0.81930024023990322</c:v>
                </c:pt>
                <c:pt idx="10">
                  <c:v>0.84326642262318785</c:v>
                </c:pt>
                <c:pt idx="11">
                  <c:v>0.52381792639375691</c:v>
                </c:pt>
                <c:pt idx="12">
                  <c:v>0.6305760722950291</c:v>
                </c:pt>
                <c:pt idx="13">
                  <c:v>0.5173957516266906</c:v>
                </c:pt>
                <c:pt idx="14">
                  <c:v>0.58924139285280019</c:v>
                </c:pt>
              </c:numCache>
            </c:numRef>
          </c:yVal>
          <c:smooth val="0"/>
          <c:extLst>
            <c:ext xmlns:c16="http://schemas.microsoft.com/office/drawing/2014/chart" uri="{C3380CC4-5D6E-409C-BE32-E72D297353CC}">
              <c16:uniqueId val="{00000031-411B-4BF2-9CE9-19EE83520668}"/>
            </c:ext>
          </c:extLst>
        </c:ser>
        <c:ser>
          <c:idx val="48"/>
          <c:order val="48"/>
          <c:tx>
            <c:strRef>
              <c:f>PlantData!$C$54</c:f>
              <c:strCache>
                <c:ptCount val="1"/>
                <c:pt idx="0">
                  <c:v>Duke Egy 657</c:v>
                </c:pt>
              </c:strCache>
            </c:strRef>
          </c:tx>
          <c:spPr>
            <a:ln w="12700" cap="rnd">
              <a:noFill/>
              <a:prstDash val="sysDot"/>
              <a:round/>
            </a:ln>
            <a:effectLst/>
          </c:spPr>
          <c:marker>
            <c:symbol val="circle"/>
            <c:size val="5"/>
            <c:spPr>
              <a:solidFill>
                <a:schemeClr val="accent1">
                  <a:lumMod val="50000"/>
                  <a:lumOff val="50000"/>
                </a:schemeClr>
              </a:solidFill>
              <a:ln w="9525">
                <a:solidFill>
                  <a:schemeClr val="accent2">
                    <a:lumMod val="75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PlantData!$BB$54:$BP$54</c:f>
              <c:numCache>
                <c:formatCode>0.00</c:formatCode>
                <c:ptCount val="15"/>
                <c:pt idx="0">
                  <c:v>1.0054821415569357</c:v>
                </c:pt>
                <c:pt idx="1">
                  <c:v>0.9862247799759648</c:v>
                </c:pt>
                <c:pt idx="2">
                  <c:v>0.81680186814158751</c:v>
                </c:pt>
                <c:pt idx="3">
                  <c:v>0.91238570573000377</c:v>
                </c:pt>
                <c:pt idx="4">
                  <c:v>0.99971565905420912</c:v>
                </c:pt>
                <c:pt idx="5">
                  <c:v>0.97264216440791484</c:v>
                </c:pt>
                <c:pt idx="6">
                  <c:v>0.90128248802421862</c:v>
                </c:pt>
                <c:pt idx="7">
                  <c:v>0.74174372781290954</c:v>
                </c:pt>
                <c:pt idx="8">
                  <c:v>0.66697445923341259</c:v>
                </c:pt>
                <c:pt idx="9">
                  <c:v>0.42422561560174504</c:v>
                </c:pt>
                <c:pt idx="10">
                  <c:v>0.40391753931930235</c:v>
                </c:pt>
                <c:pt idx="11">
                  <c:v>0.21450053580080825</c:v>
                </c:pt>
              </c:numCache>
            </c:numRef>
          </c:yVal>
          <c:smooth val="0"/>
          <c:extLst>
            <c:ext xmlns:c16="http://schemas.microsoft.com/office/drawing/2014/chart" uri="{C3380CC4-5D6E-409C-BE32-E72D297353CC}">
              <c16:uniqueId val="{00000032-411B-4BF2-9CE9-19EE83520668}"/>
            </c:ext>
          </c:extLst>
        </c:ser>
        <c:ser>
          <c:idx val="49"/>
          <c:order val="49"/>
          <c:tx>
            <c:strRef>
              <c:f>PlantData!$C$55</c:f>
              <c:strCache>
                <c:ptCount val="1"/>
                <c:pt idx="0">
                  <c:v>Dow Jones</c:v>
                </c:pt>
              </c:strCache>
            </c:strRef>
          </c:tx>
          <c:spPr>
            <a:ln w="12700" cap="rnd">
              <a:noFill/>
              <a:prstDash val="sysDot"/>
              <a:round/>
            </a:ln>
            <a:effectLst/>
          </c:spPr>
          <c:marker>
            <c:symbol val="circle"/>
            <c:size val="5"/>
            <c:spPr>
              <a:solidFill>
                <a:schemeClr val="accent2">
                  <a:lumMod val="50000"/>
                  <a:lumOff val="5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PlantData!$BB$55:$BO$55</c:f>
              <c:numCache>
                <c:formatCode>0.00</c:formatCode>
                <c:ptCount val="14"/>
                <c:pt idx="0">
                  <c:v>0.90361177026642492</c:v>
                </c:pt>
                <c:pt idx="1">
                  <c:v>1.0137516646672524</c:v>
                </c:pt>
                <c:pt idx="2">
                  <c:v>0.99504108352724252</c:v>
                </c:pt>
                <c:pt idx="3">
                  <c:v>0.96016723535284088</c:v>
                </c:pt>
                <c:pt idx="4">
                  <c:v>0.99404615573411981</c:v>
                </c:pt>
                <c:pt idx="5">
                  <c:v>1.0364978619287759</c:v>
                </c:pt>
                <c:pt idx="6">
                  <c:v>0.92431962326275241</c:v>
                </c:pt>
                <c:pt idx="7">
                  <c:v>0.81505595206464754</c:v>
                </c:pt>
                <c:pt idx="8">
                  <c:v>0.98494458241982852</c:v>
                </c:pt>
                <c:pt idx="9">
                  <c:v>0.96400641245117979</c:v>
                </c:pt>
                <c:pt idx="10">
                  <c:v>0.96079755922308474</c:v>
                </c:pt>
                <c:pt idx="11">
                  <c:v>0.70746141612673208</c:v>
                </c:pt>
                <c:pt idx="12">
                  <c:v>0.86932143333747613</c:v>
                </c:pt>
                <c:pt idx="13">
                  <c:v>0</c:v>
                </c:pt>
              </c:numCache>
            </c:numRef>
          </c:yVal>
          <c:smooth val="0"/>
          <c:extLst>
            <c:ext xmlns:c16="http://schemas.microsoft.com/office/drawing/2014/chart" uri="{C3380CC4-5D6E-409C-BE32-E72D297353CC}">
              <c16:uniqueId val="{00000033-411B-4BF2-9CE9-19EE83520668}"/>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4"/>
        <c:delete val="1"/>
      </c:legendEntry>
      <c:legendEntry>
        <c:idx val="25"/>
        <c:delete val="1"/>
      </c:legendEntry>
      <c:legendEntry>
        <c:idx val="26"/>
        <c:delete val="1"/>
      </c:legendEntry>
      <c:legendEntry>
        <c:idx val="27"/>
        <c:delete val="1"/>
      </c:legendEntry>
      <c:legendEntry>
        <c:idx val="28"/>
        <c:delete val="1"/>
      </c:legendEntry>
      <c:legendEntry>
        <c:idx val="29"/>
        <c:delete val="1"/>
      </c:legendEntry>
      <c:legendEntry>
        <c:idx val="30"/>
        <c:delete val="1"/>
      </c:legendEntry>
      <c:legendEntry>
        <c:idx val="31"/>
        <c:delete val="1"/>
      </c:legendEntry>
      <c:legendEntry>
        <c:idx val="32"/>
        <c:delete val="1"/>
      </c:legendEntry>
      <c:legendEntry>
        <c:idx val="33"/>
        <c:delete val="1"/>
      </c:legendEntry>
      <c:legendEntry>
        <c:idx val="34"/>
        <c:delete val="1"/>
      </c:legendEntry>
      <c:legendEntry>
        <c:idx val="35"/>
        <c:delete val="1"/>
      </c:legendEntry>
      <c:legendEntry>
        <c:idx val="36"/>
        <c:delete val="1"/>
      </c:legendEntry>
      <c:legendEntry>
        <c:idx val="37"/>
        <c:delete val="1"/>
      </c:legendEntry>
      <c:legendEntry>
        <c:idx val="38"/>
        <c:delete val="1"/>
      </c:legendEntry>
      <c:legendEntry>
        <c:idx val="39"/>
        <c:delete val="1"/>
      </c:legendEntry>
      <c:legendEntry>
        <c:idx val="40"/>
        <c:delete val="1"/>
      </c:legendEntry>
      <c:legendEntry>
        <c:idx val="41"/>
        <c:delete val="1"/>
      </c:legendEntry>
      <c:legendEntry>
        <c:idx val="42"/>
        <c:delete val="1"/>
      </c:legendEntry>
      <c:legendEntry>
        <c:idx val="43"/>
        <c:delete val="1"/>
      </c:legendEntry>
      <c:legendEntry>
        <c:idx val="44"/>
        <c:delete val="1"/>
      </c:legendEntry>
      <c:legendEntry>
        <c:idx val="45"/>
        <c:delete val="1"/>
      </c:legendEntry>
      <c:legendEntry>
        <c:idx val="46"/>
        <c:delete val="1"/>
      </c:legendEntry>
      <c:legendEntry>
        <c:idx val="47"/>
        <c:delete val="1"/>
      </c:legendEntry>
      <c:legendEntry>
        <c:idx val="48"/>
        <c:delete val="1"/>
      </c:legendEntry>
      <c:legendEntry>
        <c:idx val="49"/>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 avg age 15+ years</a:t>
            </a:r>
          </a:p>
          <a:p>
            <a:pPr>
              <a:defRPr b="1"/>
            </a:pPr>
            <a:r>
              <a:rPr lang="en-US" b="1" baseline="0"/>
              <a:t>Median (p50) degr. 3.3%/yr; p90 degr. 6.6%/yr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p50</c:v>
                </c:pt>
              </c:strCache>
            </c:strRef>
          </c:tx>
          <c:spPr>
            <a:ln w="3175" cap="rnd">
              <a:solidFill>
                <a:srgbClr val="FF0000">
                  <a:alpha val="50000"/>
                </a:srgbClr>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8.7969255219244383E-2"/>
                  <c:y val="-0.11004301461974658"/>
                </c:manualLayout>
              </c:layout>
              <c:numFmt formatCode="0.00E+00" sourceLinked="0"/>
              <c:spPr>
                <a:noFill/>
                <a:ln>
                  <a:noFill/>
                </a:ln>
                <a:effectLst/>
              </c:spPr>
              <c:txPr>
                <a:bodyPr rot="0" spcFirstLastPara="1" vertOverflow="ellipsis" vert="horz" wrap="square" anchor="ctr" anchorCtr="1"/>
                <a:lstStyle/>
                <a:p>
                  <a:pPr>
                    <a:defRPr sz="1400" b="1"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0.95554712194250835</c:v>
                </c:pt>
                <c:pt idx="1">
                  <c:v>0.97496458936143615</c:v>
                </c:pt>
                <c:pt idx="2">
                  <c:v>0.96635513652726979</c:v>
                </c:pt>
                <c:pt idx="3">
                  <c:v>0.95478358485236026</c:v>
                </c:pt>
                <c:pt idx="4">
                  <c:v>0.94922573002637167</c:v>
                </c:pt>
                <c:pt idx="5">
                  <c:v>0.93101462709062177</c:v>
                </c:pt>
                <c:pt idx="6">
                  <c:v>0.91578839121517386</c:v>
                </c:pt>
                <c:pt idx="7">
                  <c:v>0.90286708465950716</c:v>
                </c:pt>
                <c:pt idx="8">
                  <c:v>0.87483963711486967</c:v>
                </c:pt>
                <c:pt idx="9">
                  <c:v>0.86402869952718864</c:v>
                </c:pt>
                <c:pt idx="10">
                  <c:v>0.85965253259434671</c:v>
                </c:pt>
                <c:pt idx="11">
                  <c:v>0.816865598966382</c:v>
                </c:pt>
                <c:pt idx="12">
                  <c:v>0.77423984096966758</c:v>
                </c:pt>
                <c:pt idx="13">
                  <c:v>0.73064362057356824</c:v>
                </c:pt>
                <c:pt idx="14">
                  <c:v>0.61601078022999289</c:v>
                </c:pt>
                <c:pt idx="15">
                  <c:v>0.60557178290612312</c:v>
                </c:pt>
              </c:numCache>
            </c:numRef>
          </c:yVal>
          <c:smooth val="1"/>
          <c:extLst>
            <c:ext xmlns:c16="http://schemas.microsoft.com/office/drawing/2014/chart" uri="{C3380CC4-5D6E-409C-BE32-E72D297353CC}">
              <c16:uniqueId val="{00000001-773D-4667-BD04-5B65AB3D610F}"/>
            </c:ext>
          </c:extLst>
        </c:ser>
        <c:ser>
          <c:idx val="50"/>
          <c:order val="1"/>
          <c:tx>
            <c:strRef>
              <c:f>PlantData!$BA$113</c:f>
              <c:strCache>
                <c:ptCount val="1"/>
                <c:pt idx="0">
                  <c:v>p90 (obs.rank)</c:v>
                </c:pt>
              </c:strCache>
            </c:strRef>
          </c:tx>
          <c:spPr>
            <a:ln w="3175" cap="rnd">
              <a:solidFill>
                <a:srgbClr val="FF0000">
                  <a:alpha val="50000"/>
                </a:srgbClr>
              </a:solidFill>
              <a:round/>
            </a:ln>
            <a:effectLst/>
          </c:spPr>
          <c:marker>
            <c:symbol val="none"/>
          </c:marker>
          <c:trendline>
            <c:spPr>
              <a:ln w="50800" cap="rnd">
                <a:solidFill>
                  <a:srgbClr val="FF0000"/>
                </a:solidFill>
                <a:prstDash val="sysDot"/>
              </a:ln>
              <a:effectLst/>
            </c:spPr>
            <c:trendlineType val="linear"/>
            <c:dispRSqr val="1"/>
            <c:dispEq val="1"/>
            <c:trendlineLbl>
              <c:layout>
                <c:manualLayout>
                  <c:x val="-0.12726016036986201"/>
                  <c:y val="1.8536088592246347E-3"/>
                </c:manualLayout>
              </c:layout>
              <c:numFmt formatCode="0.00E+00" sourceLinked="0"/>
              <c:spPr>
                <a:noFill/>
                <a:ln>
                  <a:noFill/>
                </a:ln>
                <a:effectLst/>
              </c:spPr>
              <c:txPr>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0.73858934353616212</c:v>
                </c:pt>
                <c:pt idx="1">
                  <c:v>0.70760804400333988</c:v>
                </c:pt>
                <c:pt idx="2">
                  <c:v>0.7492170473836266</c:v>
                </c:pt>
                <c:pt idx="3">
                  <c:v>0.77178042150548021</c:v>
                </c:pt>
                <c:pt idx="4">
                  <c:v>0.70461202905769504</c:v>
                </c:pt>
                <c:pt idx="5">
                  <c:v>0.76136818881943491</c:v>
                </c:pt>
                <c:pt idx="6">
                  <c:v>0.71399938901986071</c:v>
                </c:pt>
                <c:pt idx="7">
                  <c:v>0.63156024539441125</c:v>
                </c:pt>
                <c:pt idx="8">
                  <c:v>0.56151689265538174</c:v>
                </c:pt>
                <c:pt idx="9">
                  <c:v>0.48225330819182721</c:v>
                </c:pt>
                <c:pt idx="10">
                  <c:v>0.53513038371745969</c:v>
                </c:pt>
                <c:pt idx="11">
                  <c:v>0.52123361702307602</c:v>
                </c:pt>
                <c:pt idx="12">
                  <c:v>0.48074780230929676</c:v>
                </c:pt>
                <c:pt idx="13">
                  <c:v>0.13727188425640097</c:v>
                </c:pt>
                <c:pt idx="14">
                  <c:v>0.28768143828453463</c:v>
                </c:pt>
                <c:pt idx="15">
                  <c:v>0.40219352703657463</c:v>
                </c:pt>
              </c:numCache>
            </c:numRef>
          </c:yVal>
          <c:smooth val="1"/>
          <c:extLst>
            <c:ext xmlns:c16="http://schemas.microsoft.com/office/drawing/2014/chart" uri="{C3380CC4-5D6E-409C-BE32-E72D297353CC}">
              <c16:uniqueId val="{00000003-773D-4667-BD04-5B65AB3D610F}"/>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2400" b="1" i="0" u="none" strike="noStrike" baseline="0">
                <a:solidFill>
                  <a:sysClr val="windowText" lastClr="000000">
                    <a:lumMod val="65000"/>
                    <a:lumOff val="35000"/>
                  </a:sysClr>
                </a:solidFill>
                <a:latin typeface="Calibri" panose="020F0502020204030204"/>
              </a:rPr>
              <a:t>100 Oldest U.S. PV Systems: Age Distribution</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PlantData!$GA$6</c:f>
              <c:strCache>
                <c:ptCount val="1"/>
                <c:pt idx="0">
                  <c:v>Fixed-tilt</c:v>
                </c:pt>
              </c:strCache>
            </c:strRef>
          </c:tx>
          <c:spPr>
            <a:solidFill>
              <a:schemeClr val="accent1"/>
            </a:solidFill>
            <a:ln>
              <a:noFill/>
            </a:ln>
            <a:effectLst/>
          </c:spPr>
          <c:invertIfNegative val="0"/>
          <c:cat>
            <c:numRef>
              <c:f>PlantData!$FY$7:$FY$18</c:f>
              <c:numCache>
                <c:formatCode>General</c:formatCode>
                <c:ptCount val="12"/>
                <c:pt idx="0">
                  <c:v>12</c:v>
                </c:pt>
                <c:pt idx="1">
                  <c:v>13</c:v>
                </c:pt>
                <c:pt idx="2">
                  <c:v>14</c:v>
                </c:pt>
                <c:pt idx="3">
                  <c:v>15</c:v>
                </c:pt>
                <c:pt idx="4">
                  <c:v>16</c:v>
                </c:pt>
                <c:pt idx="5">
                  <c:v>17</c:v>
                </c:pt>
                <c:pt idx="6">
                  <c:v>18</c:v>
                </c:pt>
                <c:pt idx="7">
                  <c:v>19</c:v>
                </c:pt>
                <c:pt idx="8">
                  <c:v>20</c:v>
                </c:pt>
                <c:pt idx="9">
                  <c:v>21</c:v>
                </c:pt>
                <c:pt idx="10">
                  <c:v>22</c:v>
                </c:pt>
                <c:pt idx="11">
                  <c:v>23</c:v>
                </c:pt>
              </c:numCache>
            </c:numRef>
          </c:cat>
          <c:val>
            <c:numRef>
              <c:f>PlantData!$GA$7:$GA$18</c:f>
              <c:numCache>
                <c:formatCode>General</c:formatCode>
                <c:ptCount val="12"/>
                <c:pt idx="0">
                  <c:v>3</c:v>
                </c:pt>
                <c:pt idx="1">
                  <c:v>14</c:v>
                </c:pt>
                <c:pt idx="2">
                  <c:v>25</c:v>
                </c:pt>
                <c:pt idx="3">
                  <c:v>13</c:v>
                </c:pt>
                <c:pt idx="4">
                  <c:v>10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D036-40F6-ADFC-379172CB4FBB}"/>
            </c:ext>
          </c:extLst>
        </c:ser>
        <c:ser>
          <c:idx val="1"/>
          <c:order val="1"/>
          <c:tx>
            <c:strRef>
              <c:f>PlantData!$GB$6</c:f>
              <c:strCache>
                <c:ptCount val="1"/>
                <c:pt idx="0">
                  <c:v>Tracking</c:v>
                </c:pt>
              </c:strCache>
            </c:strRef>
          </c:tx>
          <c:spPr>
            <a:solidFill>
              <a:schemeClr val="accent2"/>
            </a:solidFill>
            <a:ln>
              <a:noFill/>
            </a:ln>
            <a:effectLst/>
          </c:spPr>
          <c:invertIfNegative val="0"/>
          <c:cat>
            <c:numRef>
              <c:f>PlantData!$FY$7:$FY$18</c:f>
              <c:numCache>
                <c:formatCode>General</c:formatCode>
                <c:ptCount val="12"/>
                <c:pt idx="0">
                  <c:v>12</c:v>
                </c:pt>
                <c:pt idx="1">
                  <c:v>13</c:v>
                </c:pt>
                <c:pt idx="2">
                  <c:v>14</c:v>
                </c:pt>
                <c:pt idx="3">
                  <c:v>15</c:v>
                </c:pt>
                <c:pt idx="4">
                  <c:v>16</c:v>
                </c:pt>
                <c:pt idx="5">
                  <c:v>17</c:v>
                </c:pt>
                <c:pt idx="6">
                  <c:v>18</c:v>
                </c:pt>
                <c:pt idx="7">
                  <c:v>19</c:v>
                </c:pt>
                <c:pt idx="8">
                  <c:v>20</c:v>
                </c:pt>
                <c:pt idx="9">
                  <c:v>21</c:v>
                </c:pt>
                <c:pt idx="10">
                  <c:v>22</c:v>
                </c:pt>
                <c:pt idx="11">
                  <c:v>23</c:v>
                </c:pt>
              </c:numCache>
            </c:numRef>
          </c:cat>
          <c:val>
            <c:numRef>
              <c:f>PlantData!$GB$7:$GB$18</c:f>
              <c:numCache>
                <c:formatCode>General</c:formatCode>
                <c:ptCount val="12"/>
                <c:pt idx="0">
                  <c:v>0</c:v>
                </c:pt>
                <c:pt idx="1">
                  <c:v>10</c:v>
                </c:pt>
                <c:pt idx="2">
                  <c:v>7</c:v>
                </c:pt>
                <c:pt idx="3">
                  <c:v>4</c:v>
                </c:pt>
                <c:pt idx="4">
                  <c:v>10</c:v>
                </c:pt>
                <c:pt idx="5">
                  <c:v>2</c:v>
                </c:pt>
                <c:pt idx="6">
                  <c:v>0</c:v>
                </c:pt>
                <c:pt idx="7">
                  <c:v>0</c:v>
                </c:pt>
                <c:pt idx="8">
                  <c:v>0</c:v>
                </c:pt>
                <c:pt idx="9">
                  <c:v>0</c:v>
                </c:pt>
                <c:pt idx="10">
                  <c:v>0</c:v>
                </c:pt>
                <c:pt idx="11">
                  <c:v>1</c:v>
                </c:pt>
              </c:numCache>
            </c:numRef>
          </c:val>
          <c:extLst>
            <c:ext xmlns:c16="http://schemas.microsoft.com/office/drawing/2014/chart" uri="{C3380CC4-5D6E-409C-BE32-E72D297353CC}">
              <c16:uniqueId val="{00000002-D036-40F6-ADFC-379172CB4FBB}"/>
            </c:ext>
          </c:extLst>
        </c:ser>
        <c:dLbls>
          <c:showLegendKey val="0"/>
          <c:showVal val="0"/>
          <c:showCatName val="0"/>
          <c:showSerName val="0"/>
          <c:showPercent val="0"/>
          <c:showBubbleSize val="0"/>
        </c:dLbls>
        <c:gapWidth val="9"/>
        <c:overlap val="100"/>
        <c:axId val="244384736"/>
        <c:axId val="263645424"/>
      </c:barChart>
      <c:catAx>
        <c:axId val="244384736"/>
        <c:scaling>
          <c:orientation val="minMax"/>
        </c:scaling>
        <c:delete val="0"/>
        <c:axPos val="b"/>
        <c:title>
          <c:tx>
            <c:rich>
              <a:bodyPr rot="0" spcFirstLastPara="1" vertOverflow="ellipsis" vert="horz" wrap="square" anchor="ctr" anchorCtr="1"/>
              <a:lstStyle/>
              <a:p>
                <a:pPr>
                  <a:defRPr sz="2000" b="1" i="0" u="none" strike="noStrike" baseline="0">
                    <a:solidFill>
                      <a:schemeClr val="tx1">
                        <a:lumMod val="65000"/>
                        <a:lumOff val="35000"/>
                      </a:schemeClr>
                    </a:solidFill>
                    <a:latin typeface="+mn-lt"/>
                    <a:ea typeface="+mn-ea"/>
                    <a:cs typeface="+mn-cs"/>
                  </a:defRPr>
                </a:pPr>
                <a:r>
                  <a:rPr lang="en-US" sz="2000" b="1"/>
                  <a:t>Years of data</a:t>
                </a:r>
              </a:p>
            </c:rich>
          </c:tx>
          <c:overlay val="0"/>
          <c:spPr>
            <a:noFill/>
            <a:ln>
              <a:noFill/>
            </a:ln>
            <a:effectLst/>
          </c:spPr>
          <c:txPr>
            <a:bodyPr rot="0" spcFirstLastPara="1" vertOverflow="ellipsis" vert="horz" wrap="square" anchor="ctr" anchorCtr="1"/>
            <a:lstStyle/>
            <a:p>
              <a:pPr>
                <a:defRPr sz="20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baseline="0">
                <a:solidFill>
                  <a:schemeClr val="tx1">
                    <a:lumMod val="65000"/>
                    <a:lumOff val="35000"/>
                  </a:schemeClr>
                </a:solidFill>
                <a:latin typeface="+mn-lt"/>
                <a:ea typeface="+mn-ea"/>
                <a:cs typeface="+mn-cs"/>
              </a:defRPr>
            </a:pPr>
            <a:endParaRPr lang="en-US"/>
          </a:p>
        </c:txPr>
        <c:crossAx val="263645424"/>
        <c:crosses val="autoZero"/>
        <c:auto val="1"/>
        <c:lblAlgn val="ctr"/>
        <c:lblOffset val="100"/>
        <c:noMultiLvlLbl val="0"/>
      </c:catAx>
      <c:valAx>
        <c:axId val="26364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baseline="0">
                    <a:solidFill>
                      <a:schemeClr val="tx1">
                        <a:lumMod val="65000"/>
                        <a:lumOff val="35000"/>
                      </a:schemeClr>
                    </a:solidFill>
                    <a:latin typeface="+mn-lt"/>
                    <a:ea typeface="+mn-ea"/>
                    <a:cs typeface="+mn-cs"/>
                  </a:defRPr>
                </a:pPr>
                <a:r>
                  <a:rPr lang="en-US" sz="2000" b="1"/>
                  <a:t>Number of systems</a:t>
                </a:r>
              </a:p>
            </c:rich>
          </c:tx>
          <c:overlay val="0"/>
          <c:spPr>
            <a:noFill/>
            <a:ln>
              <a:noFill/>
            </a:ln>
            <a:effectLst/>
          </c:spPr>
          <c:txPr>
            <a:bodyPr rot="-5400000" spcFirstLastPara="1" vertOverflow="ellipsis" vert="horz" wrap="square" anchor="ctr" anchorCtr="1"/>
            <a:lstStyle/>
            <a:p>
              <a:pPr>
                <a:defRPr sz="20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baseline="0">
                <a:solidFill>
                  <a:schemeClr val="tx1">
                    <a:lumMod val="65000"/>
                    <a:lumOff val="35000"/>
                  </a:schemeClr>
                </a:solidFill>
                <a:latin typeface="+mn-lt"/>
                <a:ea typeface="+mn-ea"/>
                <a:cs typeface="+mn-cs"/>
              </a:defRPr>
            </a:pPr>
            <a:endParaRPr lang="en-US"/>
          </a:p>
        </c:txPr>
        <c:crossAx val="24438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2400" b="1" i="0" u="none" strike="noStrike" baseline="0">
                <a:solidFill>
                  <a:sysClr val="windowText" lastClr="000000">
                    <a:lumMod val="65000"/>
                    <a:lumOff val="35000"/>
                  </a:sysClr>
                </a:solidFill>
                <a:latin typeface="Calibri" panose="020F0502020204030204"/>
              </a:rPr>
              <a:t>Module Temperature Distribution: Set A vs. Set B</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Set A</c:v>
          </c:tx>
          <c:spPr>
            <a:solidFill>
              <a:schemeClr val="accent1"/>
            </a:solidFill>
            <a:ln>
              <a:noFill/>
            </a:ln>
            <a:effectLst/>
          </c:spPr>
          <c:invertIfNegative val="0"/>
          <c:dLbls>
            <c:dLbl>
              <c:idx val="0"/>
              <c:tx>
                <c:rich>
                  <a:bodyPr/>
                  <a:lstStyle/>
                  <a:p>
                    <a:fld id="{9172217E-0923-4A7C-AD40-50FE12A47F0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57E-4190-9347-DA935C620836}"/>
                </c:ext>
              </c:extLst>
            </c:dLbl>
            <c:dLbl>
              <c:idx val="1"/>
              <c:tx>
                <c:rich>
                  <a:bodyPr/>
                  <a:lstStyle/>
                  <a:p>
                    <a:fld id="{59B77962-A75F-4F87-AAFF-B6402700F35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57E-4190-9347-DA935C620836}"/>
                </c:ext>
              </c:extLst>
            </c:dLbl>
            <c:dLbl>
              <c:idx val="2"/>
              <c:tx>
                <c:rich>
                  <a:bodyPr/>
                  <a:lstStyle/>
                  <a:p>
                    <a:fld id="{EB0B2CA3-CC6D-4908-96D1-E11EC9A2589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57E-4190-9347-DA935C620836}"/>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baseline="0">
                    <a:solidFill>
                      <a:schemeClr val="tx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Newer25!$CO$1:$CO$3</c:f>
              <c:strCache>
                <c:ptCount val="3"/>
                <c:pt idx="0">
                  <c:v>Cold: Tmod &lt;40 °C</c:v>
                </c:pt>
                <c:pt idx="1">
                  <c:v>Med.: Tmod 40-50 °C</c:v>
                </c:pt>
                <c:pt idx="2">
                  <c:v>Hot: Tmod &gt; 50 °C</c:v>
                </c:pt>
              </c:strCache>
            </c:strRef>
          </c:cat>
          <c:val>
            <c:numRef>
              <c:f>PlantData!$CN$12:$CN$14</c:f>
              <c:numCache>
                <c:formatCode>0%</c:formatCode>
                <c:ptCount val="3"/>
                <c:pt idx="0">
                  <c:v>0.47</c:v>
                </c:pt>
                <c:pt idx="1">
                  <c:v>0.41</c:v>
                </c:pt>
                <c:pt idx="2">
                  <c:v>0.12</c:v>
                </c:pt>
              </c:numCache>
            </c:numRef>
          </c:val>
          <c:extLst>
            <c:ext xmlns:c15="http://schemas.microsoft.com/office/drawing/2012/chart" uri="{02D57815-91ED-43cb-92C2-25804820EDAC}">
              <c15:datalabelsRange>
                <c15:f>PlantData!$CP$12:$CP$14</c15:f>
                <c15:dlblRangeCache>
                  <c:ptCount val="3"/>
                  <c:pt idx="0">
                    <c:v>47</c:v>
                  </c:pt>
                  <c:pt idx="1">
                    <c:v>41</c:v>
                  </c:pt>
                  <c:pt idx="2">
                    <c:v>12</c:v>
                  </c:pt>
                </c15:dlblRangeCache>
              </c15:datalabelsRange>
            </c:ext>
            <c:ext xmlns:c16="http://schemas.microsoft.com/office/drawing/2014/chart" uri="{C3380CC4-5D6E-409C-BE32-E72D297353CC}">
              <c16:uniqueId val="{00000000-457E-4190-9347-DA935C620836}"/>
            </c:ext>
          </c:extLst>
        </c:ser>
        <c:ser>
          <c:idx val="1"/>
          <c:order val="1"/>
          <c:tx>
            <c:v>Set B</c:v>
          </c:tx>
          <c:spPr>
            <a:solidFill>
              <a:schemeClr val="accent2"/>
            </a:solidFill>
            <a:ln>
              <a:noFill/>
            </a:ln>
            <a:effectLst/>
          </c:spPr>
          <c:invertIfNegative val="0"/>
          <c:dLbls>
            <c:dLbl>
              <c:idx val="0"/>
              <c:tx>
                <c:rich>
                  <a:bodyPr/>
                  <a:lstStyle/>
                  <a:p>
                    <a:fld id="{1084A682-756B-44D1-AB47-A34FADE296A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57E-4190-9347-DA935C620836}"/>
                </c:ext>
              </c:extLst>
            </c:dLbl>
            <c:dLbl>
              <c:idx val="1"/>
              <c:tx>
                <c:rich>
                  <a:bodyPr/>
                  <a:lstStyle/>
                  <a:p>
                    <a:fld id="{FB42EA05-40C7-44C1-A2D6-F21BC5B68F1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57E-4190-9347-DA935C620836}"/>
                </c:ext>
              </c:extLst>
            </c:dLbl>
            <c:dLbl>
              <c:idx val="2"/>
              <c:tx>
                <c:rich>
                  <a:bodyPr/>
                  <a:lstStyle/>
                  <a:p>
                    <a:fld id="{D67A579B-1E8C-44F7-892A-3D84274DDF6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57E-4190-9347-DA935C620836}"/>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baseline="0">
                    <a:solidFill>
                      <a:schemeClr val="tx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Newer25!$CO$1:$CO$3</c:f>
              <c:strCache>
                <c:ptCount val="3"/>
                <c:pt idx="0">
                  <c:v>Cold: Tmod &lt;40 °C</c:v>
                </c:pt>
                <c:pt idx="1">
                  <c:v>Med.: Tmod 40-50 °C</c:v>
                </c:pt>
                <c:pt idx="2">
                  <c:v>Hot: Tmod &gt; 50 °C</c:v>
                </c:pt>
              </c:strCache>
            </c:strRef>
          </c:cat>
          <c:val>
            <c:numRef>
              <c:f>Newer25!$CN$12:$CN$14</c:f>
              <c:numCache>
                <c:formatCode>0%</c:formatCode>
                <c:ptCount val="3"/>
                <c:pt idx="0">
                  <c:v>0.72</c:v>
                </c:pt>
                <c:pt idx="1">
                  <c:v>0.24</c:v>
                </c:pt>
                <c:pt idx="2">
                  <c:v>0.04</c:v>
                </c:pt>
              </c:numCache>
            </c:numRef>
          </c:val>
          <c:extLst>
            <c:ext xmlns:c15="http://schemas.microsoft.com/office/drawing/2012/chart" uri="{02D57815-91ED-43cb-92C2-25804820EDAC}">
              <c15:datalabelsRange>
                <c15:f>Newer25!$CP$12:$CP$14</c15:f>
                <c15:dlblRangeCache>
                  <c:ptCount val="3"/>
                  <c:pt idx="0">
                    <c:v>18</c:v>
                  </c:pt>
                  <c:pt idx="1">
                    <c:v>6</c:v>
                  </c:pt>
                  <c:pt idx="2">
                    <c:v>1</c:v>
                  </c:pt>
                </c15:dlblRangeCache>
              </c15:datalabelsRange>
            </c:ext>
            <c:ext xmlns:c16="http://schemas.microsoft.com/office/drawing/2014/chart" uri="{C3380CC4-5D6E-409C-BE32-E72D297353CC}">
              <c16:uniqueId val="{00000001-457E-4190-9347-DA935C620836}"/>
            </c:ext>
          </c:extLst>
        </c:ser>
        <c:dLbls>
          <c:dLblPos val="outEnd"/>
          <c:showLegendKey val="0"/>
          <c:showVal val="1"/>
          <c:showCatName val="0"/>
          <c:showSerName val="0"/>
          <c:showPercent val="0"/>
          <c:showBubbleSize val="0"/>
        </c:dLbls>
        <c:gapWidth val="50"/>
        <c:axId val="244384736"/>
        <c:axId val="263645424"/>
      </c:barChart>
      <c:catAx>
        <c:axId val="244384736"/>
        <c:scaling>
          <c:orientation val="minMax"/>
        </c:scaling>
        <c:delete val="0"/>
        <c:axPos val="b"/>
        <c:title>
          <c:tx>
            <c:rich>
              <a:bodyPr rot="0" spcFirstLastPara="1" vertOverflow="ellipsis" vert="horz" wrap="square" anchor="ctr" anchorCtr="1"/>
              <a:lstStyle/>
              <a:p>
                <a:pPr>
                  <a:defRPr sz="2000" b="1" i="0" u="none" strike="noStrike" baseline="0">
                    <a:solidFill>
                      <a:schemeClr val="tx1">
                        <a:lumMod val="65000"/>
                        <a:lumOff val="35000"/>
                      </a:schemeClr>
                    </a:solidFill>
                    <a:latin typeface="+mn-lt"/>
                    <a:ea typeface="+mn-ea"/>
                    <a:cs typeface="+mn-cs"/>
                  </a:defRPr>
                </a:pPr>
                <a:r>
                  <a:rPr lang="en-US" sz="2000" b="1"/>
                  <a:t>Module temperature bin</a:t>
                </a:r>
              </a:p>
            </c:rich>
          </c:tx>
          <c:overlay val="0"/>
          <c:spPr>
            <a:noFill/>
            <a:ln>
              <a:noFill/>
            </a:ln>
            <a:effectLst/>
          </c:spPr>
          <c:txPr>
            <a:bodyPr rot="0" spcFirstLastPara="1" vertOverflow="ellipsis" vert="horz" wrap="square" anchor="ctr" anchorCtr="1"/>
            <a:lstStyle/>
            <a:p>
              <a:pPr>
                <a:defRPr sz="20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baseline="0">
                <a:solidFill>
                  <a:schemeClr val="tx1">
                    <a:lumMod val="65000"/>
                    <a:lumOff val="35000"/>
                  </a:schemeClr>
                </a:solidFill>
                <a:latin typeface="+mn-lt"/>
                <a:ea typeface="+mn-ea"/>
                <a:cs typeface="+mn-cs"/>
              </a:defRPr>
            </a:pPr>
            <a:endParaRPr lang="en-US"/>
          </a:p>
        </c:txPr>
        <c:crossAx val="263645424"/>
        <c:crosses val="autoZero"/>
        <c:auto val="1"/>
        <c:lblAlgn val="ctr"/>
        <c:lblOffset val="100"/>
        <c:noMultiLvlLbl val="0"/>
      </c:catAx>
      <c:valAx>
        <c:axId val="26364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baseline="0">
                    <a:solidFill>
                      <a:schemeClr val="tx1">
                        <a:lumMod val="65000"/>
                        <a:lumOff val="35000"/>
                      </a:schemeClr>
                    </a:solidFill>
                    <a:latin typeface="+mn-lt"/>
                    <a:ea typeface="+mn-ea"/>
                    <a:cs typeface="+mn-cs"/>
                  </a:defRPr>
                </a:pPr>
                <a:r>
                  <a:rPr lang="en-US" sz="2000" b="1"/>
                  <a:t>Percent</a:t>
                </a:r>
                <a:r>
                  <a:rPr lang="en-US" sz="2000" b="1" baseline="0"/>
                  <a:t> of sample</a:t>
                </a:r>
                <a:endParaRPr lang="en-US" sz="2000" b="1"/>
              </a:p>
            </c:rich>
          </c:tx>
          <c:overlay val="0"/>
          <c:spPr>
            <a:noFill/>
            <a:ln>
              <a:noFill/>
            </a:ln>
            <a:effectLst/>
          </c:spPr>
          <c:txPr>
            <a:bodyPr rot="-5400000" spcFirstLastPara="1" vertOverflow="ellipsis" vert="horz" wrap="square" anchor="ctr" anchorCtr="1"/>
            <a:lstStyle/>
            <a:p>
              <a:pPr>
                <a:defRPr sz="2000" b="1" i="0" u="none" strike="noStrike"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baseline="0">
                <a:solidFill>
                  <a:schemeClr val="tx1">
                    <a:lumMod val="65000"/>
                    <a:lumOff val="35000"/>
                  </a:schemeClr>
                </a:solidFill>
                <a:latin typeface="+mn-lt"/>
                <a:ea typeface="+mn-ea"/>
                <a:cs typeface="+mn-cs"/>
              </a:defRPr>
            </a:pPr>
            <a:endParaRPr lang="en-US"/>
          </a:p>
        </c:txPr>
        <c:crossAx val="244384736"/>
        <c:crosses val="autoZero"/>
        <c:crossBetween val="between"/>
      </c:valAx>
      <c:spPr>
        <a:noFill/>
        <a:ln>
          <a:noFill/>
        </a:ln>
        <a:effectLst/>
      </c:spPr>
    </c:plotArea>
    <c:legend>
      <c:legendPos val="tr"/>
      <c:overlay val="1"/>
      <c:spPr>
        <a:noFill/>
        <a:ln>
          <a:noFill/>
        </a:ln>
        <a:effectLst/>
      </c:spPr>
      <c:txPr>
        <a:bodyPr rot="0" spcFirstLastPara="1" vertOverflow="ellipsis" vert="horz" wrap="square" anchor="ctr" anchorCtr="1"/>
        <a:lstStyle/>
        <a:p>
          <a:pPr>
            <a:defRPr sz="2000" b="1"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Sample 25 U.S. PV Systems from 2018:</a:t>
            </a:r>
          </a:p>
          <a:p>
            <a:pPr>
              <a:defRPr/>
            </a:pPr>
            <a:r>
              <a:rPr lang="en-US" sz="1400" b="0" i="0" u="none" strike="noStrike" baseline="0">
                <a:solidFill>
                  <a:sysClr val="windowText" lastClr="000000">
                    <a:lumMod val="65000"/>
                    <a:lumOff val="35000"/>
                  </a:sysClr>
                </a:solidFill>
                <a:latin typeface="Calibri" panose="020F0502020204030204"/>
              </a:rPr>
              <a:t>Histogram of Avg Module Temperatures</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Cool (Tmod&lt;40 C)</c:v>
          </c:tx>
          <c:spPr>
            <a:solidFill>
              <a:srgbClr val="00B0F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4-BE36-4579-A7EC-97ACF9EB65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States25!$Q$31</c:f>
              <c:numCache>
                <c:formatCode>General</c:formatCode>
                <c:ptCount val="1"/>
                <c:pt idx="0">
                  <c:v>18</c:v>
                </c:pt>
              </c:numCache>
            </c:numRef>
          </c:val>
          <c:extLst>
            <c:ext xmlns:c16="http://schemas.microsoft.com/office/drawing/2014/chart" uri="{C3380CC4-5D6E-409C-BE32-E72D297353CC}">
              <c16:uniqueId val="{00000000-BE36-4579-A7EC-97ACF9EB65BE}"/>
            </c:ext>
          </c:extLst>
        </c:ser>
        <c:ser>
          <c:idx val="1"/>
          <c:order val="1"/>
          <c:tx>
            <c:v>Med (40 C &lt; Tmod &lt; 50 C)</c:v>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States25!$Q$32</c:f>
              <c:numCache>
                <c:formatCode>0</c:formatCode>
                <c:ptCount val="1"/>
                <c:pt idx="0">
                  <c:v>6</c:v>
                </c:pt>
              </c:numCache>
            </c:numRef>
          </c:val>
          <c:extLst>
            <c:ext xmlns:c16="http://schemas.microsoft.com/office/drawing/2014/chart" uri="{C3380CC4-5D6E-409C-BE32-E72D297353CC}">
              <c16:uniqueId val="{00000002-BE36-4579-A7EC-97ACF9EB65BE}"/>
            </c:ext>
          </c:extLst>
        </c:ser>
        <c:ser>
          <c:idx val="2"/>
          <c:order val="2"/>
          <c:tx>
            <c:v>Hot (Tmod &gt; 50 C)</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States25!$Q$33</c:f>
              <c:numCache>
                <c:formatCode>General</c:formatCode>
                <c:ptCount val="1"/>
                <c:pt idx="0">
                  <c:v>1</c:v>
                </c:pt>
              </c:numCache>
            </c:numRef>
          </c:val>
          <c:extLst>
            <c:ext xmlns:c16="http://schemas.microsoft.com/office/drawing/2014/chart" uri="{C3380CC4-5D6E-409C-BE32-E72D297353CC}">
              <c16:uniqueId val="{00000003-BE36-4579-A7EC-97ACF9EB65BE}"/>
            </c:ext>
          </c:extLst>
        </c:ser>
        <c:dLbls>
          <c:dLblPos val="inBase"/>
          <c:showLegendKey val="0"/>
          <c:showVal val="1"/>
          <c:showCatName val="0"/>
          <c:showSerName val="0"/>
          <c:showPercent val="0"/>
          <c:showBubbleSize val="0"/>
        </c:dLbls>
        <c:gapWidth val="0"/>
        <c:axId val="1037149151"/>
        <c:axId val="1037144351"/>
      </c:barChart>
      <c:catAx>
        <c:axId val="1037149151"/>
        <c:scaling>
          <c:orientation val="minMax"/>
        </c:scaling>
        <c:delete val="1"/>
        <c:axPos val="b"/>
        <c:numFmt formatCode="General" sourceLinked="1"/>
        <c:majorTickMark val="none"/>
        <c:minorTickMark val="none"/>
        <c:tickLblPos val="nextTo"/>
        <c:crossAx val="1037144351"/>
        <c:crosses val="autoZero"/>
        <c:auto val="1"/>
        <c:lblAlgn val="ctr"/>
        <c:lblOffset val="100"/>
        <c:noMultiLvlLbl val="0"/>
      </c:catAx>
      <c:valAx>
        <c:axId val="103714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037149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Agua</a:t>
            </a:r>
            <a:r>
              <a:rPr lang="en-US" baseline="0"/>
              <a:t> Fria, AZ</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spPr>
            <a:ln w="1905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3.3198381452318459E-2"/>
                  <c:y val="-0.3316145377661125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Exclusions!$I$2:$AE$2</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Exclusions!$I$5:$AE$5</c:f>
              <c:numCache>
                <c:formatCode>0.000</c:formatCode>
                <c:ptCount val="23"/>
                <c:pt idx="0">
                  <c:v>0.68730842365204026</c:v>
                </c:pt>
                <c:pt idx="1">
                  <c:v>0.51678633373330618</c:v>
                </c:pt>
                <c:pt idx="2">
                  <c:v>0.19314236715285182</c:v>
                </c:pt>
                <c:pt idx="3">
                  <c:v>0.49590607782488982</c:v>
                </c:pt>
                <c:pt idx="4">
                  <c:v>0.69252848762914443</c:v>
                </c:pt>
                <c:pt idx="5">
                  <c:v>0.76038931933149767</c:v>
                </c:pt>
                <c:pt idx="6">
                  <c:v>0.34974428646597494</c:v>
                </c:pt>
                <c:pt idx="7">
                  <c:v>0.76212934065719906</c:v>
                </c:pt>
                <c:pt idx="8">
                  <c:v>0.77778953258851136</c:v>
                </c:pt>
                <c:pt idx="9">
                  <c:v>0.76038931933149767</c:v>
                </c:pt>
                <c:pt idx="10">
                  <c:v>0.68730842365204026</c:v>
                </c:pt>
                <c:pt idx="11">
                  <c:v>0.44370543805384877</c:v>
                </c:pt>
                <c:pt idx="12">
                  <c:v>1.7400213257013679E-6</c:v>
                </c:pt>
                <c:pt idx="13">
                  <c:v>0.26622326283230929</c:v>
                </c:pt>
                <c:pt idx="14">
                  <c:v>0.3775846276771968</c:v>
                </c:pt>
                <c:pt idx="15">
                  <c:v>0.48894599252208437</c:v>
                </c:pt>
                <c:pt idx="16">
                  <c:v>0.23664290029538601</c:v>
                </c:pt>
                <c:pt idx="17">
                  <c:v>1.7400213257013679E-6</c:v>
                </c:pt>
                <c:pt idx="18">
                  <c:v>1.7400213257013679E-6</c:v>
                </c:pt>
                <c:pt idx="19">
                  <c:v>1.7400213257013679E-6</c:v>
                </c:pt>
                <c:pt idx="20">
                  <c:v>1.7400213257013679E-6</c:v>
                </c:pt>
                <c:pt idx="21">
                  <c:v>3.6540447839728721E-2</c:v>
                </c:pt>
                <c:pt idx="22">
                  <c:v>0.13746168473040807</c:v>
                </c:pt>
              </c:numCache>
            </c:numRef>
          </c:yVal>
          <c:smooth val="0"/>
          <c:extLst>
            <c:ext xmlns:c16="http://schemas.microsoft.com/office/drawing/2014/chart" uri="{C3380CC4-5D6E-409C-BE32-E72D297353CC}">
              <c16:uniqueId val="{00000002-A0D0-47A1-B596-908FE23FF674}"/>
            </c:ext>
          </c:extLst>
        </c:ser>
        <c:dLbls>
          <c:showLegendKey val="0"/>
          <c:showVal val="0"/>
          <c:showCatName val="0"/>
          <c:showSerName val="0"/>
          <c:showPercent val="0"/>
          <c:showBubbleSize val="0"/>
        </c:dLbls>
        <c:axId val="189151440"/>
        <c:axId val="189150000"/>
      </c:scatterChart>
      <c:valAx>
        <c:axId val="189151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50000"/>
        <c:crosses val="autoZero"/>
        <c:crossBetween val="midCat"/>
      </c:valAx>
      <c:valAx>
        <c:axId val="18915000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514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PI</a:t>
            </a:r>
            <a:r>
              <a:rPr lang="en-US" sz="2000" b="1" baseline="0"/>
              <a:t> overlap between first 7 years of Set A's systems and Set B: 84% common area beneath both curves.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2"/>
          <c:order val="0"/>
          <c:tx>
            <c:strRef>
              <c:f>NullOverlap!$I$1</c:f>
              <c:strCache>
                <c:ptCount val="1"/>
                <c:pt idx="0">
                  <c:v>Set A: 100</c:v>
                </c:pt>
              </c:strCache>
            </c:strRef>
          </c:tx>
          <c:spPr>
            <a:ln w="63500" cap="rnd">
              <a:solidFill>
                <a:schemeClr val="accent3"/>
              </a:solidFill>
              <a:round/>
            </a:ln>
            <a:effectLst/>
          </c:spPr>
          <c:marker>
            <c:symbol val="none"/>
          </c:marker>
          <c:xVal>
            <c:numRef>
              <c:f>NullOverlap!$F$4:$F$23</c:f>
              <c:numCache>
                <c:formatCode>General</c:formatCode>
                <c:ptCount val="20"/>
                <c:pt idx="0">
                  <c:v>0.1</c:v>
                </c:pt>
                <c:pt idx="1">
                  <c:v>0.3</c:v>
                </c:pt>
                <c:pt idx="2">
                  <c:v>0.5</c:v>
                </c:pt>
                <c:pt idx="3">
                  <c:v>0.55000000000000004</c:v>
                </c:pt>
                <c:pt idx="4">
                  <c:v>0.6</c:v>
                </c:pt>
                <c:pt idx="5">
                  <c:v>0.65</c:v>
                </c:pt>
                <c:pt idx="6">
                  <c:v>0.7</c:v>
                </c:pt>
                <c:pt idx="7">
                  <c:v>0.75</c:v>
                </c:pt>
                <c:pt idx="8">
                  <c:v>0.8</c:v>
                </c:pt>
                <c:pt idx="9">
                  <c:v>0.85</c:v>
                </c:pt>
                <c:pt idx="10">
                  <c:v>0.9</c:v>
                </c:pt>
                <c:pt idx="11">
                  <c:v>0.95</c:v>
                </c:pt>
                <c:pt idx="12">
                  <c:v>1</c:v>
                </c:pt>
                <c:pt idx="13">
                  <c:v>1.05</c:v>
                </c:pt>
                <c:pt idx="14">
                  <c:v>1.1000000000000001</c:v>
                </c:pt>
                <c:pt idx="15">
                  <c:v>1.1499999999999999</c:v>
                </c:pt>
                <c:pt idx="16">
                  <c:v>1.2</c:v>
                </c:pt>
                <c:pt idx="17">
                  <c:v>1.25</c:v>
                </c:pt>
                <c:pt idx="18">
                  <c:v>1.3</c:v>
                </c:pt>
                <c:pt idx="19">
                  <c:v>1.5</c:v>
                </c:pt>
              </c:numCache>
            </c:numRef>
          </c:xVal>
          <c:yVal>
            <c:numRef>
              <c:f>NullOverlap!$I$4:$I$23</c:f>
              <c:numCache>
                <c:formatCode>0.00</c:formatCode>
                <c:ptCount val="20"/>
                <c:pt idx="0">
                  <c:v>5.3702508936572826E-12</c:v>
                </c:pt>
                <c:pt idx="1">
                  <c:v>5.2823854251285974E-7</c:v>
                </c:pt>
                <c:pt idx="2">
                  <c:v>2.2577095967328347E-3</c:v>
                </c:pt>
                <c:pt idx="3">
                  <c:v>1.1183183864564065E-2</c:v>
                </c:pt>
                <c:pt idx="4">
                  <c:v>4.5534231027654304E-2</c:v>
                </c:pt>
                <c:pt idx="5">
                  <c:v>0.15240025838843338</c:v>
                </c:pt>
                <c:pt idx="6">
                  <c:v>0.41928425607506187</c:v>
                </c:pt>
                <c:pt idx="7">
                  <c:v>0.94821443440358799</c:v>
                </c:pt>
                <c:pt idx="8">
                  <c:v>1.7627053570885298</c:v>
                </c:pt>
                <c:pt idx="9">
                  <c:v>2.6935686070101226</c:v>
                </c:pt>
                <c:pt idx="10">
                  <c:v>3.383385738813188</c:v>
                </c:pt>
                <c:pt idx="11">
                  <c:v>3.493414690352016</c:v>
                </c:pt>
                <c:pt idx="12">
                  <c:v>2.9649947258778844</c:v>
                </c:pt>
                <c:pt idx="13">
                  <c:v>2.0685825813804648</c:v>
                </c:pt>
                <c:pt idx="14">
                  <c:v>1.1863066276919056</c:v>
                </c:pt>
                <c:pt idx="15">
                  <c:v>0.55923739662520666</c:v>
                </c:pt>
                <c:pt idx="16">
                  <c:v>0.21670583690766354</c:v>
                </c:pt>
                <c:pt idx="17">
                  <c:v>6.9027185835562818E-2</c:v>
                </c:pt>
                <c:pt idx="18">
                  <c:v>1.8073608981401069E-2</c:v>
                </c:pt>
                <c:pt idx="19">
                  <c:v>1.1964520295291247E-5</c:v>
                </c:pt>
              </c:numCache>
            </c:numRef>
          </c:yVal>
          <c:smooth val="1"/>
          <c:extLst>
            <c:ext xmlns:c16="http://schemas.microsoft.com/office/drawing/2014/chart" uri="{C3380CC4-5D6E-409C-BE32-E72D297353CC}">
              <c16:uniqueId val="{00000000-916A-46E3-9DF4-56A295C5BCB3}"/>
            </c:ext>
          </c:extLst>
        </c:ser>
        <c:ser>
          <c:idx val="3"/>
          <c:order val="1"/>
          <c:tx>
            <c:strRef>
              <c:f>NullOverlap!$J$1</c:f>
              <c:strCache>
                <c:ptCount val="1"/>
                <c:pt idx="0">
                  <c:v>Set B: 25</c:v>
                </c:pt>
              </c:strCache>
            </c:strRef>
          </c:tx>
          <c:spPr>
            <a:ln w="63500" cap="rnd">
              <a:solidFill>
                <a:schemeClr val="accent4"/>
              </a:solidFill>
              <a:round/>
            </a:ln>
            <a:effectLst/>
          </c:spPr>
          <c:marker>
            <c:symbol val="none"/>
          </c:marker>
          <c:xVal>
            <c:numRef>
              <c:f>NullOverlap!$F$4:$F$23</c:f>
              <c:numCache>
                <c:formatCode>General</c:formatCode>
                <c:ptCount val="20"/>
                <c:pt idx="0">
                  <c:v>0.1</c:v>
                </c:pt>
                <c:pt idx="1">
                  <c:v>0.3</c:v>
                </c:pt>
                <c:pt idx="2">
                  <c:v>0.5</c:v>
                </c:pt>
                <c:pt idx="3">
                  <c:v>0.55000000000000004</c:v>
                </c:pt>
                <c:pt idx="4">
                  <c:v>0.6</c:v>
                </c:pt>
                <c:pt idx="5">
                  <c:v>0.65</c:v>
                </c:pt>
                <c:pt idx="6">
                  <c:v>0.7</c:v>
                </c:pt>
                <c:pt idx="7">
                  <c:v>0.75</c:v>
                </c:pt>
                <c:pt idx="8">
                  <c:v>0.8</c:v>
                </c:pt>
                <c:pt idx="9">
                  <c:v>0.85</c:v>
                </c:pt>
                <c:pt idx="10">
                  <c:v>0.9</c:v>
                </c:pt>
                <c:pt idx="11">
                  <c:v>0.95</c:v>
                </c:pt>
                <c:pt idx="12">
                  <c:v>1</c:v>
                </c:pt>
                <c:pt idx="13">
                  <c:v>1.05</c:v>
                </c:pt>
                <c:pt idx="14">
                  <c:v>1.1000000000000001</c:v>
                </c:pt>
                <c:pt idx="15">
                  <c:v>1.1499999999999999</c:v>
                </c:pt>
                <c:pt idx="16">
                  <c:v>1.2</c:v>
                </c:pt>
                <c:pt idx="17">
                  <c:v>1.25</c:v>
                </c:pt>
                <c:pt idx="18">
                  <c:v>1.3</c:v>
                </c:pt>
                <c:pt idx="19">
                  <c:v>1.5</c:v>
                </c:pt>
              </c:numCache>
            </c:numRef>
          </c:xVal>
          <c:yVal>
            <c:numRef>
              <c:f>NullOverlap!$J$4:$J$23</c:f>
              <c:numCache>
                <c:formatCode>0.00</c:formatCode>
                <c:ptCount val="20"/>
                <c:pt idx="0">
                  <c:v>1.9946329975762124E-8</c:v>
                </c:pt>
                <c:pt idx="1">
                  <c:v>8.5733745940125072E-5</c:v>
                </c:pt>
                <c:pt idx="2">
                  <c:v>3.2316884513014676E-2</c:v>
                </c:pt>
                <c:pt idx="3">
                  <c:v>9.7351113067214487E-2</c:v>
                </c:pt>
                <c:pt idx="4">
                  <c:v>0.25187737696948109</c:v>
                </c:pt>
                <c:pt idx="5">
                  <c:v>0.55972435929431852</c:v>
                </c:pt>
                <c:pt idx="6">
                  <c:v>1.0683069634301303</c:v>
                </c:pt>
                <c:pt idx="7">
                  <c:v>1.7512764836259733</c:v>
                </c:pt>
                <c:pt idx="8">
                  <c:v>2.465756451352342</c:v>
                </c:pt>
                <c:pt idx="9">
                  <c:v>2.9818270185485427</c:v>
                </c:pt>
                <c:pt idx="10">
                  <c:v>3.0970735451318174</c:v>
                </c:pt>
                <c:pt idx="11">
                  <c:v>2.7628505718742673</c:v>
                </c:pt>
                <c:pt idx="12">
                  <c:v>2.116898721136522</c:v>
                </c:pt>
                <c:pt idx="13">
                  <c:v>1.3930912667710864</c:v>
                </c:pt>
                <c:pt idx="14">
                  <c:v>0.78740082260384114</c:v>
                </c:pt>
                <c:pt idx="15">
                  <c:v>0.382251293827571</c:v>
                </c:pt>
                <c:pt idx="16">
                  <c:v>0.15938185214432685</c:v>
                </c:pt>
                <c:pt idx="17">
                  <c:v>5.7077583763458922E-2</c:v>
                </c:pt>
                <c:pt idx="18">
                  <c:v>1.7556142454667342E-2</c:v>
                </c:pt>
                <c:pt idx="19">
                  <c:v>3.4328214441824284E-5</c:v>
                </c:pt>
              </c:numCache>
            </c:numRef>
          </c:yVal>
          <c:smooth val="1"/>
          <c:extLst>
            <c:ext xmlns:c16="http://schemas.microsoft.com/office/drawing/2014/chart" uri="{C3380CC4-5D6E-409C-BE32-E72D297353CC}">
              <c16:uniqueId val="{00000001-916A-46E3-9DF4-56A295C5BCB3}"/>
            </c:ext>
          </c:extLst>
        </c:ser>
        <c:ser>
          <c:idx val="0"/>
          <c:order val="2"/>
          <c:spPr>
            <a:ln w="6350" cap="rnd">
              <a:solidFill>
                <a:schemeClr val="accent4">
                  <a:lumMod val="75000"/>
                  <a:alpha val="50000"/>
                </a:schemeClr>
              </a:solidFill>
              <a:round/>
            </a:ln>
            <a:effectLst/>
          </c:spPr>
          <c:marker>
            <c:symbol val="none"/>
          </c:marker>
          <c:errBars>
            <c:errDir val="y"/>
            <c:errBarType val="minus"/>
            <c:errValType val="cust"/>
            <c:noEndCap val="1"/>
            <c:plus>
              <c:numLit>
                <c:formatCode>General</c:formatCode>
                <c:ptCount val="1"/>
                <c:pt idx="0">
                  <c:v>1</c:v>
                </c:pt>
              </c:numLit>
            </c:plus>
            <c:minus>
              <c:numRef>
                <c:f>NullOverlap!$K$4:$K$23</c:f>
                <c:numCache>
                  <c:formatCode>General</c:formatCode>
                  <c:ptCount val="20"/>
                  <c:pt idx="0">
                    <c:v>5.3702508936572826E-12</c:v>
                  </c:pt>
                  <c:pt idx="1">
                    <c:v>5.2823854251285974E-7</c:v>
                  </c:pt>
                  <c:pt idx="2">
                    <c:v>2.2577095967328347E-3</c:v>
                  </c:pt>
                  <c:pt idx="3">
                    <c:v>1.1183183864564065E-2</c:v>
                  </c:pt>
                  <c:pt idx="4">
                    <c:v>4.5534231027654304E-2</c:v>
                  </c:pt>
                  <c:pt idx="5">
                    <c:v>0.15240025838843338</c:v>
                  </c:pt>
                  <c:pt idx="6">
                    <c:v>0.41928425607506187</c:v>
                  </c:pt>
                  <c:pt idx="7">
                    <c:v>0.94821443440358799</c:v>
                  </c:pt>
                  <c:pt idx="8">
                    <c:v>1.7627053570885298</c:v>
                  </c:pt>
                  <c:pt idx="9">
                    <c:v>2.6935686070101226</c:v>
                  </c:pt>
                  <c:pt idx="10">
                    <c:v>3.0970735451318174</c:v>
                  </c:pt>
                  <c:pt idx="11">
                    <c:v>2.7628505718742673</c:v>
                  </c:pt>
                  <c:pt idx="12">
                    <c:v>2.116898721136522</c:v>
                  </c:pt>
                  <c:pt idx="13">
                    <c:v>1.3930912667710864</c:v>
                  </c:pt>
                  <c:pt idx="14">
                    <c:v>0.78740082260384114</c:v>
                  </c:pt>
                  <c:pt idx="15">
                    <c:v>0.382251293827571</c:v>
                  </c:pt>
                  <c:pt idx="16">
                    <c:v>0.15938185214432685</c:v>
                  </c:pt>
                  <c:pt idx="17">
                    <c:v>5.7077583763458922E-2</c:v>
                  </c:pt>
                  <c:pt idx="18">
                    <c:v>1.7556142454667342E-2</c:v>
                  </c:pt>
                  <c:pt idx="19">
                    <c:v>1.1964520295291247E-5</c:v>
                  </c:pt>
                </c:numCache>
              </c:numRef>
            </c:minus>
            <c:spPr>
              <a:noFill/>
              <a:ln w="127000" cap="flat" cmpd="sng" algn="ctr">
                <a:solidFill>
                  <a:schemeClr val="accent4">
                    <a:lumMod val="75000"/>
                    <a:alpha val="30000"/>
                  </a:schemeClr>
                </a:solidFill>
                <a:round/>
              </a:ln>
              <a:effectLst/>
            </c:spPr>
          </c:errBars>
          <c:xVal>
            <c:numRef>
              <c:f>NullOverlap!$F$4:$F$23</c:f>
              <c:numCache>
                <c:formatCode>General</c:formatCode>
                <c:ptCount val="20"/>
                <c:pt idx="0">
                  <c:v>0.1</c:v>
                </c:pt>
                <c:pt idx="1">
                  <c:v>0.3</c:v>
                </c:pt>
                <c:pt idx="2">
                  <c:v>0.5</c:v>
                </c:pt>
                <c:pt idx="3">
                  <c:v>0.55000000000000004</c:v>
                </c:pt>
                <c:pt idx="4">
                  <c:v>0.6</c:v>
                </c:pt>
                <c:pt idx="5">
                  <c:v>0.65</c:v>
                </c:pt>
                <c:pt idx="6">
                  <c:v>0.7</c:v>
                </c:pt>
                <c:pt idx="7">
                  <c:v>0.75</c:v>
                </c:pt>
                <c:pt idx="8">
                  <c:v>0.8</c:v>
                </c:pt>
                <c:pt idx="9">
                  <c:v>0.85</c:v>
                </c:pt>
                <c:pt idx="10">
                  <c:v>0.9</c:v>
                </c:pt>
                <c:pt idx="11">
                  <c:v>0.95</c:v>
                </c:pt>
                <c:pt idx="12">
                  <c:v>1</c:v>
                </c:pt>
                <c:pt idx="13">
                  <c:v>1.05</c:v>
                </c:pt>
                <c:pt idx="14">
                  <c:v>1.1000000000000001</c:v>
                </c:pt>
                <c:pt idx="15">
                  <c:v>1.1499999999999999</c:v>
                </c:pt>
                <c:pt idx="16">
                  <c:v>1.2</c:v>
                </c:pt>
                <c:pt idx="17">
                  <c:v>1.25</c:v>
                </c:pt>
                <c:pt idx="18">
                  <c:v>1.3</c:v>
                </c:pt>
                <c:pt idx="19">
                  <c:v>1.5</c:v>
                </c:pt>
              </c:numCache>
            </c:numRef>
          </c:xVal>
          <c:yVal>
            <c:numRef>
              <c:f>NullOverlap!$K$4:$K$23</c:f>
              <c:numCache>
                <c:formatCode>0.00</c:formatCode>
                <c:ptCount val="20"/>
                <c:pt idx="0">
                  <c:v>5.3702508936572826E-12</c:v>
                </c:pt>
                <c:pt idx="1">
                  <c:v>5.2823854251285974E-7</c:v>
                </c:pt>
                <c:pt idx="2">
                  <c:v>2.2577095967328347E-3</c:v>
                </c:pt>
                <c:pt idx="3">
                  <c:v>1.1183183864564065E-2</c:v>
                </c:pt>
                <c:pt idx="4">
                  <c:v>4.5534231027654304E-2</c:v>
                </c:pt>
                <c:pt idx="5">
                  <c:v>0.15240025838843338</c:v>
                </c:pt>
                <c:pt idx="6">
                  <c:v>0.41928425607506187</c:v>
                </c:pt>
                <c:pt idx="7">
                  <c:v>0.94821443440358799</c:v>
                </c:pt>
                <c:pt idx="8">
                  <c:v>1.7627053570885298</c:v>
                </c:pt>
                <c:pt idx="9">
                  <c:v>2.6935686070101226</c:v>
                </c:pt>
                <c:pt idx="10">
                  <c:v>3.0970735451318174</c:v>
                </c:pt>
                <c:pt idx="11">
                  <c:v>2.7628505718742673</c:v>
                </c:pt>
                <c:pt idx="12">
                  <c:v>2.116898721136522</c:v>
                </c:pt>
                <c:pt idx="13">
                  <c:v>1.3930912667710864</c:v>
                </c:pt>
                <c:pt idx="14">
                  <c:v>0.78740082260384114</c:v>
                </c:pt>
                <c:pt idx="15">
                  <c:v>0.382251293827571</c:v>
                </c:pt>
                <c:pt idx="16">
                  <c:v>0.15938185214432685</c:v>
                </c:pt>
                <c:pt idx="17">
                  <c:v>5.7077583763458922E-2</c:v>
                </c:pt>
                <c:pt idx="18">
                  <c:v>1.7556142454667342E-2</c:v>
                </c:pt>
                <c:pt idx="19">
                  <c:v>1.1964520295291247E-5</c:v>
                </c:pt>
              </c:numCache>
            </c:numRef>
          </c:yVal>
          <c:smooth val="1"/>
          <c:extLst>
            <c:ext xmlns:c16="http://schemas.microsoft.com/office/drawing/2014/chart" uri="{C3380CC4-5D6E-409C-BE32-E72D297353CC}">
              <c16:uniqueId val="{00000003-916A-46E3-9DF4-56A295C5BCB3}"/>
            </c:ext>
          </c:extLst>
        </c:ser>
        <c:dLbls>
          <c:showLegendKey val="0"/>
          <c:showVal val="0"/>
          <c:showCatName val="0"/>
          <c:showSerName val="0"/>
          <c:showPercent val="0"/>
          <c:showBubbleSize val="0"/>
        </c:dLbls>
        <c:axId val="1064618687"/>
        <c:axId val="1064620127"/>
      </c:scatterChart>
      <c:valAx>
        <c:axId val="10646186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7-yr PI distribution</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064620127"/>
        <c:crosses val="autoZero"/>
        <c:crossBetween val="midCat"/>
      </c:valAx>
      <c:valAx>
        <c:axId val="106462012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Probability Density</a:t>
                </a:r>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064618687"/>
        <c:crosses val="autoZero"/>
        <c:crossBetween val="midCat"/>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data id="5">
      <cx:numDim type="val">
        <cx:f>_xlchart.v1.11</cx:f>
      </cx:numDim>
    </cx:data>
    <cx:data id="6">
      <cx:numDim type="val">
        <cx:f>_xlchart.v1.13</cx:f>
      </cx:numDim>
    </cx:data>
    <cx:data id="7">
      <cx:numDim type="val">
        <cx:f>_xlchart.v1.15</cx:f>
      </cx:numDim>
    </cx:data>
    <cx:data id="8">
      <cx:numDim type="val">
        <cx:f>_xlchart.v1.17</cx:f>
      </cx:numDim>
    </cx:data>
    <cx:data id="9">
      <cx:numDim type="val">
        <cx:f>_xlchart.v1.19</cx:f>
      </cx:numDim>
    </cx:data>
    <cx:data id="10">
      <cx:numDim type="val">
        <cx:f>_xlchart.v1.21</cx:f>
      </cx:numDim>
    </cx:data>
    <cx:data id="11">
      <cx:numDim type="val">
        <cx:f>_xlchart.v1.23</cx:f>
      </cx:numDim>
    </cx:data>
    <cx:data id="12">
      <cx:numDim type="val">
        <cx:f>_xlchart.v1.25</cx:f>
      </cx:numDim>
    </cx:data>
    <cx:data id="13">
      <cx:numDim type="val">
        <cx:f>_xlchart.v1.27</cx:f>
      </cx:numDim>
    </cx:data>
    <cx:data id="14">
      <cx:numDim type="val">
        <cx:f>_xlchart.v1.29</cx:f>
      </cx:numDim>
    </cx:data>
    <cx:data id="15">
      <cx:numDim type="val">
        <cx:f>_xlchart.v1.31</cx:f>
      </cx:numDim>
    </cx:data>
    <cx:data id="16">
      <cx:numDim type="val">
        <cx:f>_xlchart.v1.33</cx:f>
      </cx:numDim>
    </cx:data>
  </cx:chartData>
  <cx:chart>
    <cx:title pos="t" align="ctr" overlay="0">
      <cx:tx>
        <cx:txData>
          <cx:v>PI Box Plot for 100 older PV systems. Even with a 0.5%/yr degradation allowance, the PI dips at 0.8%/yr thru Yr 7, then 4.4%/yr afterwards.</cx:v>
        </cx:txData>
      </cx:tx>
      <cx:txPr>
        <a:bodyPr spcFirstLastPara="1" vertOverflow="ellipsis" horzOverflow="overflow" wrap="square" lIns="0" tIns="0" rIns="0" bIns="0" anchor="ctr" anchorCtr="1"/>
        <a:lstStyle/>
        <a:p>
          <a:pPr algn="ctr" rtl="0">
            <a:defRPr sz="2000" b="1"/>
          </a:pPr>
          <a:r>
            <a:rPr lang="en-US" sz="2000" b="1" i="0" u="none" strike="noStrike" baseline="0">
              <a:solidFill>
                <a:sysClr val="windowText" lastClr="000000">
                  <a:lumMod val="65000"/>
                  <a:lumOff val="35000"/>
                </a:sysClr>
              </a:solidFill>
              <a:latin typeface="Calibri" panose="020F0502020204030204"/>
            </a:rPr>
            <a:t>PI Box Plot for 100 older PV systems. Even with a 0.5%/yr degradation allowance, the PI dips at 0.8%/yr thru Yr 7, then 4.4%/yr afterwards.</a:t>
          </a:r>
        </a:p>
      </cx:txPr>
    </cx:title>
    <cx:plotArea>
      <cx:plotAreaRegion>
        <cx:series layoutId="boxWhisker" uniqueId="{D87FB3B8-20CF-4174-9B9E-5196A921D08C}">
          <cx:tx>
            <cx:txData>
              <cx:f>_xlchart.v1.0</cx:f>
              <cx:v>1</cx:v>
            </cx:txData>
          </cx:tx>
          <cx:dataId val="0"/>
          <cx:layoutPr>
            <cx:visibility meanLine="1" meanMarker="1" nonoutliers="0" outliers="1"/>
            <cx:statistics quartileMethod="exclusive"/>
          </cx:layoutPr>
        </cx:series>
        <cx:series layoutId="boxWhisker" uniqueId="{00000001-DB92-4ECF-90C7-A5B2B51D2494}">
          <cx:tx>
            <cx:txData>
              <cx:f>_xlchart.v1.2</cx:f>
              <cx:v>2</cx:v>
            </cx:txData>
          </cx:tx>
          <cx:dataId val="1"/>
          <cx:layoutPr>
            <cx:visibility meanLine="1" meanMarker="1" nonoutliers="0" outliers="1"/>
            <cx:statistics quartileMethod="exclusive"/>
          </cx:layoutPr>
        </cx:series>
        <cx:series layoutId="boxWhisker" uniqueId="{00000002-DB92-4ECF-90C7-A5B2B51D2494}">
          <cx:tx>
            <cx:txData>
              <cx:f>_xlchart.v1.4</cx:f>
              <cx:v>3</cx:v>
            </cx:txData>
          </cx:tx>
          <cx:dataId val="2"/>
          <cx:layoutPr>
            <cx:visibility meanLine="1" meanMarker="1" nonoutliers="0" outliers="1"/>
            <cx:statistics quartileMethod="exclusive"/>
          </cx:layoutPr>
        </cx:series>
        <cx:series layoutId="boxWhisker" uniqueId="{00000003-DB92-4ECF-90C7-A5B2B51D2494}">
          <cx:tx>
            <cx:txData>
              <cx:f>_xlchart.v1.6</cx:f>
              <cx:v>4</cx:v>
            </cx:txData>
          </cx:tx>
          <cx:dataId val="3"/>
          <cx:layoutPr>
            <cx:visibility meanLine="1" meanMarker="1" nonoutliers="0" outliers="1"/>
            <cx:statistics quartileMethod="exclusive"/>
          </cx:layoutPr>
        </cx:series>
        <cx:series layoutId="boxWhisker" uniqueId="{00000004-DB92-4ECF-90C7-A5B2B51D2494}">
          <cx:tx>
            <cx:txData>
              <cx:f>_xlchart.v1.8</cx:f>
              <cx:v>5</cx:v>
            </cx:txData>
          </cx:tx>
          <cx:dataId val="4"/>
          <cx:layoutPr>
            <cx:visibility meanLine="1" meanMarker="1" nonoutliers="0" outliers="1"/>
            <cx:statistics quartileMethod="exclusive"/>
          </cx:layoutPr>
        </cx:series>
        <cx:series layoutId="boxWhisker" uniqueId="{00000005-DB92-4ECF-90C7-A5B2B51D2494}">
          <cx:tx>
            <cx:txData>
              <cx:f>_xlchart.v1.10</cx:f>
              <cx:v>6</cx:v>
            </cx:txData>
          </cx:tx>
          <cx:dataId val="5"/>
          <cx:layoutPr>
            <cx:visibility meanLine="1" meanMarker="1" nonoutliers="0" outliers="1"/>
            <cx:statistics quartileMethod="exclusive"/>
          </cx:layoutPr>
        </cx:series>
        <cx:series layoutId="boxWhisker" uniqueId="{00000006-DB92-4ECF-90C7-A5B2B51D2494}">
          <cx:tx>
            <cx:txData>
              <cx:f>_xlchart.v1.12</cx:f>
              <cx:v>7</cx:v>
            </cx:txData>
          </cx:tx>
          <cx:dataId val="6"/>
          <cx:layoutPr>
            <cx:visibility meanLine="1" meanMarker="1" nonoutliers="0" outliers="1"/>
            <cx:statistics quartileMethod="exclusive"/>
          </cx:layoutPr>
        </cx:series>
        <cx:series layoutId="boxWhisker" uniqueId="{00000007-DB92-4ECF-90C7-A5B2B51D2494}">
          <cx:tx>
            <cx:txData>
              <cx:f>_xlchart.v1.14</cx:f>
              <cx:v>8</cx:v>
            </cx:txData>
          </cx:tx>
          <cx:dataId val="7"/>
          <cx:layoutPr>
            <cx:visibility meanLine="1" meanMarker="1" nonoutliers="0" outliers="1"/>
            <cx:statistics quartileMethod="exclusive"/>
          </cx:layoutPr>
        </cx:series>
        <cx:series layoutId="boxWhisker" uniqueId="{00000008-DB92-4ECF-90C7-A5B2B51D2494}">
          <cx:tx>
            <cx:txData>
              <cx:f>_xlchart.v1.16</cx:f>
              <cx:v>9</cx:v>
            </cx:txData>
          </cx:tx>
          <cx:dataId val="8"/>
          <cx:layoutPr>
            <cx:visibility meanLine="1" meanMarker="1" nonoutliers="0" outliers="1"/>
            <cx:statistics quartileMethod="exclusive"/>
          </cx:layoutPr>
        </cx:series>
        <cx:series layoutId="boxWhisker" uniqueId="{00000009-DB92-4ECF-90C7-A5B2B51D2494}">
          <cx:tx>
            <cx:txData>
              <cx:f>_xlchart.v1.18</cx:f>
              <cx:v>10</cx:v>
            </cx:txData>
          </cx:tx>
          <cx:dataId val="9"/>
          <cx:layoutPr>
            <cx:visibility meanLine="1" meanMarker="1" nonoutliers="0" outliers="1"/>
            <cx:statistics quartileMethod="exclusive"/>
          </cx:layoutPr>
        </cx:series>
        <cx:series layoutId="boxWhisker" uniqueId="{0000000A-DB92-4ECF-90C7-A5B2B51D2494}">
          <cx:tx>
            <cx:txData>
              <cx:f>_xlchart.v1.20</cx:f>
              <cx:v>11</cx:v>
            </cx:txData>
          </cx:tx>
          <cx:dataId val="10"/>
          <cx:layoutPr>
            <cx:visibility meanLine="1" meanMarker="1" nonoutliers="0" outliers="1"/>
            <cx:statistics quartileMethod="exclusive"/>
          </cx:layoutPr>
        </cx:series>
        <cx:series layoutId="boxWhisker" uniqueId="{0000000B-DB92-4ECF-90C7-A5B2B51D2494}">
          <cx:tx>
            <cx:txData>
              <cx:f>_xlchart.v1.22</cx:f>
              <cx:v>12</cx:v>
            </cx:txData>
          </cx:tx>
          <cx:dataId val="11"/>
          <cx:layoutPr>
            <cx:visibility meanLine="1" meanMarker="1" nonoutliers="0" outliers="1"/>
            <cx:statistics quartileMethod="exclusive"/>
          </cx:layoutPr>
        </cx:series>
        <cx:series layoutId="boxWhisker" uniqueId="{0000000C-DB92-4ECF-90C7-A5B2B51D2494}">
          <cx:tx>
            <cx:txData>
              <cx:f>_xlchart.v1.24</cx:f>
              <cx:v>13</cx:v>
            </cx:txData>
          </cx:tx>
          <cx:dataId val="12"/>
          <cx:layoutPr>
            <cx:visibility meanLine="1" meanMarker="1" nonoutliers="0" outliers="1"/>
            <cx:statistics quartileMethod="exclusive"/>
          </cx:layoutPr>
        </cx:series>
        <cx:series layoutId="boxWhisker" uniqueId="{0000000D-DB92-4ECF-90C7-A5B2B51D2494}">
          <cx:tx>
            <cx:txData>
              <cx:f>_xlchart.v1.26</cx:f>
              <cx:v>14</cx:v>
            </cx:txData>
          </cx:tx>
          <cx:dataId val="13"/>
          <cx:layoutPr>
            <cx:visibility meanLine="1" meanMarker="1" nonoutliers="0" outliers="1"/>
            <cx:statistics quartileMethod="exclusive"/>
          </cx:layoutPr>
        </cx:series>
        <cx:series layoutId="boxWhisker" uniqueId="{0000000E-DB92-4ECF-90C7-A5B2B51D2494}">
          <cx:tx>
            <cx:txData>
              <cx:f>_xlchart.v1.28</cx:f>
              <cx:v>15</cx:v>
            </cx:txData>
          </cx:tx>
          <cx:dataId val="14"/>
          <cx:layoutPr>
            <cx:visibility meanLine="1" meanMarker="1" nonoutliers="0" outliers="1"/>
            <cx:statistics quartileMethod="exclusive"/>
          </cx:layoutPr>
        </cx:series>
        <cx:series layoutId="boxWhisker" uniqueId="{0000000F-DB92-4ECF-90C7-A5B2B51D2494}">
          <cx:tx>
            <cx:txData>
              <cx:f>_xlchart.v1.30</cx:f>
              <cx:v>16</cx:v>
            </cx:txData>
          </cx:tx>
          <cx:dataId val="15"/>
          <cx:layoutPr>
            <cx:visibility meanLine="1" meanMarker="1" nonoutliers="0" outliers="1"/>
            <cx:statistics quartileMethod="exclusive"/>
          </cx:layoutPr>
        </cx:series>
        <cx:series layoutId="boxWhisker" uniqueId="{00000010-DB92-4ECF-90C7-A5B2B51D2494}">
          <cx:tx>
            <cx:txData>
              <cx:f>_xlchart.v1.32</cx:f>
              <cx:v>17</cx:v>
            </cx:txData>
          </cx:tx>
          <cx:dataId val="16"/>
          <cx:layoutPr>
            <cx:visibility meanLine="1" meanMarker="1" nonoutliers="0" outliers="1"/>
            <cx:statistics quartileMethod="exclusive"/>
          </cx:layoutPr>
        </cx:series>
      </cx:plotAreaRegion>
      <cx:axis id="0" hidden="1">
        <cx:catScaling gapWidth="1"/>
        <cx:title>
          <cx:tx>
            <cx:txData>
              <cx:v>Year, denoted by sequential columns/lines/dots</cx:v>
            </cx:txData>
          </cx:tx>
          <cx:txPr>
            <a:bodyPr spcFirstLastPara="1" vertOverflow="ellipsis" horzOverflow="overflow" wrap="square" lIns="0" tIns="0" rIns="0" bIns="0" anchor="ctr" anchorCtr="1"/>
            <a:lstStyle/>
            <a:p>
              <a:pPr algn="ctr" rtl="0">
                <a:defRPr sz="2000" b="1"/>
              </a:pPr>
              <a:r>
                <a:rPr lang="en-US" sz="2000" b="1" i="0" u="none" strike="noStrike" baseline="0">
                  <a:solidFill>
                    <a:sysClr val="windowText" lastClr="000000">
                      <a:lumMod val="65000"/>
                      <a:lumOff val="35000"/>
                    </a:sysClr>
                  </a:solidFill>
                  <a:latin typeface="Calibri" panose="020F0502020204030204"/>
                </a:rPr>
                <a:t>Year, denoted by sequential columns/lines/dots</a:t>
              </a:r>
            </a:p>
          </cx:txPr>
        </cx:title>
        <cx:tickLabels/>
      </cx:axis>
      <cx:axis id="1">
        <cx:valScaling max="1.2"/>
        <cx:title>
          <cx:tx>
            <cx:txData>
              <cx:v>Annual PI</cx:v>
            </cx:txData>
          </cx:tx>
          <cx:txPr>
            <a:bodyPr spcFirstLastPara="1" vertOverflow="ellipsis" horzOverflow="overflow" wrap="square" lIns="0" tIns="0" rIns="0" bIns="0" anchor="ctr" anchorCtr="1"/>
            <a:lstStyle/>
            <a:p>
              <a:pPr algn="ctr" rtl="0">
                <a:defRPr sz="2000" b="1"/>
              </a:pPr>
              <a:r>
                <a:rPr lang="en-US" sz="2000" b="1" i="0" u="none" strike="noStrike" baseline="0">
                  <a:solidFill>
                    <a:sysClr val="windowText" lastClr="000000">
                      <a:lumMod val="65000"/>
                      <a:lumOff val="35000"/>
                    </a:sysClr>
                  </a:solidFill>
                  <a:latin typeface="Calibri" panose="020F0502020204030204"/>
                </a:rPr>
                <a:t>Annual PI</a:t>
              </a:r>
            </a:p>
          </cx:txPr>
        </cx:title>
        <cx:majorGridlines>
          <cx:spPr>
            <a:ln>
              <a:solidFill>
                <a:schemeClr val="tx1">
                  <a:lumMod val="65000"/>
                  <a:lumOff val="35000"/>
                </a:schemeClr>
              </a:solidFill>
            </a:ln>
          </cx:spPr>
        </cx:majorGridlines>
        <cx:minorGridlines>
          <cx:spPr>
            <a:ln>
              <a:solidFill>
                <a:schemeClr val="bg1">
                  <a:lumMod val="65000"/>
                </a:schemeClr>
              </a:solidFill>
            </a:ln>
          </cx:spPr>
        </cx:minorGridlines>
        <cx:tickLabels/>
        <cx:txPr>
          <a:bodyPr spcFirstLastPara="1" vertOverflow="ellipsis" horzOverflow="overflow" wrap="square" lIns="0" tIns="0" rIns="0" bIns="0" anchor="ctr" anchorCtr="1"/>
          <a:lstStyle/>
          <a:p>
            <a:pPr algn="ctr" rtl="0">
              <a:defRPr sz="2000" b="1"/>
            </a:pPr>
            <a:endParaRPr lang="en-US" sz="2000" b="1" i="0" u="none" strike="noStrike" baseline="0">
              <a:solidFill>
                <a:sysClr val="windowText" lastClr="000000">
                  <a:lumMod val="65000"/>
                  <a:lumOff val="35000"/>
                </a:sysClr>
              </a:solidFill>
              <a:latin typeface="Calibri" panose="020F0502020204030204"/>
            </a:endParaRPr>
          </a:p>
        </cx:txPr>
      </cx:axis>
    </cx:plotArea>
    <cx:legend pos="b" align="ctr" overlay="0">
      <cx:txPr>
        <a:bodyPr spcFirstLastPara="1" vertOverflow="ellipsis" horzOverflow="overflow" wrap="square" lIns="0" tIns="0" rIns="0" bIns="0" anchor="ctr" anchorCtr="1"/>
        <a:lstStyle/>
        <a:p>
          <a:pPr algn="ctr" rtl="0">
            <a:defRPr sz="2000" b="1"/>
          </a:pPr>
          <a:endParaRPr lang="en-US" sz="2000" b="1"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_xlchart.v1.37</cx:f>
      </cx:numDim>
    </cx:data>
    <cx:data id="1">
      <cx:numDim type="val">
        <cx:f>_xlchart.v1.39</cx:f>
      </cx:numDim>
    </cx:data>
    <cx:data id="2">
      <cx:numDim type="val">
        <cx:f>_xlchart.v1.41</cx:f>
      </cx:numDim>
    </cx:data>
    <cx:data id="3">
      <cx:numDim type="val">
        <cx:f>_xlchart.v1.43</cx:f>
      </cx:numDim>
    </cx:data>
    <cx:data id="4">
      <cx:numDim type="val">
        <cx:f>_xlchart.v1.45</cx:f>
      </cx:numDim>
    </cx:data>
    <cx:data id="5">
      <cx:numDim type="val">
        <cx:f>_xlchart.v1.34</cx:f>
      </cx:numDim>
    </cx:data>
    <cx:data id="6">
      <cx:numDim type="val">
        <cx:f>_xlchart.v1.35</cx:f>
      </cx:numDim>
    </cx:data>
  </cx:chartData>
  <cx:chart>
    <cx:title pos="t" align="ctr" overlay="0">
      <cx:tx>
        <cx:rich>
          <a:bodyPr spcFirstLastPara="1" vertOverflow="ellipsis" horzOverflow="overflow" wrap="square" lIns="0" tIns="0" rIns="0" bIns="0" anchor="ctr" anchorCtr="1"/>
          <a:lstStyle/>
          <a:p>
            <a:pPr algn="ctr" rtl="0">
              <a:defRPr sz="1600" b="1"/>
            </a:pPr>
            <a:r>
              <a:rPr lang="en-US" sz="1400" b="1" i="0" u="none" strike="noStrike" baseline="0">
                <a:solidFill>
                  <a:sysClr val="windowText" lastClr="000000">
                    <a:lumMod val="65000"/>
                    <a:lumOff val="35000"/>
                  </a:sysClr>
                </a:solidFill>
                <a:latin typeface="Calibri" panose="020F0502020204030204"/>
              </a:rPr>
              <a:t>Annual Perf. Index Box Plot for 25 random U.S. PV systems that started in 2018, by year. </a:t>
            </a:r>
          </a:p>
          <a:p>
            <a:pPr algn="ctr" rtl="0">
              <a:defRPr sz="1600" b="1"/>
            </a:pPr>
            <a:r>
              <a:rPr lang="en-US" sz="1400" b="1" i="0" u="none" strike="noStrike" baseline="0">
                <a:solidFill>
                  <a:sysClr val="windowText" lastClr="000000">
                    <a:lumMod val="65000"/>
                    <a:lumOff val="35000"/>
                  </a:sysClr>
                </a:solidFill>
                <a:latin typeface="Calibri" panose="020F0502020204030204"/>
              </a:rPr>
              <a:t>The median 89% PI is degrading at 0.4%, but about 1/4 of that is hidden by clipping.</a:t>
            </a:r>
          </a:p>
          <a:p>
            <a:pPr algn="ctr" rtl="0">
              <a:defRPr sz="1600" b="1"/>
            </a:pPr>
            <a:r>
              <a:rPr lang="en-US" sz="1400" b="1" i="0" u="none" strike="noStrike" baseline="0">
                <a:solidFill>
                  <a:sysClr val="windowText" lastClr="000000">
                    <a:lumMod val="65000"/>
                    <a:lumOff val="35000"/>
                  </a:sysClr>
                </a:solidFill>
                <a:latin typeface="Calibri" panose="020F0502020204030204"/>
              </a:rPr>
              <a:t>For a 7-yr older set of 100, the median first 7-yr PI was 92%, degrading at 1.2%, with no clipping.</a:t>
            </a:r>
          </a:p>
        </cx:rich>
      </cx:tx>
    </cx:title>
    <cx:plotArea>
      <cx:plotAreaRegion>
        <cx:series layoutId="boxWhisker" uniqueId="{D87FB3B8-20CF-4174-9B9E-5196A921D08C}" formatIdx="0">
          <cx:tx>
            <cx:txData>
              <cx:f>_xlchart.v1.36</cx:f>
              <cx:v>1</cx:v>
            </cx:txData>
          </cx:tx>
          <cx:dataId val="0"/>
          <cx:layoutPr>
            <cx:visibility meanLine="1" meanMarker="1" nonoutliers="0" outliers="1"/>
            <cx:statistics quartileMethod="exclusive"/>
          </cx:layoutPr>
        </cx:series>
        <cx:series layoutId="boxWhisker" uniqueId="{00000001-DB92-4ECF-90C7-A5B2B51D2494}" formatIdx="1">
          <cx:tx>
            <cx:txData>
              <cx:f>_xlchart.v1.38</cx:f>
              <cx:v>2</cx:v>
            </cx:txData>
          </cx:tx>
          <cx:dataId val="1"/>
          <cx:layoutPr>
            <cx:visibility meanLine="1" meanMarker="1" nonoutliers="0" outliers="1"/>
            <cx:statistics quartileMethod="exclusive"/>
          </cx:layoutPr>
        </cx:series>
        <cx:series layoutId="boxWhisker" uniqueId="{00000002-DB92-4ECF-90C7-A5B2B51D2494}" formatIdx="2">
          <cx:tx>
            <cx:txData>
              <cx:f>_xlchart.v1.40</cx:f>
              <cx:v>3</cx:v>
            </cx:txData>
          </cx:tx>
          <cx:dataId val="2"/>
          <cx:layoutPr>
            <cx:visibility meanLine="1" meanMarker="1" nonoutliers="0" outliers="1"/>
            <cx:statistics quartileMethod="exclusive"/>
          </cx:layoutPr>
        </cx:series>
        <cx:series layoutId="boxWhisker" uniqueId="{00000003-DB92-4ECF-90C7-A5B2B51D2494}" formatIdx="3">
          <cx:tx>
            <cx:txData>
              <cx:f>_xlchart.v1.42</cx:f>
              <cx:v>4</cx:v>
            </cx:txData>
          </cx:tx>
          <cx:dataId val="3"/>
          <cx:layoutPr>
            <cx:visibility meanLine="1" meanMarker="1" nonoutliers="0" outliers="1"/>
            <cx:statistics quartileMethod="exclusive"/>
          </cx:layoutPr>
        </cx:series>
        <cx:series layoutId="boxWhisker" uniqueId="{00000004-DB92-4ECF-90C7-A5B2B51D2494}" formatIdx="4">
          <cx:tx>
            <cx:txData>
              <cx:f>_xlchart.v1.44</cx:f>
              <cx:v>5</cx:v>
            </cx:txData>
          </cx:tx>
          <cx:dataId val="4"/>
          <cx:layoutPr>
            <cx:visibility meanLine="1" meanMarker="1" nonoutliers="0" outliers="1"/>
            <cx:statistics quartileMethod="exclusive"/>
          </cx:layoutPr>
        </cx:series>
        <cx:series layoutId="boxWhisker" uniqueId="{00000005-DB92-4ECF-90C7-A5B2B51D2494}" formatIdx="5">
          <cx:tx>
            <cx:txData>
              <cx:f>_xlchart.v1.46</cx:f>
              <cx:v>6</cx:v>
            </cx:txData>
          </cx:tx>
          <cx:dataId val="5"/>
          <cx:layoutPr>
            <cx:visibility meanLine="1" meanMarker="1" nonoutliers="0" outliers="1"/>
            <cx:statistics quartileMethod="exclusive"/>
          </cx:layoutPr>
        </cx:series>
        <cx:series layoutId="boxWhisker" uniqueId="{00000006-DB92-4ECF-90C7-A5B2B51D2494}" formatIdx="6">
          <cx:tx>
            <cx:txData>
              <cx:f>_xlchart.v1.47</cx:f>
              <cx:v>7</cx:v>
            </cx:txData>
          </cx:tx>
          <cx:spPr>
            <a:solidFill>
              <a:schemeClr val="bg2">
                <a:lumMod val="75000"/>
              </a:schemeClr>
            </a:solidFill>
          </cx:spPr>
          <cx:dataId val="6"/>
          <cx:layoutPr>
            <cx:visibility meanLine="1" meanMarker="1" nonoutliers="0" outliers="1"/>
            <cx:statistics quartileMethod="exclusive"/>
          </cx:layoutPr>
        </cx:series>
      </cx:plotAreaRegion>
      <cx:axis id="0">
        <cx:catScaling gapWidth="1"/>
        <cx:tickLabels/>
      </cx:axis>
      <cx:axis id="1">
        <cx:valScaling max="1.2"/>
        <cx:majorGridlines>
          <cx:spPr>
            <a:ln>
              <a:solidFill>
                <a:schemeClr val="tx1">
                  <a:lumMod val="65000"/>
                  <a:lumOff val="35000"/>
                </a:schemeClr>
              </a:solidFill>
            </a:ln>
          </cx:spPr>
        </cx:majorGridlines>
        <cx:minorGridlines/>
        <cx:tickLabels/>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Calibri" panose="020F0502020204030204"/>
            </a:endParaRPr>
          </a:p>
        </cx:txPr>
      </cx:axis>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_xlchart.v1.49</cx:f>
      </cx:numDim>
    </cx:data>
    <cx:data id="1">
      <cx:numDim type="val">
        <cx:f>_xlchart.v1.51</cx:f>
      </cx:numDim>
    </cx:data>
    <cx:data id="2">
      <cx:numDim type="val">
        <cx:f>_xlchart.v1.53</cx:f>
      </cx:numDim>
    </cx:data>
    <cx:data id="3">
      <cx:numDim type="val">
        <cx:f>_xlchart.v1.55</cx:f>
      </cx:numDim>
    </cx:data>
    <cx:data id="4">
      <cx:numDim type="val">
        <cx:f>_xlchart.v1.57</cx:f>
      </cx:numDim>
    </cx:data>
    <cx:data id="5">
      <cx:numDim type="val">
        <cx:f>_xlchart.v1.59</cx:f>
      </cx:numDim>
    </cx:data>
    <cx:data id="6">
      <cx:numDim type="val">
        <cx:f>_xlchart.v1.61</cx:f>
      </cx:numDim>
    </cx:data>
    <cx:data id="7">
      <cx:numDim type="val">
        <cx:f>_xlchart.v1.63</cx:f>
      </cx:numDim>
    </cx:data>
    <cx:data id="8">
      <cx:numDim type="val">
        <cx:f>_xlchart.v1.65</cx:f>
      </cx:numDim>
    </cx:data>
    <cx:data id="9">
      <cx:numDim type="val">
        <cx:f>_xlchart.v1.67</cx:f>
      </cx:numDim>
    </cx:data>
    <cx:data id="10">
      <cx:numDim type="val">
        <cx:f>_xlchart.v1.69</cx:f>
      </cx:numDim>
    </cx:data>
    <cx:data id="11">
      <cx:numDim type="val">
        <cx:f>_xlchart.v1.71</cx:f>
      </cx:numDim>
    </cx:data>
    <cx:data id="12">
      <cx:numDim type="val">
        <cx:f>_xlchart.v1.73</cx:f>
      </cx:numDim>
    </cx:data>
    <cx:data id="13">
      <cx:numDim type="val">
        <cx:f>_xlchart.v1.75</cx:f>
      </cx:numDim>
    </cx:data>
    <cx:data id="14">
      <cx:numDim type="val">
        <cx:f>_xlchart.v1.77</cx:f>
      </cx:numDim>
    </cx:data>
    <cx:data id="15">
      <cx:numDim type="val">
        <cx:f>_xlchart.v1.79</cx:f>
      </cx:numDim>
    </cx:data>
    <cx:data id="16">
      <cx:numDim type="val">
        <cx:f>_xlchart.v1.81</cx:f>
      </cx:numDim>
    </cx:data>
  </cx:chartData>
  <cx:chart>
    <cx:title pos="t" align="ctr" overlay="0">
      <cx:tx>
        <cx:rich>
          <a:bodyPr spcFirstLastPara="1" vertOverflow="ellipsis" horzOverflow="overflow" wrap="square" lIns="0" tIns="0" rIns="0" bIns="0" anchor="ctr" anchorCtr="1"/>
          <a:lstStyle/>
          <a:p>
            <a:pPr algn="ctr" rtl="0">
              <a:defRPr sz="1600" b="1"/>
            </a:pPr>
            <a:r>
              <a:rPr lang="en-US" sz="1600" b="1" i="0" u="none" strike="noStrike" baseline="0">
                <a:solidFill>
                  <a:sysClr val="windowText" lastClr="000000">
                    <a:lumMod val="65000"/>
                    <a:lumOff val="35000"/>
                  </a:sysClr>
                </a:solidFill>
                <a:latin typeface="Calibri" panose="020F0502020204030204"/>
              </a:rPr>
              <a:t>Annual Perf. Index Box Plot for the U.S.'s 50 longest-running PV systems by year</a:t>
            </a:r>
          </a:p>
          <a:p>
            <a:pPr algn="ctr" rtl="0">
              <a:defRPr sz="1600" b="1"/>
            </a:pPr>
            <a:r>
              <a:rPr lang="en-US" sz="1600" b="1" i="0" u="none" strike="noStrike" baseline="0">
                <a:solidFill>
                  <a:sysClr val="windowText" lastClr="000000">
                    <a:lumMod val="65000"/>
                    <a:lumOff val="35000"/>
                  </a:sysClr>
                </a:solidFill>
                <a:latin typeface="Calibri" panose="020F0502020204030204"/>
              </a:rPr>
              <a:t>Skipping Yr 1, the median degrades at 1.6% in Yrs 2-8, then at 6.4% in Yrs 9-16</a:t>
            </a:r>
          </a:p>
          <a:p>
            <a:pPr algn="ctr" rtl="0">
              <a:defRPr sz="1600" b="1"/>
            </a:pPr>
            <a:r>
              <a:rPr lang="en-US" sz="1600" b="1" i="0" u="none" strike="noStrike" baseline="0">
                <a:solidFill>
                  <a:sysClr val="windowText" lastClr="000000">
                    <a:lumMod val="65000"/>
                    <a:lumOff val="35000"/>
                  </a:sysClr>
                </a:solidFill>
                <a:latin typeface="Calibri" panose="020F0502020204030204"/>
              </a:rPr>
              <a:t>The p50 degradation over all years 1-16 is 3.3% (Year 17 ignored here).</a:t>
            </a:r>
          </a:p>
        </cx:rich>
      </cx:tx>
    </cx:title>
    <cx:plotArea>
      <cx:plotAreaRegion>
        <cx:series layoutId="boxWhisker" uniqueId="{D87FB3B8-20CF-4174-9B9E-5196A921D08C}">
          <cx:tx>
            <cx:txData>
              <cx:f>_xlchart.v1.48</cx:f>
              <cx:v>1</cx:v>
            </cx:txData>
          </cx:tx>
          <cx:dataId val="0"/>
          <cx:layoutPr>
            <cx:visibility meanLine="1" meanMarker="1" nonoutliers="0" outliers="1"/>
            <cx:statistics quartileMethod="exclusive"/>
          </cx:layoutPr>
        </cx:series>
        <cx:series layoutId="boxWhisker" uniqueId="{00000001-DB92-4ECF-90C7-A5B2B51D2494}">
          <cx:tx>
            <cx:txData>
              <cx:f>_xlchart.v1.50</cx:f>
              <cx:v>2</cx:v>
            </cx:txData>
          </cx:tx>
          <cx:dataId val="1"/>
          <cx:layoutPr>
            <cx:visibility meanLine="1" meanMarker="1" nonoutliers="0" outliers="1"/>
            <cx:statistics quartileMethod="exclusive"/>
          </cx:layoutPr>
        </cx:series>
        <cx:series layoutId="boxWhisker" uniqueId="{00000002-DB92-4ECF-90C7-A5B2B51D2494}">
          <cx:tx>
            <cx:txData>
              <cx:f>_xlchart.v1.52</cx:f>
              <cx:v>3</cx:v>
            </cx:txData>
          </cx:tx>
          <cx:dataId val="2"/>
          <cx:layoutPr>
            <cx:visibility meanLine="1" meanMarker="1" nonoutliers="0" outliers="1"/>
            <cx:statistics quartileMethod="exclusive"/>
          </cx:layoutPr>
        </cx:series>
        <cx:series layoutId="boxWhisker" uniqueId="{00000003-DB92-4ECF-90C7-A5B2B51D2494}">
          <cx:tx>
            <cx:txData>
              <cx:f>_xlchart.v1.54</cx:f>
              <cx:v>4</cx:v>
            </cx:txData>
          </cx:tx>
          <cx:dataId val="3"/>
          <cx:layoutPr>
            <cx:visibility meanLine="1" meanMarker="1" nonoutliers="0" outliers="1"/>
            <cx:statistics quartileMethod="exclusive"/>
          </cx:layoutPr>
        </cx:series>
        <cx:series layoutId="boxWhisker" uniqueId="{00000004-DB92-4ECF-90C7-A5B2B51D2494}">
          <cx:tx>
            <cx:txData>
              <cx:f>_xlchart.v1.56</cx:f>
              <cx:v>5</cx:v>
            </cx:txData>
          </cx:tx>
          <cx:dataId val="4"/>
          <cx:layoutPr>
            <cx:visibility meanLine="1" meanMarker="1" nonoutliers="0" outliers="1"/>
            <cx:statistics quartileMethod="exclusive"/>
          </cx:layoutPr>
        </cx:series>
        <cx:series layoutId="boxWhisker" uniqueId="{00000005-DB92-4ECF-90C7-A5B2B51D2494}">
          <cx:tx>
            <cx:txData>
              <cx:f>_xlchart.v1.58</cx:f>
              <cx:v>6</cx:v>
            </cx:txData>
          </cx:tx>
          <cx:dataId val="5"/>
          <cx:layoutPr>
            <cx:visibility meanLine="1" meanMarker="1" nonoutliers="0" outliers="1"/>
            <cx:statistics quartileMethod="exclusive"/>
          </cx:layoutPr>
        </cx:series>
        <cx:series layoutId="boxWhisker" uniqueId="{00000006-DB92-4ECF-90C7-A5B2B51D2494}">
          <cx:tx>
            <cx:txData>
              <cx:f>_xlchart.v1.60</cx:f>
              <cx:v>7</cx:v>
            </cx:txData>
          </cx:tx>
          <cx:dataId val="6"/>
          <cx:layoutPr>
            <cx:visibility meanLine="1" meanMarker="1" nonoutliers="0" outliers="1"/>
            <cx:statistics quartileMethod="exclusive"/>
          </cx:layoutPr>
        </cx:series>
        <cx:series layoutId="boxWhisker" uniqueId="{00000007-DB92-4ECF-90C7-A5B2B51D2494}">
          <cx:tx>
            <cx:txData>
              <cx:f>_xlchart.v1.62</cx:f>
              <cx:v>8</cx:v>
            </cx:txData>
          </cx:tx>
          <cx:dataId val="7"/>
          <cx:layoutPr>
            <cx:visibility meanLine="1" meanMarker="1" nonoutliers="0" outliers="1"/>
            <cx:statistics quartileMethod="exclusive"/>
          </cx:layoutPr>
        </cx:series>
        <cx:series layoutId="boxWhisker" uniqueId="{00000008-DB92-4ECF-90C7-A5B2B51D2494}">
          <cx:tx>
            <cx:txData>
              <cx:f>_xlchart.v1.64</cx:f>
              <cx:v>9</cx:v>
            </cx:txData>
          </cx:tx>
          <cx:dataId val="8"/>
          <cx:layoutPr>
            <cx:visibility meanLine="1" meanMarker="1" nonoutliers="0" outliers="1"/>
            <cx:statistics quartileMethod="exclusive"/>
          </cx:layoutPr>
        </cx:series>
        <cx:series layoutId="boxWhisker" uniqueId="{00000009-DB92-4ECF-90C7-A5B2B51D2494}">
          <cx:tx>
            <cx:txData>
              <cx:f>_xlchart.v1.66</cx:f>
              <cx:v>10</cx:v>
            </cx:txData>
          </cx:tx>
          <cx:dataId val="9"/>
          <cx:layoutPr>
            <cx:visibility meanLine="1" meanMarker="1" nonoutliers="0" outliers="1"/>
            <cx:statistics quartileMethod="exclusive"/>
          </cx:layoutPr>
        </cx:series>
        <cx:series layoutId="boxWhisker" uniqueId="{0000000A-DB92-4ECF-90C7-A5B2B51D2494}">
          <cx:tx>
            <cx:txData>
              <cx:f>_xlchart.v1.68</cx:f>
              <cx:v>11</cx:v>
            </cx:txData>
          </cx:tx>
          <cx:dataId val="10"/>
          <cx:layoutPr>
            <cx:visibility meanLine="1" meanMarker="1" nonoutliers="0" outliers="1"/>
            <cx:statistics quartileMethod="exclusive"/>
          </cx:layoutPr>
        </cx:series>
        <cx:series layoutId="boxWhisker" uniqueId="{0000000B-DB92-4ECF-90C7-A5B2B51D2494}">
          <cx:tx>
            <cx:txData>
              <cx:f>_xlchart.v1.70</cx:f>
              <cx:v>12</cx:v>
            </cx:txData>
          </cx:tx>
          <cx:dataId val="11"/>
          <cx:layoutPr>
            <cx:visibility meanLine="1" meanMarker="1" nonoutliers="0" outliers="1"/>
            <cx:statistics quartileMethod="exclusive"/>
          </cx:layoutPr>
        </cx:series>
        <cx:series layoutId="boxWhisker" uniqueId="{0000000C-DB92-4ECF-90C7-A5B2B51D2494}">
          <cx:tx>
            <cx:txData>
              <cx:f>_xlchart.v1.72</cx:f>
              <cx:v>13</cx:v>
            </cx:txData>
          </cx:tx>
          <cx:dataId val="12"/>
          <cx:layoutPr>
            <cx:visibility meanLine="1" meanMarker="1" nonoutliers="0" outliers="1"/>
            <cx:statistics quartileMethod="exclusive"/>
          </cx:layoutPr>
        </cx:series>
        <cx:series layoutId="boxWhisker" uniqueId="{0000000D-DB92-4ECF-90C7-A5B2B51D2494}">
          <cx:tx>
            <cx:txData>
              <cx:f>_xlchart.v1.74</cx:f>
              <cx:v>14</cx:v>
            </cx:txData>
          </cx:tx>
          <cx:dataId val="13"/>
          <cx:layoutPr>
            <cx:visibility meanLine="1" meanMarker="1" nonoutliers="0" outliers="1"/>
            <cx:statistics quartileMethod="exclusive"/>
          </cx:layoutPr>
        </cx:series>
        <cx:series layoutId="boxWhisker" uniqueId="{0000000E-DB92-4ECF-90C7-A5B2B51D2494}">
          <cx:tx>
            <cx:txData>
              <cx:f>_xlchart.v1.76</cx:f>
              <cx:v>15</cx:v>
            </cx:txData>
          </cx:tx>
          <cx:dataId val="14"/>
          <cx:layoutPr>
            <cx:visibility meanLine="1" meanMarker="1" nonoutliers="0" outliers="1"/>
            <cx:statistics quartileMethod="exclusive"/>
          </cx:layoutPr>
        </cx:series>
        <cx:series layoutId="boxWhisker" uniqueId="{0000000F-DB92-4ECF-90C7-A5B2B51D2494}">
          <cx:tx>
            <cx:txData>
              <cx:f>_xlchart.v1.78</cx:f>
              <cx:v>16</cx:v>
            </cx:txData>
          </cx:tx>
          <cx:dataId val="15"/>
          <cx:layoutPr>
            <cx:visibility meanLine="1" meanMarker="1" nonoutliers="0" outliers="1"/>
            <cx:statistics quartileMethod="exclusive"/>
          </cx:layoutPr>
        </cx:series>
        <cx:series layoutId="boxWhisker" uniqueId="{00000010-DB92-4ECF-90C7-A5B2B51D2494}">
          <cx:tx>
            <cx:txData>
              <cx:f>_xlchart.v1.80</cx:f>
              <cx:v>17</cx:v>
            </cx:txData>
          </cx:tx>
          <cx:dataId val="16"/>
          <cx:layoutPr>
            <cx:visibility meanLine="1" meanMarker="1" nonoutliers="0" outliers="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Calibri" panose="020F0502020204030204"/>
            </a:endParaRPr>
          </a:p>
        </cx:txPr>
      </cx:axis>
      <cx:axis id="1">
        <cx:valScaling max="1.2"/>
        <cx:majorGridlines/>
        <cx:tickLabels/>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Calibri" panose="020F0502020204030204"/>
            </a:endParaRPr>
          </a:p>
        </cx:txPr>
      </cx:axis>
    </cx:plotArea>
    <cx:legend pos="b"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_xlchart.v1.82</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100 U.S. PV Systems:</a:t>
            </a:r>
          </a:p>
          <a:p>
            <a:pPr algn="ctr" rtl="0">
              <a:defRPr/>
            </a:pPr>
            <a:r>
              <a:rPr lang="en-US" sz="1400" b="0" i="0" u="none" strike="noStrike" baseline="0">
                <a:solidFill>
                  <a:sysClr val="windowText" lastClr="000000">
                    <a:lumMod val="65000"/>
                    <a:lumOff val="35000"/>
                  </a:sysClr>
                </a:solidFill>
                <a:latin typeface="Calibri" panose="020F0502020204030204"/>
              </a:rPr>
              <a:t>Histogram of Avg Module Temperatures</a:t>
            </a:r>
          </a:p>
        </cx:rich>
      </cx:tx>
    </cx:title>
    <cx:plotArea>
      <cx:plotAreaRegion>
        <cx:series layoutId="clusteredColumn" uniqueId="{EB013F39-2E42-4727-8432-8DE44F716169}">
          <cx:dataPt idx="0">
            <cx:spPr>
              <a:solidFill>
                <a:srgbClr val="0070C0"/>
              </a:solidFill>
            </cx:spPr>
          </cx:dataPt>
          <cx:dataPt idx="1">
            <cx:spPr>
              <a:solidFill>
                <a:srgbClr val="00B050"/>
              </a:solidFill>
            </cx:spPr>
          </cx:dataPt>
          <cx:dataPt idx="2">
            <cx:spPr>
              <a:solidFill>
                <a:srgbClr val="00B050"/>
              </a:solidFill>
            </cx:spPr>
          </cx:dataPt>
          <cx:dataPt idx="3">
            <cx:spPr>
              <a:solidFill>
                <a:srgbClr val="00B050"/>
              </a:solidFill>
            </cx:spPr>
          </cx:dataPt>
          <cx:dataPt idx="4">
            <cx:spPr>
              <a:solidFill>
                <a:srgbClr val="FF0000"/>
              </a:solidFill>
            </cx:spPr>
          </cx:dataPt>
          <cx:dataPt idx="5">
            <cx:spPr>
              <a:solidFill>
                <a:srgbClr val="FF0000"/>
              </a:solidFill>
            </cx:spPr>
          </cx:dataPt>
          <cx:dataLabels pos="ctr">
            <cx:visibility seriesName="0" categoryName="0" value="1"/>
          </cx:dataLabels>
          <cx:dataId val="0"/>
          <cx:layoutPr>
            <cx:binning intervalClosed="r"/>
          </cx:layoutPr>
          <cx:axisId val="1"/>
        </cx:series>
        <cx:series layoutId="paretoLine" ownerIdx="0" uniqueId="{7CD56A9F-B8A3-4136-9704-897D7B0B2ACF}">
          <cx:axisId val="2"/>
        </cx:series>
      </cx:plotAreaRegion>
      <cx:axis id="0">
        <cx:catScaling gapWidth="0"/>
        <cx:title>
          <cx:tx>
            <cx:txData>
              <cx:v>Tmod bin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Tmod bin</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8.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9.xml.rels><?xml version="1.0" encoding="UTF-8" standalone="yes"?>
<Relationships xmlns="http://schemas.openxmlformats.org/package/2006/relationships"><Relationship Id="rId1" Type="http://schemas.openxmlformats.org/officeDocument/2006/relationships/drawing" Target="../drawings/drawing13.xml"/></Relationships>
</file>

<file path=xl/chartsheets/_rels/sheet10.xml.rels><?xml version="1.0" encoding="UTF-8" standalone="yes"?>
<Relationships xmlns="http://schemas.openxmlformats.org/package/2006/relationships"><Relationship Id="rId1" Type="http://schemas.openxmlformats.org/officeDocument/2006/relationships/drawing" Target="../drawings/drawing15.xml"/></Relationships>
</file>

<file path=xl/chartsheets/_rels/sheet11.xml.rels><?xml version="1.0" encoding="UTF-8" standalone="yes"?>
<Relationships xmlns="http://schemas.openxmlformats.org/package/2006/relationships"><Relationship Id="rId1" Type="http://schemas.openxmlformats.org/officeDocument/2006/relationships/drawing" Target="../drawings/drawing16.xml"/></Relationships>
</file>

<file path=xl/chartsheets/_rels/sheet12.xml.rels><?xml version="1.0" encoding="UTF-8" standalone="yes"?>
<Relationships xmlns="http://schemas.openxmlformats.org/package/2006/relationships"><Relationship Id="rId1" Type="http://schemas.openxmlformats.org/officeDocument/2006/relationships/drawing" Target="../drawings/drawing18.xml"/></Relationships>
</file>

<file path=xl/chartsheets/_rels/sheet13.xml.rels><?xml version="1.0" encoding="UTF-8" standalone="yes"?>
<Relationships xmlns="http://schemas.openxmlformats.org/package/2006/relationships"><Relationship Id="rId1" Type="http://schemas.openxmlformats.org/officeDocument/2006/relationships/drawing" Target="../drawings/drawing19.xml"/></Relationships>
</file>

<file path=xl/chartsheets/_rels/sheet14.xml.rels><?xml version="1.0" encoding="UTF-8" standalone="yes"?>
<Relationships xmlns="http://schemas.openxmlformats.org/package/2006/relationships"><Relationship Id="rId1" Type="http://schemas.openxmlformats.org/officeDocument/2006/relationships/drawing" Target="../drawings/drawing20.xml"/></Relationships>
</file>

<file path=xl/chartsheets/_rels/sheet15.xml.rels><?xml version="1.0" encoding="UTF-8" standalone="yes"?>
<Relationships xmlns="http://schemas.openxmlformats.org/package/2006/relationships"><Relationship Id="rId1" Type="http://schemas.openxmlformats.org/officeDocument/2006/relationships/drawing" Target="../drawings/drawing21.xml"/></Relationships>
</file>

<file path=xl/chartsheets/_rels/sheet16.xml.rels><?xml version="1.0" encoding="UTF-8" standalone="yes"?>
<Relationships xmlns="http://schemas.openxmlformats.org/package/2006/relationships"><Relationship Id="rId1" Type="http://schemas.openxmlformats.org/officeDocument/2006/relationships/drawing" Target="../drawings/drawing22.xml"/></Relationships>
</file>

<file path=xl/chartsheets/_rels/sheet17.xml.rels><?xml version="1.0" encoding="UTF-8" standalone="yes"?>
<Relationships xmlns="http://schemas.openxmlformats.org/package/2006/relationships"><Relationship Id="rId1" Type="http://schemas.openxmlformats.org/officeDocument/2006/relationships/drawing" Target="../drawings/drawing23.xml"/></Relationships>
</file>

<file path=xl/chartsheets/_rels/sheet18.xml.rels><?xml version="1.0" encoding="UTF-8" standalone="yes"?>
<Relationships xmlns="http://schemas.openxmlformats.org/package/2006/relationships"><Relationship Id="rId1" Type="http://schemas.openxmlformats.org/officeDocument/2006/relationships/drawing" Target="../drawings/drawing24.xml"/></Relationships>
</file>

<file path=xl/chartsheets/_rels/sheet19.xml.rels><?xml version="1.0" encoding="UTF-8" standalone="yes"?>
<Relationships xmlns="http://schemas.openxmlformats.org/package/2006/relationships"><Relationship Id="rId1" Type="http://schemas.openxmlformats.org/officeDocument/2006/relationships/drawing" Target="../drawings/drawing26.xml"/></Relationships>
</file>

<file path=xl/chartsheets/_rels/sheet20.xml.rels><?xml version="1.0" encoding="UTF-8" standalone="yes"?>
<Relationships xmlns="http://schemas.openxmlformats.org/package/2006/relationships"><Relationship Id="rId1" Type="http://schemas.openxmlformats.org/officeDocument/2006/relationships/drawing" Target="../drawings/drawing27.xml"/></Relationships>
</file>

<file path=xl/chartsheets/_rels/sheet21.xml.rels><?xml version="1.0" encoding="UTF-8" standalone="yes"?>
<Relationships xmlns="http://schemas.openxmlformats.org/package/2006/relationships"><Relationship Id="rId1" Type="http://schemas.openxmlformats.org/officeDocument/2006/relationships/drawing" Target="../drawings/drawing28.xml"/></Relationships>
</file>

<file path=xl/chartsheets/_rels/sheet22.xml.rels><?xml version="1.0" encoding="UTF-8" standalone="yes"?>
<Relationships xmlns="http://schemas.openxmlformats.org/package/2006/relationships"><Relationship Id="rId1" Type="http://schemas.openxmlformats.org/officeDocument/2006/relationships/drawing" Target="../drawings/drawing29.xml"/></Relationships>
</file>

<file path=xl/chartsheets/_rels/sheet23.xml.rels><?xml version="1.0" encoding="UTF-8" standalone="yes"?>
<Relationships xmlns="http://schemas.openxmlformats.org/package/2006/relationships"><Relationship Id="rId1" Type="http://schemas.openxmlformats.org/officeDocument/2006/relationships/drawing" Target="../drawings/drawing30.xml"/></Relationships>
</file>

<file path=xl/chartsheets/_rels/sheet24.xml.rels><?xml version="1.0" encoding="UTF-8" standalone="yes"?>
<Relationships xmlns="http://schemas.openxmlformats.org/package/2006/relationships"><Relationship Id="rId1" Type="http://schemas.openxmlformats.org/officeDocument/2006/relationships/drawing" Target="../drawings/drawing31.xml"/></Relationships>
</file>

<file path=xl/chartsheets/_rels/sheet25.xml.rels><?xml version="1.0" encoding="UTF-8" standalone="yes"?>
<Relationships xmlns="http://schemas.openxmlformats.org/package/2006/relationships"><Relationship Id="rId1" Type="http://schemas.openxmlformats.org/officeDocument/2006/relationships/drawing" Target="../drawings/drawing33.xml"/></Relationships>
</file>

<file path=xl/chartsheets/_rels/sheet26.xml.rels><?xml version="1.0" encoding="UTF-8" standalone="yes"?>
<Relationships xmlns="http://schemas.openxmlformats.org/package/2006/relationships"><Relationship Id="rId1" Type="http://schemas.openxmlformats.org/officeDocument/2006/relationships/drawing" Target="../drawings/drawing38.xml"/></Relationships>
</file>

<file path=xl/chartsheets/_rels/sheet27.xml.rels><?xml version="1.0" encoding="UTF-8" standalone="yes"?>
<Relationships xmlns="http://schemas.openxmlformats.org/package/2006/relationships"><Relationship Id="rId1" Type="http://schemas.openxmlformats.org/officeDocument/2006/relationships/drawing" Target="../drawings/drawing39.xml"/></Relationships>
</file>

<file path=xl/chartsheets/_rels/sheet28.xml.rels><?xml version="1.0" encoding="UTF-8" standalone="yes"?>
<Relationships xmlns="http://schemas.openxmlformats.org/package/2006/relationships"><Relationship Id="rId1" Type="http://schemas.openxmlformats.org/officeDocument/2006/relationships/drawing" Target="../drawings/drawing4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6D1AE87-973C-4E64-A14C-10DC165D27B2}">
  <sheetPr/>
  <sheetViews>
    <sheetView zoomScale="96"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880AB2C-8338-42C7-8B4E-59A1081724DB}">
  <sheetPr/>
  <sheetViews>
    <sheetView zoomScale="96"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6B7F4C8-462A-42CE-9290-660BAAA77641}">
  <sheetPr/>
  <sheetViews>
    <sheetView zoomScale="96"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7058FE5-32D4-45F2-AEE3-E636E7F6FB1F}">
  <sheetPr/>
  <sheetViews>
    <sheetView zoomScale="96"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12A32D1-3A3B-4117-86FE-12521538D8F1}">
  <sheetPr/>
  <sheetViews>
    <sheetView zoomScale="96"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D882460-18F4-41C8-A86E-7928C6651A59}">
  <sheetPr/>
  <sheetViews>
    <sheetView zoomScale="96" workbookViewId="0" zoomToFit="1"/>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4998BDD-B9EF-467F-99FD-D6C1709F19FC}">
  <sheetPr/>
  <sheetViews>
    <sheetView zoomScale="96" workbookViewId="0" zoomToFit="1"/>
  </sheetViews>
  <pageMargins left="0.7" right="0.7" top="0.75" bottom="0.75" header="0.3" footer="0.3"/>
  <drawing r:id="rId1"/>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36C6788-A00E-4DC0-81FE-82F68A00A741}">
  <sheetPr/>
  <sheetViews>
    <sheetView zoomScale="96" workbookViewId="0" zoomToFit="1"/>
  </sheetViews>
  <pageMargins left="0.7" right="0.7" top="0.75" bottom="0.75" header="0.3" footer="0.3"/>
  <drawing r:id="rId1"/>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31AB258-B0BE-4DFC-90C0-3E96FADA0ED8}">
  <sheetPr/>
  <sheetViews>
    <sheetView zoomScale="96" workbookViewId="0" zoomToFit="1"/>
  </sheetViews>
  <pageMargins left="0.7" right="0.7" top="0.75" bottom="0.75" header="0.3" footer="0.3"/>
  <drawing r:id="rId1"/>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0A7B535-85E2-41CF-A880-1BD3F81253CD}">
  <sheetPr/>
  <sheetViews>
    <sheetView zoomScale="96" workbookViewId="0" zoomToFit="1"/>
  </sheetViews>
  <pageMargins left="0.7" right="0.7" top="0.75" bottom="0.75" header="0.3" footer="0.3"/>
  <drawing r:id="rId1"/>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0AE99B3-CADB-4CAE-92D5-9C12199CECCB}">
  <sheetPr/>
  <sheetViews>
    <sheetView zoomScale="96" workbookViewId="0" zoomToFit="1"/>
  </sheetViews>
  <pageMargins left="0.7" right="0.7" top="0.75" bottom="0.75" header="0.3" footer="0.3"/>
  <drawing r:id="rId1"/>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BFD160E-B39C-4ECC-89F9-781FE51F4660}">
  <sheetPr/>
  <sheetViews>
    <sheetView zoomScale="96" workbookViewId="0" zoomToFit="1"/>
  </sheetViews>
  <pageMargins left="0.7" right="0.7" top="0.75" bottom="0.75" header="0.3" footer="0.3"/>
  <drawing r:id="rId1"/>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4F4881A-34C6-4D8F-9133-5889EB591880}">
  <sheetPr/>
  <sheetViews>
    <sheetView zoomScale="96" workbookViewId="0" zoomToFit="1"/>
  </sheetViews>
  <pageMargins left="0.7" right="0.7" top="0.75" bottom="0.75" header="0.3" footer="0.3"/>
  <drawing r:id="rId1"/>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525A7AD-CA8B-4493-B6CF-1EC06D0CD3F4}">
  <sheetPr/>
  <sheetViews>
    <sheetView zoomScale="96" workbookViewId="0" zoomToFit="1"/>
  </sheetViews>
  <pageMargins left="0.7" right="0.7" top="0.75" bottom="0.75" header="0.3" footer="0.3"/>
  <drawing r:id="rId1"/>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16E7391-792C-4EB1-96F3-F9869224463F}">
  <sheetPr/>
  <sheetViews>
    <sheetView zoomScale="96" workbookViewId="0" zoomToFit="1"/>
  </sheetViews>
  <pageMargins left="0.7" right="0.7" top="0.75" bottom="0.75" header="0.3" footer="0.3"/>
  <drawing r:id="rId1"/>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FA5515D-5371-4112-AC1A-3D59B52C6073}">
  <sheetPr/>
  <sheetViews>
    <sheetView zoomScale="96" workbookViewId="0" zoomToFit="1"/>
  </sheetViews>
  <pageMargins left="0.7" right="0.7" top="0.75" bottom="0.75" header="0.3" footer="0.3"/>
  <drawing r:id="rId1"/>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8941316-B979-424B-8E72-08E85E0491BB}">
  <sheetPr/>
  <sheetViews>
    <sheetView zoomScale="96" workbookViewId="0" zoomToFit="1"/>
  </sheetViews>
  <pageMargins left="0.7" right="0.7" top="0.75" bottom="0.75" header="0.3" footer="0.3"/>
  <drawing r:id="rId1"/>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BDD27A1-1203-4D95-B73D-3233E54AB7DA}">
  <sheetPr/>
  <sheetViews>
    <sheetView zoomScale="96" workbookViewId="0" zoomToFit="1"/>
  </sheetViews>
  <pageMargins left="0.7" right="0.7" top="0.75" bottom="0.75" header="0.3" footer="0.3"/>
  <drawing r:id="rId1"/>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7858E24-2009-40C4-BAE7-3B6B116D42F6}">
  <sheetPr/>
  <sheetViews>
    <sheetView zoomScale="96" workbookViewId="0" zoomToFit="1"/>
  </sheetViews>
  <pageMargins left="0.7" right="0.7" top="0.75" bottom="0.75" header="0.3" footer="0.3"/>
  <drawing r:id="rId1"/>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B9ED39A-AFBF-41C2-A9E2-1E40370FE70B}">
  <sheetPr/>
  <sheetViews>
    <sheetView zoomScale="96" workbookViewId="0" zoomToFit="1"/>
  </sheetViews>
  <pageMargins left="0.7" right="0.7" top="0.75" bottom="0.75" header="0.3" footer="0.3"/>
  <drawing r:id="rId1"/>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394BAED-68E7-4923-B198-90B0AFB259BD}">
  <sheetPr/>
  <sheetViews>
    <sheetView zoomScale="96" workbookViewId="0" zoomToFit="1"/>
  </sheetViews>
  <pageMargins left="0.7" right="0.7" top="0.75" bottom="0.75" header="0.3" footer="0.3"/>
  <drawing r:id="rId1"/>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2980698-3D7B-47E8-AF4E-CCE8A869DFA6}">
  <sheetPr/>
  <sheetViews>
    <sheetView zoomScale="96" workbookViewId="0" zoomToFit="1"/>
  </sheetViews>
  <pageMargins left="0.7" right="0.7" top="0.75" bottom="0.75" header="0.3" footer="0.3"/>
  <drawing r:id="rId1"/>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8803BAB-5375-40F5-AF64-AFC3E0A8E5B1}">
  <sheetPr/>
  <sheetViews>
    <sheetView zoomScale="96" workbookViewId="0" zoomToFit="1"/>
  </sheetViews>
  <pageMargins left="0.7" right="0.7" top="0.75" bottom="0.75" header="0.3" footer="0.3"/>
  <drawing r:id="rId1"/>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F2A7DD-91B4-480C-BCBB-689AE07AA74D}">
  <sheetPr/>
  <sheetViews>
    <sheetView zoomScale="96" workbookViewId="0" zoomToFit="1"/>
  </sheetViews>
  <pageMargins left="0.7" right="0.7" top="0.75" bottom="0.75" header="0.3" footer="0.3"/>
  <drawing r:id="rId1"/>
</chartsheet>
</file>

<file path=xl/chartsheets/sheet2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AD86267-306B-4EA2-A56A-2D9547F6F7B7}">
  <sheetPr/>
  <sheetViews>
    <sheetView zoomScale="96" workbookViewId="0" zoomToFit="1"/>
  </sheetViews>
  <pageMargins left="0.7" right="0.7" top="0.75" bottom="0.75" header="0.3" footer="0.3"/>
  <drawing r:id="rId1"/>
</chartsheet>
</file>

<file path=xl/chartsheets/sheet2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2B85AD7-05F7-4464-866F-E36798A94F83}">
  <sheetPr/>
  <sheetViews>
    <sheetView zoomScale="96" workbookViewId="0" zoomToFit="1"/>
  </sheetViews>
  <pageMargins left="0.7" right="0.7" top="0.75" bottom="0.75" header="0.3" footer="0.3"/>
  <drawing r:id="rId1"/>
</chartsheet>
</file>

<file path=xl/chartsheets/sheet2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5B88C7F-4096-4765-AAE5-95AAD3633B87}">
  <sheetPr/>
  <sheetViews>
    <sheetView zoomScale="96" workbookViewId="0" zoomToFit="1"/>
  </sheetViews>
  <pageMargins left="0.7" right="0.7" top="0.75" bottom="0.75" header="0.3" footer="0.3"/>
  <drawing r:id="rId1"/>
</chartsheet>
</file>

<file path=xl/chartsheets/sheet2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3B8988C-008E-4C84-970C-8872087747C5}">
  <sheetPr/>
  <sheetViews>
    <sheetView zoomScale="9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7.xml"/><Relationship Id="rId1" Type="http://schemas.microsoft.com/office/2014/relationships/chartEx" Target="../charts/chartEx1.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8.xml"/><Relationship Id="rId1" Type="http://schemas.microsoft.com/office/2014/relationships/chartEx" Target="../charts/chartEx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27.xml"/><Relationship Id="rId1" Type="http://schemas.microsoft.com/office/2014/relationships/chartEx" Target="../charts/chartEx3.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4.xml.rels><?xml version="1.0" encoding="UTF-8" standalone="yes"?>
<Relationships xmlns="http://schemas.openxmlformats.org/package/2006/relationships"><Relationship Id="rId3" Type="http://schemas.openxmlformats.org/officeDocument/2006/relationships/chart" Target="../charts/chart35.xml"/><Relationship Id="rId7" Type="http://schemas.openxmlformats.org/officeDocument/2006/relationships/image" Target="../media/image7.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6.emf"/><Relationship Id="rId5" Type="http://schemas.openxmlformats.org/officeDocument/2006/relationships/chart" Target="../charts/chart36.xml"/><Relationship Id="rId4" Type="http://schemas.openxmlformats.org/officeDocument/2006/relationships/image" Target="../media/image5.png"/></Relationships>
</file>

<file path=xl/drawings/_rels/drawing35.xml.rels><?xml version="1.0" encoding="UTF-8" standalone="yes"?>
<Relationships xmlns="http://schemas.openxmlformats.org/package/2006/relationships"><Relationship Id="rId1" Type="http://schemas.openxmlformats.org/officeDocument/2006/relationships/image" Target="../media/image2.png"/></Relationships>
</file>

<file path=xl/drawings/_rels/drawing36.xml.rels><?xml version="1.0" encoding="UTF-8" standalone="yes"?>
<Relationships xmlns="http://schemas.openxmlformats.org/package/2006/relationships"><Relationship Id="rId1" Type="http://schemas.openxmlformats.org/officeDocument/2006/relationships/image" Target="../media/image8.png"/></Relationships>
</file>

<file path=xl/drawings/_rels/drawing37.xml.rels><?xml version="1.0" encoding="UTF-8" standalone="yes"?>
<Relationships xmlns="http://schemas.openxmlformats.org/package/2006/relationships"><Relationship Id="rId1" Type="http://schemas.openxmlformats.org/officeDocument/2006/relationships/image" Target="../media/image9.png"/></Relationships>
</file>

<file path=xl/drawings/_rels/drawing38.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40.xml.rels><?xml version="1.0" encoding="UTF-8" standalone="yes"?>
<Relationships xmlns="http://schemas.openxmlformats.org/package/2006/relationships"><Relationship Id="rId1" Type="http://schemas.microsoft.com/office/2014/relationships/chartEx" Target="../charts/chartEx4.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41.xml"/></Relationships>
</file>

<file path=xl/drawings/drawing1.xml><?xml version="1.0" encoding="utf-8"?>
<xdr:wsDr xmlns:xdr="http://schemas.openxmlformats.org/drawingml/2006/spreadsheetDrawing" xmlns:a="http://schemas.openxmlformats.org/drawingml/2006/main">
  <xdr:twoCellAnchor>
    <xdr:from>
      <xdr:col>19</xdr:col>
      <xdr:colOff>533400</xdr:colOff>
      <xdr:row>7</xdr:row>
      <xdr:rowOff>133350</xdr:rowOff>
    </xdr:from>
    <xdr:to>
      <xdr:col>30</xdr:col>
      <xdr:colOff>251460</xdr:colOff>
      <xdr:row>27</xdr:row>
      <xdr:rowOff>114300</xdr:rowOff>
    </xdr:to>
    <xdr:graphicFrame macro="">
      <xdr:nvGraphicFramePr>
        <xdr:cNvPr id="2" name="Chart 1">
          <a:extLst>
            <a:ext uri="{FF2B5EF4-FFF2-40B4-BE49-F238E27FC236}">
              <a16:creationId xmlns:a16="http://schemas.microsoft.com/office/drawing/2014/main" id="{C5B14667-934E-62C4-06C5-66BDB2792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563880</xdr:colOff>
      <xdr:row>28</xdr:row>
      <xdr:rowOff>163830</xdr:rowOff>
    </xdr:from>
    <xdr:to>
      <xdr:col>30</xdr:col>
      <xdr:colOff>281940</xdr:colOff>
      <xdr:row>48</xdr:row>
      <xdr:rowOff>175260</xdr:rowOff>
    </xdr:to>
    <xdr:graphicFrame macro="">
      <xdr:nvGraphicFramePr>
        <xdr:cNvPr id="3" name="Chart 2">
          <a:extLst>
            <a:ext uri="{FF2B5EF4-FFF2-40B4-BE49-F238E27FC236}">
              <a16:creationId xmlns:a16="http://schemas.microsoft.com/office/drawing/2014/main" id="{2B959442-447F-716F-19B0-5D9113D64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E7D6AE8C-7490-8690-07D5-B86B81C3016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EACC93FB-38DD-8262-B5E3-A37A3A404FE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D1101F5F-E6D1-69E2-E137-22A8784F38E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0DB08321-B35E-50F2-18BA-2151CAC2E25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395D78FC-E6F6-8268-A853-BBACA1FBDEE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DFDF8D0C-8A6F-7272-16C7-A6A3D7E2F05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8BAF0CDE-7FEC-8D64-8340-A8C89913D56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twoCellAnchor>
    <xdr:from>
      <xdr:col>0</xdr:col>
      <xdr:colOff>83820</xdr:colOff>
      <xdr:row>32</xdr:row>
      <xdr:rowOff>0</xdr:rowOff>
    </xdr:from>
    <xdr:to>
      <xdr:col>20</xdr:col>
      <xdr:colOff>381000</xdr:colOff>
      <xdr:row>52</xdr:row>
      <xdr:rowOff>102870</xdr:rowOff>
    </xdr:to>
    <xdr:graphicFrame macro="">
      <xdr:nvGraphicFramePr>
        <xdr:cNvPr id="4" name="Chart 3">
          <a:extLst>
            <a:ext uri="{FF2B5EF4-FFF2-40B4-BE49-F238E27FC236}">
              <a16:creationId xmlns:a16="http://schemas.microsoft.com/office/drawing/2014/main" id="{D4E5BFE1-D7C2-437D-B1B2-D19B6BF14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54</xdr:row>
      <xdr:rowOff>83820</xdr:rowOff>
    </xdr:from>
    <xdr:to>
      <xdr:col>20</xdr:col>
      <xdr:colOff>373380</xdr:colOff>
      <xdr:row>75</xdr:row>
      <xdr:rowOff>3810</xdr:rowOff>
    </xdr:to>
    <xdr:graphicFrame macro="">
      <xdr:nvGraphicFramePr>
        <xdr:cNvPr id="2" name="Chart 1">
          <a:extLst>
            <a:ext uri="{FF2B5EF4-FFF2-40B4-BE49-F238E27FC236}">
              <a16:creationId xmlns:a16="http://schemas.microsoft.com/office/drawing/2014/main" id="{AD232502-AF41-439D-9380-AE2D39E48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76</xdr:row>
      <xdr:rowOff>152400</xdr:rowOff>
    </xdr:from>
    <xdr:to>
      <xdr:col>20</xdr:col>
      <xdr:colOff>365760</xdr:colOff>
      <xdr:row>97</xdr:row>
      <xdr:rowOff>72390</xdr:rowOff>
    </xdr:to>
    <xdr:graphicFrame macro="">
      <xdr:nvGraphicFramePr>
        <xdr:cNvPr id="5" name="Chart 4">
          <a:extLst>
            <a:ext uri="{FF2B5EF4-FFF2-40B4-BE49-F238E27FC236}">
              <a16:creationId xmlns:a16="http://schemas.microsoft.com/office/drawing/2014/main" id="{22C4371A-D9B0-4023-BCB2-7C807CE9E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45720</xdr:colOff>
      <xdr:row>121</xdr:row>
      <xdr:rowOff>114300</xdr:rowOff>
    </xdr:from>
    <xdr:to>
      <xdr:col>20</xdr:col>
      <xdr:colOff>342900</xdr:colOff>
      <xdr:row>142</xdr:row>
      <xdr:rowOff>34290</xdr:rowOff>
    </xdr:to>
    <xdr:graphicFrame macro="">
      <xdr:nvGraphicFramePr>
        <xdr:cNvPr id="7" name="Chart 6">
          <a:extLst>
            <a:ext uri="{FF2B5EF4-FFF2-40B4-BE49-F238E27FC236}">
              <a16:creationId xmlns:a16="http://schemas.microsoft.com/office/drawing/2014/main" id="{A637AD4F-5397-4519-854A-2306A330B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45720</xdr:colOff>
      <xdr:row>143</xdr:row>
      <xdr:rowOff>38100</xdr:rowOff>
    </xdr:from>
    <xdr:to>
      <xdr:col>20</xdr:col>
      <xdr:colOff>342900</xdr:colOff>
      <xdr:row>163</xdr:row>
      <xdr:rowOff>140970</xdr:rowOff>
    </xdr:to>
    <xdr:graphicFrame macro="">
      <xdr:nvGraphicFramePr>
        <xdr:cNvPr id="8" name="Chart 7">
          <a:extLst>
            <a:ext uri="{FF2B5EF4-FFF2-40B4-BE49-F238E27FC236}">
              <a16:creationId xmlns:a16="http://schemas.microsoft.com/office/drawing/2014/main" id="{FEA01646-2F53-477A-B0F2-66249994B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144780</xdr:colOff>
      <xdr:row>6</xdr:row>
      <xdr:rowOff>171450</xdr:rowOff>
    </xdr:from>
    <xdr:to>
      <xdr:col>20</xdr:col>
      <xdr:colOff>441960</xdr:colOff>
      <xdr:row>27</xdr:row>
      <xdr:rowOff>91440</xdr:rowOff>
    </xdr:to>
    <xdr:graphicFrame macro="">
      <xdr:nvGraphicFramePr>
        <xdr:cNvPr id="2" name="Chart 1">
          <a:extLst>
            <a:ext uri="{FF2B5EF4-FFF2-40B4-BE49-F238E27FC236}">
              <a16:creationId xmlns:a16="http://schemas.microsoft.com/office/drawing/2014/main" id="{F1768168-BA36-4C83-AC41-7684A9121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28</xdr:row>
      <xdr:rowOff>0</xdr:rowOff>
    </xdr:from>
    <xdr:to>
      <xdr:col>20</xdr:col>
      <xdr:colOff>381000</xdr:colOff>
      <xdr:row>48</xdr:row>
      <xdr:rowOff>102870</xdr:rowOff>
    </xdr:to>
    <xdr:graphicFrame macro="">
      <xdr:nvGraphicFramePr>
        <xdr:cNvPr id="3" name="Chart 2">
          <a:extLst>
            <a:ext uri="{FF2B5EF4-FFF2-40B4-BE49-F238E27FC236}">
              <a16:creationId xmlns:a16="http://schemas.microsoft.com/office/drawing/2014/main" id="{801287B7-5FD9-4164-B760-30D30B988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absoluteAnchor>
    <xdr:pos x="0" y="0"/>
    <xdr:ext cx="8651875" cy="6278563"/>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031244A-936E-AD3B-100F-112670DD671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12.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C732F327-BD94-A5A3-CDAD-9AE856D48AC5}"/>
            </a:ext>
          </a:extLst>
        </cdr:cNvPr>
        <cdr:cNvSpPr>
          <a:spLocks xmlns:a="http://schemas.openxmlformats.org/drawingml/2006/main" noTextEdit="1"/>
        </cdr:cNvSpPr>
      </cdr:nvSpPr>
      <cdr:spPr>
        <a:xfrm xmlns:a="http://schemas.openxmlformats.org/drawingml/2006/main">
          <a:off x="0" y="0"/>
          <a:ext cx="8651875" cy="6278563"/>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n-US" sz="1100"/>
            <a:t>This chart isn't available in your version of Excel.
Editing this shape or saving this workbook into a different file format will permanently break the chart.</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651875" cy="6278563"/>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39C6A1B-7457-51D8-216E-B12A710BBA86}"/>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14.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A8E8C73C-C5BF-445F-84DE-80F98983B7F7}"/>
            </a:ext>
          </a:extLst>
        </cdr:cNvPr>
        <cdr:cNvSpPr>
          <a:spLocks xmlns:a="http://schemas.openxmlformats.org/drawingml/2006/main" noTextEdit="1"/>
        </cdr:cNvSpPr>
      </cdr:nvSpPr>
      <cdr:spPr>
        <a:xfrm xmlns:a="http://schemas.openxmlformats.org/drawingml/2006/main">
          <a:off x="0" y="0"/>
          <a:ext cx="8651875" cy="6278563"/>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n-US" sz="1100"/>
            <a:t>This chart isn't available in your version of Excel.
Editing this shape or saving this workbook into a different file format will permanently break the chart.</a:t>
          </a: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BB05EBE6-7A34-BF16-B891-0B3FBBED6C6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EA7BCBAC-F5EF-BC1B-CDEA-42F50F89BD8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c:userShapes xmlns:c="http://schemas.openxmlformats.org/drawingml/2006/chart">
  <cdr:relSizeAnchor xmlns:cdr="http://schemas.openxmlformats.org/drawingml/2006/chartDrawing">
    <cdr:from>
      <cdr:x>0.58287</cdr:x>
      <cdr:y>0.25189</cdr:y>
    </cdr:from>
    <cdr:to>
      <cdr:x>0.95301</cdr:x>
      <cdr:y>0.64688</cdr:y>
    </cdr:to>
    <cdr:pic>
      <cdr:nvPicPr>
        <cdr:cNvPr id="2" name="chart">
          <a:extLst xmlns:a="http://schemas.openxmlformats.org/drawingml/2006/main">
            <a:ext uri="{FF2B5EF4-FFF2-40B4-BE49-F238E27FC236}">
              <a16:creationId xmlns:a16="http://schemas.microsoft.com/office/drawing/2014/main" id="{FCE168CC-053B-C42A-2147-E61172E28926}"/>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1"/>
        <a:srcRect xmlns:a="http://schemas.openxmlformats.org/drawingml/2006/main" l="27624" b="17889"/>
        <a:stretch xmlns:a="http://schemas.openxmlformats.org/drawingml/2006/main">
          <a:fillRect/>
        </a:stretch>
      </cdr:blipFill>
      <cdr:spPr>
        <a:xfrm xmlns:a="http://schemas.openxmlformats.org/drawingml/2006/main" rot="527938">
          <a:off x="5042947" y="1581489"/>
          <a:ext cx="3202383" cy="2479962"/>
        </a:xfrm>
        <a:prstGeom xmlns:a="http://schemas.openxmlformats.org/drawingml/2006/main" prst="rect">
          <a:avLst/>
        </a:prstGeom>
      </cdr:spPr>
    </cdr:pic>
  </cdr:relSizeAnchor>
</c:userShapes>
</file>

<file path=xl/drawings/drawing18.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06F5B84E-2BF3-46B2-52E6-435903B90C5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2E907B56-17C0-CCD8-DE7D-2EE10EC36B0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D8AFA385-90BC-9B9C-1B9D-740EC3FEA99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F7961C8D-333D-5B8E-C481-EDCF0255B7C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65E209CC-0E64-202D-78C0-B9BF0533EE0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DF923321-63E6-8724-68D3-5CBCBC960CE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xdr:wsDr xmlns:xdr="http://schemas.openxmlformats.org/drawingml/2006/spreadsheetDrawing" xmlns:a="http://schemas.openxmlformats.org/drawingml/2006/main">
  <xdr:absoluteAnchor>
    <xdr:pos x="0" y="0"/>
    <xdr:ext cx="8651875" cy="6278563"/>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4046934-E377-3609-1073-E71CC065E69F}"/>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25.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986D0843-A366-DAEE-D592-71475095D0D9}"/>
            </a:ext>
          </a:extLst>
        </cdr:cNvPr>
        <cdr:cNvSpPr>
          <a:spLocks xmlns:a="http://schemas.openxmlformats.org/drawingml/2006/main" noTextEdit="1"/>
        </cdr:cNvSpPr>
      </cdr:nvSpPr>
      <cdr:spPr>
        <a:xfrm xmlns:a="http://schemas.openxmlformats.org/drawingml/2006/main">
          <a:off x="0" y="0"/>
          <a:ext cx="8651875" cy="6278563"/>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n-US" sz="1100"/>
            <a:t>This chart isn't available in your version of Excel.
Editing this shape or saving this workbook into a different file format will permanently break the chart.</a:t>
          </a: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5A3C8E7D-7B08-5804-845F-8795AC8DF3F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28D2059F-51EB-8109-86BA-F75D2DF1E2E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21AE58B7-FDF2-8D2E-9AC6-5FC9A02F5B5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F61C8FE2-BBC6-AB8C-19AD-56B94923436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F91A5865-5E0F-F130-8712-733C100705D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74C561A2-F2BC-F4E2-B56E-9B0A0D74685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0.73431</cdr:x>
      <cdr:y>0.47099</cdr:y>
    </cdr:from>
    <cdr:to>
      <cdr:x>0.9156</cdr:x>
      <cdr:y>0.65361</cdr:y>
    </cdr:to>
    <cdr:pic>
      <cdr:nvPicPr>
        <cdr:cNvPr id="2" name="Picture 1">
          <a:extLst xmlns:a="http://schemas.openxmlformats.org/drawingml/2006/main">
            <a:ext uri="{FF2B5EF4-FFF2-40B4-BE49-F238E27FC236}">
              <a16:creationId xmlns:a16="http://schemas.microsoft.com/office/drawing/2014/main" id="{9E62BF48-1845-2786-2D29-4C2AB0A2154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rot="572432">
          <a:off x="6353193" y="2957155"/>
          <a:ext cx="1568450" cy="1146551"/>
        </a:xfrm>
        <a:prstGeom xmlns:a="http://schemas.openxmlformats.org/drawingml/2006/main" prst="rect">
          <a:avLst/>
        </a:prstGeom>
      </cdr:spPr>
    </cdr:pic>
  </cdr:relSizeAnchor>
</c:userShapes>
</file>

<file path=xl/drawings/drawing33.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E6A4763F-5800-5649-815C-E5FE2509235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129540</xdr:colOff>
      <xdr:row>34</xdr:row>
      <xdr:rowOff>68580</xdr:rowOff>
    </xdr:to>
    <xdr:pic>
      <xdr:nvPicPr>
        <xdr:cNvPr id="2" name="Picture 1">
          <a:extLst>
            <a:ext uri="{FF2B5EF4-FFF2-40B4-BE49-F238E27FC236}">
              <a16:creationId xmlns:a16="http://schemas.microsoft.com/office/drawing/2014/main" id="{0484B6D2-5553-7E8C-FC6A-90E954932E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663940" cy="6286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38100</xdr:colOff>
      <xdr:row>0</xdr:row>
      <xdr:rowOff>0</xdr:rowOff>
    </xdr:from>
    <xdr:to>
      <xdr:col>29</xdr:col>
      <xdr:colOff>167640</xdr:colOff>
      <xdr:row>34</xdr:row>
      <xdr:rowOff>68580</xdr:rowOff>
    </xdr:to>
    <xdr:pic>
      <xdr:nvPicPr>
        <xdr:cNvPr id="3" name="Picture 2">
          <a:extLst>
            <a:ext uri="{FF2B5EF4-FFF2-40B4-BE49-F238E27FC236}">
              <a16:creationId xmlns:a16="http://schemas.microsoft.com/office/drawing/2014/main" id="{14F79D3B-74D6-4777-C35A-04C7451655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82100" y="0"/>
          <a:ext cx="8663940" cy="6286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absoluteAnchor>
    <xdr:pos x="0" y="6400800"/>
    <xdr:ext cx="8651875" cy="6278563"/>
    <xdr:graphicFrame macro="">
      <xdr:nvGraphicFramePr>
        <xdr:cNvPr id="4" name="Chart 3">
          <a:extLst>
            <a:ext uri="{FF2B5EF4-FFF2-40B4-BE49-F238E27FC236}">
              <a16:creationId xmlns:a16="http://schemas.microsoft.com/office/drawing/2014/main" id="{F6D53DC3-1976-46C8-AC83-CE7B32AA188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twoCellAnchor editAs="oneCell">
    <xdr:from>
      <xdr:col>15</xdr:col>
      <xdr:colOff>0</xdr:colOff>
      <xdr:row>35</xdr:row>
      <xdr:rowOff>0</xdr:rowOff>
    </xdr:from>
    <xdr:to>
      <xdr:col>36</xdr:col>
      <xdr:colOff>601946</xdr:colOff>
      <xdr:row>79</xdr:row>
      <xdr:rowOff>174502</xdr:rowOff>
    </xdr:to>
    <xdr:pic>
      <xdr:nvPicPr>
        <xdr:cNvPr id="5" name="Picture 4">
          <a:extLst>
            <a:ext uri="{FF2B5EF4-FFF2-40B4-BE49-F238E27FC236}">
              <a16:creationId xmlns:a16="http://schemas.microsoft.com/office/drawing/2014/main" id="{A4DD5695-75E4-E37C-5118-4AE33CE635E4}"/>
            </a:ext>
          </a:extLst>
        </xdr:cNvPr>
        <xdr:cNvPicPr>
          <a:picLocks noChangeAspect="1"/>
        </xdr:cNvPicPr>
      </xdr:nvPicPr>
      <xdr:blipFill>
        <a:blip xmlns:r="http://schemas.openxmlformats.org/officeDocument/2006/relationships" r:embed="rId4"/>
        <a:stretch>
          <a:fillRect/>
        </a:stretch>
      </xdr:blipFill>
      <xdr:spPr>
        <a:xfrm>
          <a:off x="9144000" y="6400800"/>
          <a:ext cx="13403546" cy="8221222"/>
        </a:xfrm>
        <a:prstGeom prst="rect">
          <a:avLst/>
        </a:prstGeom>
      </xdr:spPr>
    </xdr:pic>
    <xdr:clientData/>
  </xdr:twoCellAnchor>
  <xdr:absoluteAnchor>
    <xdr:pos x="236220" y="13456920"/>
    <xdr:ext cx="8651875" cy="6278563"/>
    <xdr:graphicFrame macro="">
      <xdr:nvGraphicFramePr>
        <xdr:cNvPr id="13" name="Chart 12">
          <a:extLst>
            <a:ext uri="{FF2B5EF4-FFF2-40B4-BE49-F238E27FC236}">
              <a16:creationId xmlns:a16="http://schemas.microsoft.com/office/drawing/2014/main" id="{718C41A0-F187-4405-9DCF-99CC38FBD17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twoCellAnchor editAs="oneCell">
    <xdr:from>
      <xdr:col>1</xdr:col>
      <xdr:colOff>0</xdr:colOff>
      <xdr:row>111</xdr:row>
      <xdr:rowOff>0</xdr:rowOff>
    </xdr:from>
    <xdr:to>
      <xdr:col>15</xdr:col>
      <xdr:colOff>121920</xdr:colOff>
      <xdr:row>145</xdr:row>
      <xdr:rowOff>60960</xdr:rowOff>
    </xdr:to>
    <xdr:pic>
      <xdr:nvPicPr>
        <xdr:cNvPr id="12" name="Picture 11">
          <a:extLst>
            <a:ext uri="{FF2B5EF4-FFF2-40B4-BE49-F238E27FC236}">
              <a16:creationId xmlns:a16="http://schemas.microsoft.com/office/drawing/2014/main" id="{43B7F505-52DE-E6AD-CEFB-994209AF783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 y="20299680"/>
          <a:ext cx="8656320" cy="627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111</xdr:row>
      <xdr:rowOff>0</xdr:rowOff>
    </xdr:from>
    <xdr:to>
      <xdr:col>30</xdr:col>
      <xdr:colOff>121920</xdr:colOff>
      <xdr:row>145</xdr:row>
      <xdr:rowOff>60960</xdr:rowOff>
    </xdr:to>
    <xdr:pic>
      <xdr:nvPicPr>
        <xdr:cNvPr id="6" name="Picture 5">
          <a:extLst>
            <a:ext uri="{FF2B5EF4-FFF2-40B4-BE49-F238E27FC236}">
              <a16:creationId xmlns:a16="http://schemas.microsoft.com/office/drawing/2014/main" id="{276EB104-2311-989B-A8FC-CFB94024C43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753600" y="20299680"/>
          <a:ext cx="8656320" cy="627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c:userShapes xmlns:c="http://schemas.openxmlformats.org/drawingml/2006/chart">
  <cdr:relSizeAnchor xmlns:cdr="http://schemas.openxmlformats.org/drawingml/2006/chartDrawing">
    <cdr:from>
      <cdr:x>0.73431</cdr:x>
      <cdr:y>0.47099</cdr:y>
    </cdr:from>
    <cdr:to>
      <cdr:x>0.9156</cdr:x>
      <cdr:y>0.65361</cdr:y>
    </cdr:to>
    <cdr:pic>
      <cdr:nvPicPr>
        <cdr:cNvPr id="2" name="Picture 1">
          <a:extLst xmlns:a="http://schemas.openxmlformats.org/drawingml/2006/main">
            <a:ext uri="{FF2B5EF4-FFF2-40B4-BE49-F238E27FC236}">
              <a16:creationId xmlns:a16="http://schemas.microsoft.com/office/drawing/2014/main" id="{9E62BF48-1845-2786-2D29-4C2AB0A2154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rot="572432">
          <a:off x="6353193" y="2957155"/>
          <a:ext cx="1568450" cy="1146551"/>
        </a:xfrm>
        <a:prstGeom xmlns:a="http://schemas.openxmlformats.org/drawingml/2006/main" prst="rect">
          <a:avLst/>
        </a:prstGeom>
      </cdr:spPr>
    </cdr:pic>
  </cdr:relSizeAnchor>
</c:userShapes>
</file>

<file path=xl/drawings/drawing36.xml><?xml version="1.0" encoding="utf-8"?>
<xdr:wsDr xmlns:xdr="http://schemas.openxmlformats.org/drawingml/2006/spreadsheetDrawing" xmlns:a="http://schemas.openxmlformats.org/drawingml/2006/main">
  <xdr:twoCellAnchor editAs="oneCell">
    <xdr:from>
      <xdr:col>0</xdr:col>
      <xdr:colOff>0</xdr:colOff>
      <xdr:row>38</xdr:row>
      <xdr:rowOff>0</xdr:rowOff>
    </xdr:from>
    <xdr:to>
      <xdr:col>13</xdr:col>
      <xdr:colOff>561975</xdr:colOff>
      <xdr:row>47</xdr:row>
      <xdr:rowOff>116205</xdr:rowOff>
    </xdr:to>
    <xdr:pic>
      <xdr:nvPicPr>
        <xdr:cNvPr id="2" name="Picture 1">
          <a:extLst>
            <a:ext uri="{FF2B5EF4-FFF2-40B4-BE49-F238E27FC236}">
              <a16:creationId xmlns:a16="http://schemas.microsoft.com/office/drawing/2014/main" id="{15774E0D-AB8E-92AA-963F-5104EE2289D8}"/>
            </a:ext>
          </a:extLst>
        </xdr:cNvPr>
        <xdr:cNvPicPr>
          <a:picLocks noChangeAspect="1"/>
        </xdr:cNvPicPr>
      </xdr:nvPicPr>
      <xdr:blipFill>
        <a:blip xmlns:r="http://schemas.openxmlformats.org/officeDocument/2006/relationships" r:embed="rId1"/>
        <a:stretch>
          <a:fillRect/>
        </a:stretch>
      </xdr:blipFill>
      <xdr:spPr>
        <a:xfrm>
          <a:off x="0" y="6217920"/>
          <a:ext cx="8486775" cy="1762125"/>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239945</xdr:colOff>
      <xdr:row>42</xdr:row>
      <xdr:rowOff>92525</xdr:rowOff>
    </xdr:to>
    <xdr:pic>
      <xdr:nvPicPr>
        <xdr:cNvPr id="2" name="Picture 1">
          <a:extLst>
            <a:ext uri="{FF2B5EF4-FFF2-40B4-BE49-F238E27FC236}">
              <a16:creationId xmlns:a16="http://schemas.microsoft.com/office/drawing/2014/main" id="{7775AD41-E736-319B-4F9E-B729C9ED5E14}"/>
            </a:ext>
          </a:extLst>
        </xdr:cNvPr>
        <xdr:cNvPicPr>
          <a:picLocks noChangeAspect="1"/>
        </xdr:cNvPicPr>
      </xdr:nvPicPr>
      <xdr:blipFill>
        <a:blip xmlns:r="http://schemas.openxmlformats.org/officeDocument/2006/relationships" r:embed="rId1"/>
        <a:stretch>
          <a:fillRect/>
        </a:stretch>
      </xdr:blipFill>
      <xdr:spPr>
        <a:xfrm>
          <a:off x="0" y="0"/>
          <a:ext cx="13041545" cy="777348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093D4C0E-B030-F8EA-F3C0-25508C2FC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9.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A442E0CD-2400-13B5-6D04-C5402B273D9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0.xml><?xml version="1.0" encoding="utf-8"?>
<xdr:wsDr xmlns:xdr="http://schemas.openxmlformats.org/drawingml/2006/spreadsheetDrawing" xmlns:a="http://schemas.openxmlformats.org/drawingml/2006/main">
  <xdr:twoCellAnchor>
    <xdr:from>
      <xdr:col>18</xdr:col>
      <xdr:colOff>106680</xdr:colOff>
      <xdr:row>1</xdr:row>
      <xdr:rowOff>19050</xdr:rowOff>
    </xdr:from>
    <xdr:to>
      <xdr:col>25</xdr:col>
      <xdr:colOff>411480</xdr:colOff>
      <xdr:row>16</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17AA52A-A9B2-4A91-B413-5216E11B29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885420" y="2019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1.xml><?xml version="1.0" encoding="utf-8"?>
<xdr:wsDr xmlns:xdr="http://schemas.openxmlformats.org/drawingml/2006/spreadsheetDrawing" xmlns:a="http://schemas.openxmlformats.org/drawingml/2006/main">
  <xdr:twoCellAnchor>
    <xdr:from>
      <xdr:col>18</xdr:col>
      <xdr:colOff>106680</xdr:colOff>
      <xdr:row>1</xdr:row>
      <xdr:rowOff>19050</xdr:rowOff>
    </xdr:from>
    <xdr:to>
      <xdr:col>25</xdr:col>
      <xdr:colOff>411480</xdr:colOff>
      <xdr:row>16</xdr:row>
      <xdr:rowOff>19050</xdr:rowOff>
    </xdr:to>
    <xdr:graphicFrame macro="">
      <xdr:nvGraphicFramePr>
        <xdr:cNvPr id="2" name="Chart 1">
          <a:extLst>
            <a:ext uri="{FF2B5EF4-FFF2-40B4-BE49-F238E27FC236}">
              <a16:creationId xmlns:a16="http://schemas.microsoft.com/office/drawing/2014/main" id="{54EBEA03-907B-3D57-96E4-573B8E30A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31</xdr:col>
      <xdr:colOff>601980</xdr:colOff>
      <xdr:row>4</xdr:row>
      <xdr:rowOff>80010</xdr:rowOff>
    </xdr:from>
    <xdr:to>
      <xdr:col>39</xdr:col>
      <xdr:colOff>297180</xdr:colOff>
      <xdr:row>19</xdr:row>
      <xdr:rowOff>80010</xdr:rowOff>
    </xdr:to>
    <xdr:graphicFrame macro="">
      <xdr:nvGraphicFramePr>
        <xdr:cNvPr id="2" name="Chart 1">
          <a:extLst>
            <a:ext uri="{FF2B5EF4-FFF2-40B4-BE49-F238E27FC236}">
              <a16:creationId xmlns:a16="http://schemas.microsoft.com/office/drawing/2014/main" id="{4C348EAA-24D7-7974-93D5-BCBEC4856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A0CA0445-A703-67A0-CCE1-31E239F6A96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person displayName="Tim Townsend" id="{FB853D3B-A2E4-45FB-A8E9-9E4F84BA1675}" userId="9c6d68d325c65214"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R1" dT="2026-04-23T17:21:54.10" personId="{FB853D3B-A2E4-45FB-A8E9-9E4F84BA1675}" id="{FC3B9881-9EF5-4485-9225-C339AD8643E9}">
    <text>Rate evaluated at midpoint of interval (Yr 4)</text>
  </threadedComment>
  <threadedComment ref="BW1" dT="2026-04-23T17:21:54.10" personId="{FB853D3B-A2E4-45FB-A8E9-9E4F84BA1675}" id="{7ED4CB7F-7586-4C01-AF91-81A436835BC8}">
    <text>Rate evaluated at midpoint of interval (Yr 11.5)</text>
  </threadedComment>
  <threadedComment ref="FR6" dT="2026-08-24T18:35:59.49" personId="{FB853D3B-A2E4-45FB-A8E9-9E4F84BA1675}" id="{8B9FECE5-71AC-4442-88DD-77F6AF1BF789}">
    <text>Orientation-specific, too</text>
  </threadedComment>
  <threadedComment ref="N7" dT="2026-04-27T19:04:18.34" personId="{FB853D3B-A2E4-45FB-A8E9-9E4F84BA1675}" id="{CBE3FB69-B89D-48C0-BAA1-705BE51C2384}">
    <text>Based on visual module count and nameplate module W</text>
  </threadedComment>
  <threadedComment ref="G8" dT="2026-04-24T00:37:22.46" personId="{FB853D3B-A2E4-45FB-A8E9-9E4F84BA1675}" id="{F61552E2-CBE6-4482-86A6-00C5566DE89F}">
    <text>Nellis’s biggest share is 5 MW SunPower, but it also has nearly as much Suntech and 2 MW each of Sanyo HIT bifacial and Evergreen ribbon Si.</text>
  </threadedComment>
  <threadedComment ref="AA8" dT="2026-03-23T06:29:24.20" personId="{FB853D3B-A2E4-45FB-A8E9-9E4F84BA1675}" id="{50655E0E-F740-4608-83BE-DBE4E7E0535C}">
    <text>Manual override based on Wikipedia</text>
  </threadedComment>
  <threadedComment ref="AA8" dT="2026-04-06T17:52:58.61" personId="{FB853D3B-A2E4-45FB-A8E9-9E4F84BA1675}" id="{81F5FEED-0537-4B0F-A00D-A6CA20B801F4}" parentId="{50655E0E-F740-4608-83BE-DBE4E7E0535C}">
    <text>Should be 14.2x3147x0.76=33,962 (6% higher)</text>
  </threadedComment>
  <threadedComment ref="AA13" dT="2026-03-23T06:29:24.20" personId="{FB853D3B-A2E4-45FB-A8E9-9E4F84BA1675}" id="{933E5353-2F0B-48F1-9822-8EC9F430E38A}">
    <text>Manual override based on BEW IE report, with a shitty 0.68 PR expected</text>
  </threadedComment>
  <threadedComment ref="AA13" dT="2026-04-06T17:54:15.52" personId="{FB853D3B-A2E4-45FB-A8E9-9E4F84BA1675}" id="{66E8ED6B-BA92-4299-9758-FED1B85C546A}" parentId="{933E5353-2F0B-48F1-9822-8EC9F430E38A}">
    <text>Should be 1.173x1937x0.8=1,818 (17% higher)</text>
  </threadedComment>
  <threadedComment ref="E70" dT="2026-05-30T17:48:01.76" personId="{FB853D3B-A2E4-45FB-A8E9-9E4F84BA1675}" id="{D07573A9-2FE4-4ED2-AD7D-CB78EEC2AD8F}">
    <text>Inserted EPRI report data for 2009 and replaced 2010 EIA (rounded bogus?) number with EPRI number.</text>
  </threadedComment>
  <threadedComment ref="G70" dT="2026-05-29T21:57:59.09" personId="{FB853D3B-A2E4-45FB-A8E9-9E4F84BA1675}" id="{293CE725-F10F-441F-A43F-7B8885F97DED}">
    <text>26% of this is First Solar 72.5 W modules</text>
  </threadedComment>
  <threadedComment ref="J92" dT="2026-04-05T19:23:01.79" personId="{FB853D3B-A2E4-45FB-A8E9-9E4F84BA1675}" id="{81355D93-94D9-4AB3-B586-BD42900B9383}">
    <text>2-axis tracker</text>
  </threadedComment>
  <threadedComment ref="AW132" dT="2026-04-23T17:21:54.10" personId="{FB853D3B-A2E4-45FB-A8E9-9E4F84BA1675}" id="{5C9311E5-E9B4-499E-973D-4B46FB4D7BFA}">
    <text>Rate evaluated at midpoint of interval (Yr 4)</text>
  </threadedComment>
  <threadedComment ref="AW133" dT="2026-04-23T17:21:54.10" personId="{FB853D3B-A2E4-45FB-A8E9-9E4F84BA1675}" id="{9F40E9D1-4663-4ABE-8681-7A0286EBB430}">
    <text>Rate evaluated at midpoint of interval (Yr 4)</text>
  </threadedComment>
</ThreadedComments>
</file>

<file path=xl/threadedComments/threadedComment2.xml><?xml version="1.0" encoding="utf-8"?>
<ThreadedComments xmlns="http://schemas.microsoft.com/office/spreadsheetml/2018/threadedcomments" xmlns:x="http://schemas.openxmlformats.org/spreadsheetml/2006/main">
  <threadedComment ref="BR1" dT="2026-04-23T17:21:31.07" personId="{FB853D3B-A2E4-45FB-A8E9-9E4F84BA1675}" id="{581E8128-26AD-4875-84AC-1E2420B7576D}">
    <text>Rate evaluated at midpoint of interval (4 yrs)</text>
  </threadedComment>
  <threadedComment ref="BR2" dT="2026-04-23T17:21:31.07" personId="{FB853D3B-A2E4-45FB-A8E9-9E4F84BA1675}" id="{34EA8E30-8E5C-41DB-910A-212148D1AA61}">
    <text>Rate evaluated at midpoint of interval (4 yrs)</text>
  </threadedComment>
  <threadedComment ref="ED7" dT="2026-04-29T18:31:00.96" personId="{FB853D3B-A2E4-45FB-A8E9-9E4F84BA1675}" id="{1A0422F8-B1AD-40EC-92F7-17AB767BB820}">
    <text>Used Pendleton for IAV</text>
  </threadedComment>
</ThreadedComments>
</file>

<file path=xl/threadedComments/threadedComment3.xml><?xml version="1.0" encoding="utf-8"?>
<ThreadedComments xmlns="http://schemas.microsoft.com/office/spreadsheetml/2018/threadedcomments" xmlns:x="http://schemas.openxmlformats.org/spreadsheetml/2006/main">
  <threadedComment ref="J1" dT="2026-04-24T00:49:25.09" personId="{FB853D3B-A2E4-45FB-A8E9-9E4F84BA1675}" id="{0170B678-73D5-4600-95FF-2CEEDC89AB28}">
    <text>Meteonorm was used for three SoCal sites, since they’re not like LA, Long Beach, or Daggett</text>
  </threadedComment>
</ThreadedComments>
</file>

<file path=xl/threadedComments/threadedComment4.xml><?xml version="1.0" encoding="utf-8"?>
<ThreadedComments xmlns="http://schemas.microsoft.com/office/spreadsheetml/2018/threadedcomments" xmlns:x="http://schemas.openxmlformats.org/spreadsheetml/2006/main">
  <threadedComment ref="J1" dT="2026-04-24T00:49:25.09" personId="{FB853D3B-A2E4-45FB-A8E9-9E4F84BA1675}" id="{676C42F1-04F2-48B1-BD52-8B6CD46CFF76}">
    <text>Meteonorm was used for three SoCal sites, since they’re not like LA, Long Beach, or Daggett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hyperlink" Target="https://vfinal.ai/resources/plants/56875/"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0.xml"/><Relationship Id="rId4" Type="http://schemas.microsoft.com/office/2017/10/relationships/threadedComment" Target="../threadedComments/threadedComment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1.xml"/><Relationship Id="rId4" Type="http://schemas.microsoft.com/office/2017/10/relationships/threadedComment" Target="../threadedComments/threadedComment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C07EA-68C7-4441-9CF4-BC273D206F3B}">
  <dimension ref="A1:GB219"/>
  <sheetViews>
    <sheetView tabSelected="1" topLeftCell="AU1" zoomScaleNormal="100" workbookViewId="0">
      <selection activeCell="BB4" sqref="BB4"/>
    </sheetView>
  </sheetViews>
  <sheetFormatPr defaultRowHeight="14.4" x14ac:dyDescent="0.3"/>
  <cols>
    <col min="3" max="3" width="15.44140625" customWidth="1"/>
    <col min="6" max="8" width="14.5546875" customWidth="1"/>
    <col min="10" max="10" width="10" customWidth="1"/>
    <col min="12" max="12" width="9" bestFit="1" customWidth="1"/>
    <col min="13" max="13" width="10.21875" bestFit="1" customWidth="1"/>
    <col min="16" max="16" width="10.5546875" bestFit="1" customWidth="1"/>
    <col min="17" max="20" width="13.5546875" customWidth="1"/>
    <col min="21" max="21" width="9.44140625" customWidth="1"/>
    <col min="22" max="22" width="9.5546875" customWidth="1"/>
    <col min="23" max="23" width="9.6640625" customWidth="1"/>
    <col min="24" max="26" width="7.21875" customWidth="1"/>
    <col min="28" max="28" width="11" bestFit="1" customWidth="1"/>
    <col min="81" max="81" width="9.77734375" customWidth="1"/>
    <col min="84" max="84" width="9.21875" bestFit="1" customWidth="1"/>
    <col min="85" max="85" width="9.5546875" bestFit="1" customWidth="1"/>
    <col min="103" max="103" width="23" customWidth="1"/>
    <col min="156" max="156" width="10.77734375" customWidth="1"/>
    <col min="163" max="163" width="8.88671875" style="23"/>
    <col min="179" max="179" width="7.6640625" customWidth="1"/>
  </cols>
  <sheetData>
    <row r="1" spans="1:184" ht="16.2" x14ac:dyDescent="0.35">
      <c r="A1" s="36" t="s">
        <v>927</v>
      </c>
      <c r="R1" s="72">
        <f>AVERAGE(R7:R106)</f>
        <v>14.923000000000009</v>
      </c>
      <c r="X1" s="7" t="s">
        <v>979</v>
      </c>
      <c r="Y1" s="165">
        <f>MAX(Y7:Y106)</f>
        <v>9.9685064679648994E-2</v>
      </c>
      <c r="AJ1" t="s">
        <v>623</v>
      </c>
      <c r="AT1" s="75" t="s">
        <v>36</v>
      </c>
      <c r="AU1" s="76" t="s">
        <v>35</v>
      </c>
      <c r="AX1" s="1">
        <f t="array" ref="AX1:AY1">LOGEST(BB2:BQ2,BB6:BQ6)</f>
        <v>0.93171844409697702</v>
      </c>
      <c r="AY1" s="1">
        <v>0.93218689340805383</v>
      </c>
      <c r="AZ1" s="1">
        <f t="array" ref="AZ1:BA1">LOGEST(BB4:BQ4,BB6:BQ6,TRUE,FALSE)</f>
        <v>0.97183291893132884</v>
      </c>
      <c r="BA1" s="2">
        <v>1.0800084490339801</v>
      </c>
      <c r="BB1" t="s">
        <v>48</v>
      </c>
      <c r="BO1" s="11"/>
      <c r="BP1" s="11"/>
      <c r="BQ1" s="77" t="s">
        <v>657</v>
      </c>
      <c r="BR1" s="130">
        <f>BS1/(BT1+BS1*(BB6+BH6)*0.5)</f>
        <v>-8.4354824111058137E-3</v>
      </c>
      <c r="BS1" s="212" cm="1">
        <f t="array" ref="BS1:BT1">LINEST(BB4:BH4,BB6:BH6,TRUE,FALSE)</f>
        <v>-8.0109115437332276E-3</v>
      </c>
      <c r="BT1" s="213">
        <v>0.9817121006057532</v>
      </c>
      <c r="BU1" s="11"/>
      <c r="BV1" s="77" t="s">
        <v>658</v>
      </c>
      <c r="BW1" s="130">
        <f>BX1/(BY1+BX1*(BH6+BQ6)*0.5)</f>
        <v>-4.4409204985019074E-2</v>
      </c>
      <c r="BX1" s="78" cm="1">
        <f t="array" ref="BX1:BY1">LINEST(BH4:BQ4,BH6:BQ6,TRUE,FALSE)</f>
        <v>-3.5351983016939946E-2</v>
      </c>
      <c r="BY1" s="79">
        <v>1.2025986015704915</v>
      </c>
      <c r="CA1" s="42" t="s">
        <v>180</v>
      </c>
      <c r="CB1" s="43">
        <f>MIN($CB$7:$CB$106)</f>
        <v>0.34604067474432193</v>
      </c>
      <c r="CC1" s="44" t="s">
        <v>181</v>
      </c>
      <c r="CD1" s="45">
        <f>$CB$111</f>
        <v>0.83956393094067594</v>
      </c>
      <c r="CF1" s="111">
        <f>CG1/(CH1+CG1*(16+1)/2)</f>
        <v>-2.6808155149413582E-2</v>
      </c>
      <c r="CG1" s="112">
        <f t="array" ref="CG1:CH1">LINEST($BB$4:$BQ$4,$BB$6:$BQ$6)</f>
        <v>-2.2941746892940276E-2</v>
      </c>
      <c r="CH1" s="112">
        <v>1.0507797709998292</v>
      </c>
      <c r="CI1" s="73" t="s">
        <v>671</v>
      </c>
      <c r="CJ1" s="73"/>
      <c r="CK1" s="73"/>
      <c r="CL1" s="73"/>
      <c r="CM1" s="34"/>
      <c r="CO1" t="s">
        <v>951</v>
      </c>
      <c r="ED1" t="s">
        <v>804</v>
      </c>
      <c r="EE1" t="s">
        <v>804</v>
      </c>
      <c r="EF1" t="s">
        <v>804</v>
      </c>
      <c r="EG1" t="s">
        <v>804</v>
      </c>
      <c r="FG1"/>
      <c r="FR1" s="59">
        <f>MAX(FR7:FR106)</f>
        <v>5.0999999999999997E-2</v>
      </c>
    </row>
    <row r="2" spans="1:184" ht="16.2" x14ac:dyDescent="0.35">
      <c r="A2" s="125" t="s">
        <v>618</v>
      </c>
      <c r="B2" s="126" t="s">
        <v>619</v>
      </c>
      <c r="C2" s="127" t="s">
        <v>620</v>
      </c>
      <c r="N2" s="26" t="s">
        <v>5</v>
      </c>
      <c r="O2" s="27">
        <f>SUM(N$7:N$106)</f>
        <v>639.94948399999987</v>
      </c>
      <c r="Q2" s="26" t="s">
        <v>611</v>
      </c>
      <c r="R2" s="34"/>
      <c r="S2" s="215"/>
      <c r="T2" s="122"/>
      <c r="U2" s="122"/>
      <c r="V2" s="122"/>
      <c r="W2" s="122"/>
      <c r="X2" s="208" t="s">
        <v>916</v>
      </c>
      <c r="Y2" s="58">
        <f>AVERAGE(Y7:Y106)</f>
        <v>1.244898272745841E-2</v>
      </c>
      <c r="Z2" s="210">
        <f>AVERAGE(Z7:Z106)</f>
        <v>0.88237321305871019</v>
      </c>
      <c r="AA2" s="73"/>
      <c r="AB2" s="11" t="s">
        <v>173</v>
      </c>
      <c r="AC2" s="40" t="s">
        <v>170</v>
      </c>
      <c r="AD2" s="40" t="s">
        <v>622</v>
      </c>
      <c r="AF2" s="42" t="s">
        <v>174</v>
      </c>
      <c r="AG2" s="112">
        <f>MIN($N$7:$N$106)</f>
        <v>0.2576</v>
      </c>
      <c r="AH2" s="34" t="s">
        <v>5</v>
      </c>
      <c r="AJ2" s="42" t="s">
        <v>24</v>
      </c>
      <c r="AK2" s="52">
        <f>COUNTIF($K$7:$K$106,AJ2)/100</f>
        <v>0.3</v>
      </c>
      <c r="AL2" s="44" t="s">
        <v>86</v>
      </c>
      <c r="AM2" s="52">
        <f>COUNTIF($K$7:$K$106,AL2)/100</f>
        <v>7.0000000000000007E-2</v>
      </c>
      <c r="AN2" s="44" t="s">
        <v>109</v>
      </c>
      <c r="AO2" s="52">
        <f>COUNTIF($K$7:$K106,AN2)/100</f>
        <v>0.04</v>
      </c>
      <c r="AP2" s="44" t="s">
        <v>64</v>
      </c>
      <c r="AQ2" s="74">
        <f>COUNTIF($K$7:$K$106,AP2)/100</f>
        <v>0.03</v>
      </c>
      <c r="AR2" s="7"/>
      <c r="AS2" s="38"/>
      <c r="AT2" s="26" t="s">
        <v>189</v>
      </c>
      <c r="AU2" s="34" t="s">
        <v>189</v>
      </c>
      <c r="AW2" s="11"/>
      <c r="AX2" s="39"/>
      <c r="AY2" s="77" t="s">
        <v>647</v>
      </c>
      <c r="AZ2" s="91">
        <f>AX1-1</f>
        <v>-6.8281555903022984E-2</v>
      </c>
      <c r="BA2" s="2" t="s">
        <v>993</v>
      </c>
      <c r="BB2" s="2">
        <f>BB3-1.28*BB5</f>
        <v>0.75089982994610061</v>
      </c>
      <c r="BC2" s="2">
        <f t="shared" ref="BC2:BR2" si="0">BC3-1.28*BC5</f>
        <v>0.69731657041896011</v>
      </c>
      <c r="BD2" s="2">
        <f t="shared" si="0"/>
        <v>0.67702937701064758</v>
      </c>
      <c r="BE2" s="2">
        <f t="shared" si="0"/>
        <v>0.69665630738710349</v>
      </c>
      <c r="BF2" s="2">
        <f t="shared" si="0"/>
        <v>0.6757682994044617</v>
      </c>
      <c r="BG2" s="2">
        <f t="shared" si="0"/>
        <v>0.67349319544597153</v>
      </c>
      <c r="BH2" s="2">
        <f t="shared" si="0"/>
        <v>0.6987243105368437</v>
      </c>
      <c r="BI2" s="2">
        <f t="shared" si="0"/>
        <v>0.57219693528298488</v>
      </c>
      <c r="BJ2" s="2">
        <f t="shared" si="0"/>
        <v>0.49377774688560766</v>
      </c>
      <c r="BK2" s="2">
        <f t="shared" si="0"/>
        <v>0.50667682262689961</v>
      </c>
      <c r="BL2" s="2">
        <f t="shared" si="0"/>
        <v>0.54405795730211437</v>
      </c>
      <c r="BM2" s="2">
        <f t="shared" si="0"/>
        <v>0.48452895719234063</v>
      </c>
      <c r="BN2" s="2">
        <f t="shared" si="0"/>
        <v>0.43411526807861434</v>
      </c>
      <c r="BO2" s="2">
        <f t="shared" si="0"/>
        <v>0.22955766805195427</v>
      </c>
      <c r="BP2" s="2">
        <f t="shared" si="0"/>
        <v>0.24583535712504645</v>
      </c>
      <c r="BQ2" s="2">
        <f t="shared" si="0"/>
        <v>0.29769870360831013</v>
      </c>
      <c r="BR2" s="2">
        <f t="shared" si="0"/>
        <v>0.30270090274820255</v>
      </c>
      <c r="BS2" s="104"/>
      <c r="BT2" s="104"/>
      <c r="BU2" s="2"/>
      <c r="BV2" s="2"/>
      <c r="BX2" s="1"/>
      <c r="BY2" s="3">
        <f>COUNTIF(BB7:BX106,1.15)</f>
        <v>12</v>
      </c>
      <c r="CA2" s="46" t="s">
        <v>182</v>
      </c>
      <c r="CB2" s="47">
        <f>MEDIAN($CB$7:$CB$106)</f>
        <v>0.86694532997956797</v>
      </c>
      <c r="CC2" t="s">
        <v>536</v>
      </c>
      <c r="CD2" s="48">
        <f>CD1-1.28*$CB$112</f>
        <v>0.66013329764669015</v>
      </c>
      <c r="CF2" s="134">
        <f>CG2/(CH2+CG2*(16+1)/2)</f>
        <v>-5.8999957385686093E-2</v>
      </c>
      <c r="CG2" s="97">
        <f t="array" ref="CG2:CH2">LINEST($BB$113:$BQ$113,$BB$6:$BQ$6)</f>
        <v>-3.3876166167615816E-2</v>
      </c>
      <c r="CH2" s="97">
        <v>0.86212013506189467</v>
      </c>
      <c r="CI2" s="33" t="s">
        <v>670</v>
      </c>
      <c r="CJ2" s="33"/>
      <c r="CK2" s="33"/>
      <c r="CL2" s="33"/>
      <c r="CM2" s="35"/>
      <c r="CO2" t="s">
        <v>952</v>
      </c>
      <c r="DG2" t="s">
        <v>947</v>
      </c>
      <c r="DH2" s="107">
        <f>COUNTIF($DD$7:$DD$106,2)</f>
        <v>5</v>
      </c>
      <c r="ED2" t="s">
        <v>839</v>
      </c>
      <c r="EE2" t="s">
        <v>839</v>
      </c>
      <c r="EF2" t="s">
        <v>839</v>
      </c>
      <c r="EG2" t="s">
        <v>839</v>
      </c>
      <c r="EI2" t="s">
        <v>805</v>
      </c>
      <c r="EJ2" t="s">
        <v>805</v>
      </c>
      <c r="FG2"/>
      <c r="FQ2" s="51" t="s">
        <v>152</v>
      </c>
      <c r="FR2" s="51" t="s">
        <v>152</v>
      </c>
      <c r="FS2" s="51" t="s">
        <v>152</v>
      </c>
      <c r="FV2" t="s">
        <v>152</v>
      </c>
      <c r="FW2" t="s">
        <v>152</v>
      </c>
    </row>
    <row r="3" spans="1:184" ht="15.6" x14ac:dyDescent="0.35">
      <c r="B3" s="7" t="s">
        <v>615</v>
      </c>
      <c r="C3" s="8" t="s">
        <v>35</v>
      </c>
      <c r="D3" s="9">
        <v>0.8</v>
      </c>
      <c r="F3" s="26" t="s">
        <v>672</v>
      </c>
      <c r="G3" s="73"/>
      <c r="H3" s="135">
        <f>$BR$1</f>
        <v>-8.4354824111058137E-3</v>
      </c>
      <c r="J3" s="26" t="s">
        <v>662</v>
      </c>
      <c r="K3" s="123">
        <v>5.0000000000000001E-3</v>
      </c>
      <c r="N3" s="28" t="s">
        <v>165</v>
      </c>
      <c r="O3" s="29">
        <f>SUM(O$7:O$106)</f>
        <v>543.70600000000013</v>
      </c>
      <c r="P3" s="3">
        <f>MEDIAN(P7:P106)</f>
        <v>1980.568125</v>
      </c>
      <c r="Q3" s="88">
        <f>SUM(AB7:AX106)</f>
        <v>13660673.449999999</v>
      </c>
      <c r="R3" s="23" t="s">
        <v>167</v>
      </c>
      <c r="S3" s="3">
        <f>MEDIAN(S7:S106)</f>
        <v>41.413314999999997</v>
      </c>
      <c r="T3" s="3" t="s">
        <v>883</v>
      </c>
      <c r="U3" s="3"/>
      <c r="V3" s="3"/>
      <c r="W3" s="3"/>
      <c r="X3" s="209" t="s">
        <v>577</v>
      </c>
      <c r="Y3" s="58">
        <f>MEDIAN(Y7:Y106)</f>
        <v>0</v>
      </c>
      <c r="Z3" s="4">
        <f>MEDIAN(Z7:Z106)</f>
        <v>1</v>
      </c>
      <c r="AB3" s="117">
        <f>SUM(AB7:AX106)</f>
        <v>13660673.449999999</v>
      </c>
      <c r="AD3" s="41">
        <f>AB3/AB4</f>
        <v>0.8888223449082947</v>
      </c>
      <c r="AF3" s="46" t="s">
        <v>175</v>
      </c>
      <c r="AG3" s="72">
        <f>AVERAGE($N$7:$N$106)</f>
        <v>6.3994948399999991</v>
      </c>
      <c r="AH3" s="23" t="s">
        <v>5</v>
      </c>
      <c r="AJ3" s="46" t="s">
        <v>52</v>
      </c>
      <c r="AK3" s="38">
        <f>COUNTIF($K$7:$K$106,AJ3)/100</f>
        <v>0.16</v>
      </c>
      <c r="AL3" s="7" t="s">
        <v>83</v>
      </c>
      <c r="AM3" s="38">
        <f>COUNTIF($K$7:$K$106,AL3)/100</f>
        <v>0.06</v>
      </c>
      <c r="AN3" s="7" t="s">
        <v>144</v>
      </c>
      <c r="AO3" s="38">
        <f>COUNTIF($K$7:$K106,AN3)/100</f>
        <v>0.04</v>
      </c>
      <c r="AP3" s="7" t="s">
        <v>73</v>
      </c>
      <c r="AQ3" s="86">
        <f>COUNTIF($K$7:$K$106,AP3)/100</f>
        <v>0.02</v>
      </c>
      <c r="AR3" s="7"/>
      <c r="AS3" s="38"/>
      <c r="AT3" s="55">
        <f>COUNTIF($I$7:$I$106,"Tracker")/100</f>
        <v>0.34</v>
      </c>
      <c r="AU3" s="56">
        <f>COUNTIF($I$7:$I$106,"Fixed")/100</f>
        <v>0.66</v>
      </c>
      <c r="BA3" t="s">
        <v>79</v>
      </c>
      <c r="BB3" s="2">
        <f>AVERAGE(BB$7:BB$106)</f>
        <v>0.92771301862907407</v>
      </c>
      <c r="BC3" s="2">
        <f t="shared" ref="BC3:BX3" si="1">AVERAGE(BC$7:BC$106)</f>
        <v>0.92596862691297677</v>
      </c>
      <c r="BD3" s="2">
        <f t="shared" si="1"/>
        <v>0.91478066968432925</v>
      </c>
      <c r="BE3" s="2">
        <f t="shared" si="1"/>
        <v>0.91661907868239989</v>
      </c>
      <c r="BF3" s="2">
        <f t="shared" si="1"/>
        <v>0.8989912366177123</v>
      </c>
      <c r="BG3" s="2">
        <f t="shared" si="1"/>
        <v>0.8964348931567605</v>
      </c>
      <c r="BH3" s="2">
        <f t="shared" si="1"/>
        <v>0.88432380146095879</v>
      </c>
      <c r="BI3" s="2">
        <f t="shared" si="1"/>
        <v>0.84734173304863292</v>
      </c>
      <c r="BJ3" s="2">
        <f t="shared" si="1"/>
        <v>0.79692822075075209</v>
      </c>
      <c r="BK3" s="2">
        <f t="shared" si="1"/>
        <v>0.8024079802684122</v>
      </c>
      <c r="BL3" s="2">
        <f t="shared" si="1"/>
        <v>0.80928011598705807</v>
      </c>
      <c r="BM3" s="2">
        <f t="shared" si="1"/>
        <v>0.78374130917479179</v>
      </c>
      <c r="BN3" s="2">
        <f t="shared" si="1"/>
        <v>0.74603805357864972</v>
      </c>
      <c r="BO3" s="2">
        <f t="shared" si="1"/>
        <v>0.63830331033231813</v>
      </c>
      <c r="BP3" s="2">
        <f t="shared" si="1"/>
        <v>0.59367819783142783</v>
      </c>
      <c r="BQ3" s="2">
        <f t="shared" si="1"/>
        <v>0.5878668967647197</v>
      </c>
      <c r="BR3" s="2">
        <f t="shared" si="1"/>
        <v>0.69979655359933868</v>
      </c>
      <c r="BS3" s="2">
        <f t="shared" si="1"/>
        <v>0</v>
      </c>
      <c r="BT3" s="2">
        <f t="shared" si="1"/>
        <v>0</v>
      </c>
      <c r="BU3" s="2">
        <f t="shared" si="1"/>
        <v>0</v>
      </c>
      <c r="BV3" s="2">
        <f t="shared" si="1"/>
        <v>0</v>
      </c>
      <c r="BW3" s="2">
        <f t="shared" si="1"/>
        <v>4.3063836069786303E-2</v>
      </c>
      <c r="BX3" s="2">
        <f t="shared" si="1"/>
        <v>0.16281613062996497</v>
      </c>
      <c r="CA3" s="49" t="s">
        <v>183</v>
      </c>
      <c r="CB3" s="50">
        <f>MAX($CB$7:$CB$106)</f>
        <v>1.0451530490491237</v>
      </c>
      <c r="CC3" s="33" t="s">
        <v>533</v>
      </c>
      <c r="CD3" s="83">
        <f>VLOOKUP(MATCH(90,$CC$7:$CC$106,0),$BY$7:$CB$106,4)</f>
        <v>0.6844742218646962</v>
      </c>
      <c r="CE3" s="59">
        <f>MEDIAN(CE7:CE106)</f>
        <v>-2.3304756373798266E-2</v>
      </c>
      <c r="CH3" s="1">
        <f>MAX(CH7:CH106)</f>
        <v>1.043835816011929</v>
      </c>
      <c r="CO3" t="s">
        <v>953</v>
      </c>
      <c r="DD3">
        <f>MODE($DD$7:$DD$106)</f>
        <v>1</v>
      </c>
      <c r="DE3" t="s">
        <v>591</v>
      </c>
      <c r="DG3" t="s">
        <v>946</v>
      </c>
      <c r="DH3" s="107">
        <f>COUNTIF($DD$7:$DD$106,1)</f>
        <v>68</v>
      </c>
      <c r="EA3" s="7" t="s">
        <v>775</v>
      </c>
      <c r="EB3" s="2">
        <f>MEDIAN(EB7:EB106)</f>
        <v>0.93316367291242519</v>
      </c>
      <c r="ED3">
        <f>COUNT(ED7:ED106)</f>
        <v>12</v>
      </c>
      <c r="EE3">
        <f>COUNT(EE7:EE106)</f>
        <v>12</v>
      </c>
      <c r="EF3">
        <f>COUNT(EF7:EF106)</f>
        <v>47</v>
      </c>
      <c r="EG3">
        <f>COUNT(EG7:EG106)</f>
        <v>47</v>
      </c>
      <c r="EI3">
        <f>COUNT(EI7:EI106)</f>
        <v>12</v>
      </c>
      <c r="EJ3">
        <f>COUNT(EJ7:EJ106)</f>
        <v>47</v>
      </c>
      <c r="EN3" s="51" t="s">
        <v>900</v>
      </c>
      <c r="EQ3" s="51" t="s">
        <v>900</v>
      </c>
      <c r="FG3"/>
      <c r="FQ3" s="161">
        <f>MEDIAN(FQ7:FQ106)</f>
        <v>0.10423530586782294</v>
      </c>
      <c r="FR3" s="59">
        <f>MEDIAN(FR7:FR106)</f>
        <v>0.03</v>
      </c>
      <c r="FS3" s="161">
        <f>MEDIAN(FS7:FS106)</f>
        <v>0.28957092872910128</v>
      </c>
      <c r="FV3" s="161">
        <f>MEDIAN(FV7:FV106)</f>
        <v>5.0538705004051068E-2</v>
      </c>
      <c r="FW3" s="161">
        <f>MEDIAN(FW7:FW106)</f>
        <v>0.59485630485119012</v>
      </c>
    </row>
    <row r="4" spans="1:184" ht="15.6" x14ac:dyDescent="0.3">
      <c r="B4" s="7" t="s">
        <v>616</v>
      </c>
      <c r="C4" s="8" t="s">
        <v>36</v>
      </c>
      <c r="D4" s="9">
        <v>0.76</v>
      </c>
      <c r="F4" s="30" t="s">
        <v>673</v>
      </c>
      <c r="G4" s="33"/>
      <c r="H4" s="136">
        <f>$BW$1</f>
        <v>-4.4409204985019074E-2</v>
      </c>
      <c r="J4" s="8" t="s">
        <v>613</v>
      </c>
      <c r="K4" s="229">
        <f>$CB$2</f>
        <v>0.86694532997956797</v>
      </c>
      <c r="L4" s="124" t="s">
        <v>614</v>
      </c>
      <c r="N4" s="30" t="s">
        <v>166</v>
      </c>
      <c r="O4" s="22">
        <f>O2/O3</f>
        <v>1.1770138346827141</v>
      </c>
      <c r="P4" s="4">
        <f>STDEV(P7:P106)/P5</f>
        <v>0.22513168326705893</v>
      </c>
      <c r="Q4" s="88">
        <f>SUM(BZ7:BZ106)</f>
        <v>14873745.845274163</v>
      </c>
      <c r="R4" s="23" t="s">
        <v>168</v>
      </c>
      <c r="S4" s="72">
        <f>AVERAGE(S7:S106)</f>
        <v>41.449578002982236</v>
      </c>
      <c r="T4" s="3" t="s">
        <v>926</v>
      </c>
      <c r="U4" s="214">
        <f>STDEV(S7:S106)</f>
        <v>6.441816718942686</v>
      </c>
      <c r="V4" s="128"/>
      <c r="W4" s="128"/>
      <c r="X4" s="158">
        <f>AVERAGE(X7:X106)</f>
        <v>0.37189761954615463</v>
      </c>
      <c r="Y4" s="128" t="s">
        <v>695</v>
      </c>
      <c r="Z4" s="128" t="s">
        <v>698</v>
      </c>
      <c r="AB4" s="118">
        <f>SUMPRODUCT(AA7:AA106,AY7:AY106)</f>
        <v>15369408.215552295</v>
      </c>
      <c r="AC4" s="37">
        <f>$BZ$110</f>
        <v>14873745.845274163</v>
      </c>
      <c r="AD4" s="113">
        <f>AB3/AC4</f>
        <v>0.91844203821328618</v>
      </c>
      <c r="AF4" s="49" t="s">
        <v>176</v>
      </c>
      <c r="AG4" s="71">
        <f>MAX($N$7:$N$106)</f>
        <v>60.5</v>
      </c>
      <c r="AH4" s="35" t="s">
        <v>5</v>
      </c>
      <c r="AJ4" s="49" t="s">
        <v>51</v>
      </c>
      <c r="AK4" s="53">
        <f>COUNTIF($K$7:$K$106,AJ4)/100</f>
        <v>0.08</v>
      </c>
      <c r="AL4" s="54" t="s">
        <v>23</v>
      </c>
      <c r="AM4" s="53">
        <f>COUNTIF($K$7:$K$106,AL4)/100</f>
        <v>0.06</v>
      </c>
      <c r="AN4" s="54" t="s">
        <v>47</v>
      </c>
      <c r="AO4" s="53">
        <f>COUNTIF($K$7:$K106,AN4)/100</f>
        <v>0.04</v>
      </c>
      <c r="AP4" s="54" t="s">
        <v>138</v>
      </c>
      <c r="AQ4" s="87">
        <f>COUNTIF($K$7:$K$106,AP4)/100</f>
        <v>0.02</v>
      </c>
      <c r="AR4" s="7"/>
      <c r="AS4" s="38"/>
      <c r="AT4" s="19">
        <f>AVERAGEIF($CD$7:$CD$106,"Tracker",$CB$7:$CB$106)</f>
        <v>0.83273937003182219</v>
      </c>
      <c r="AU4" s="20">
        <f>AVERAGEIF($CD$7:$CD$106,"Fixed",$CB$7:$CB$106)</f>
        <v>0.84307961383311492</v>
      </c>
      <c r="AW4" s="11"/>
      <c r="AX4" s="39"/>
      <c r="AY4" s="77" t="s">
        <v>648</v>
      </c>
      <c r="AZ4" s="91">
        <f>AZ1-1</f>
        <v>-2.8167081068671163E-2</v>
      </c>
      <c r="BA4" t="s">
        <v>948</v>
      </c>
      <c r="BB4" s="2">
        <f>MEDIAN(BB$7:BB$106)</f>
        <v>0.95554712194250835</v>
      </c>
      <c r="BC4" s="2">
        <f t="shared" ref="BC4:BX4" si="2">MEDIAN(BC$7:BC$106)</f>
        <v>0.97496458936143615</v>
      </c>
      <c r="BD4" s="2">
        <f t="shared" si="2"/>
        <v>0.96635513652726979</v>
      </c>
      <c r="BE4" s="2">
        <f t="shared" si="2"/>
        <v>0.95478358485236026</v>
      </c>
      <c r="BF4" s="2">
        <f t="shared" si="2"/>
        <v>0.94922573002637167</v>
      </c>
      <c r="BG4" s="2">
        <f t="shared" si="2"/>
        <v>0.93101462709062177</v>
      </c>
      <c r="BH4" s="2">
        <f t="shared" si="2"/>
        <v>0.91578839121517386</v>
      </c>
      <c r="BI4" s="2">
        <f t="shared" si="2"/>
        <v>0.90286708465950716</v>
      </c>
      <c r="BJ4" s="2">
        <f t="shared" si="2"/>
        <v>0.87483963711486967</v>
      </c>
      <c r="BK4" s="2">
        <f t="shared" si="2"/>
        <v>0.86402869952718864</v>
      </c>
      <c r="BL4" s="2">
        <f t="shared" si="2"/>
        <v>0.85965253259434671</v>
      </c>
      <c r="BM4" s="2">
        <f t="shared" si="2"/>
        <v>0.816865598966382</v>
      </c>
      <c r="BN4" s="2">
        <f t="shared" si="2"/>
        <v>0.77423984096966758</v>
      </c>
      <c r="BO4" s="2">
        <f t="shared" si="2"/>
        <v>0.73064362057356824</v>
      </c>
      <c r="BP4" s="2">
        <f t="shared" si="2"/>
        <v>0.61601078022999289</v>
      </c>
      <c r="BQ4" s="2">
        <f t="shared" si="2"/>
        <v>0.60557178290612312</v>
      </c>
      <c r="BR4" s="2">
        <f t="shared" si="2"/>
        <v>0.76001879673954753</v>
      </c>
      <c r="BS4" s="2">
        <f t="shared" si="2"/>
        <v>0</v>
      </c>
      <c r="BT4" s="2">
        <f t="shared" si="2"/>
        <v>0</v>
      </c>
      <c r="BU4" s="2">
        <f t="shared" si="2"/>
        <v>0</v>
      </c>
      <c r="BV4" s="2">
        <f t="shared" si="2"/>
        <v>0</v>
      </c>
      <c r="BW4" s="2">
        <f t="shared" si="2"/>
        <v>4.3063836069786303E-2</v>
      </c>
      <c r="BX4" s="2">
        <f t="shared" si="2"/>
        <v>0.16281613062996497</v>
      </c>
      <c r="BZ4" t="s">
        <v>171</v>
      </c>
      <c r="CH4" s="1">
        <f>MIN(CH7:CH106)</f>
        <v>0.94582881201192892</v>
      </c>
      <c r="CO4" t="s">
        <v>606</v>
      </c>
      <c r="CT4" t="s">
        <v>540</v>
      </c>
      <c r="CY4" t="s">
        <v>543</v>
      </c>
      <c r="DB4" s="7" t="s">
        <v>576</v>
      </c>
      <c r="DC4" s="2">
        <f>AVERAGE(DC7:DC106)</f>
        <v>1.1634731708052519</v>
      </c>
      <c r="DD4" t="s">
        <v>649</v>
      </c>
      <c r="DH4" s="107"/>
      <c r="DJ4" t="s">
        <v>624</v>
      </c>
      <c r="DP4" t="s">
        <v>633</v>
      </c>
      <c r="EA4" s="7" t="s">
        <v>795</v>
      </c>
      <c r="EB4" s="2">
        <f>STDEV(EB7:EB106)</f>
        <v>0.11293641391614484</v>
      </c>
      <c r="ED4" t="s">
        <v>802</v>
      </c>
      <c r="EE4" t="s">
        <v>803</v>
      </c>
      <c r="EF4" t="s">
        <v>802</v>
      </c>
      <c r="EG4" t="s">
        <v>803</v>
      </c>
      <c r="EI4" t="s">
        <v>802</v>
      </c>
      <c r="EJ4" t="s">
        <v>802</v>
      </c>
      <c r="EN4" s="110">
        <f>MEDIAN(EN7:EN106)</f>
        <v>-1.1206468130746737E-2</v>
      </c>
      <c r="EQ4" s="110">
        <f>MEDIAN(EQ7:EQ106)</f>
        <v>-3.0461871898139661E-2</v>
      </c>
      <c r="ES4" t="s">
        <v>834</v>
      </c>
      <c r="FG4"/>
      <c r="FR4" s="51" t="s">
        <v>985</v>
      </c>
    </row>
    <row r="5" spans="1:184" x14ac:dyDescent="0.3">
      <c r="D5">
        <f>MODE(D7:D106)</f>
        <v>2011</v>
      </c>
      <c r="E5">
        <f>COUNTIF(D7:D106,D5)</f>
        <v>34</v>
      </c>
      <c r="J5" s="8" t="s">
        <v>939</v>
      </c>
      <c r="K5" s="229">
        <f>$EB$3</f>
        <v>0.93316367291242519</v>
      </c>
      <c r="L5" s="124" t="s">
        <v>614</v>
      </c>
      <c r="N5" s="72">
        <f>MEDIAN(N7:N106)</f>
        <v>2.2000000000000002</v>
      </c>
      <c r="P5" s="3">
        <f>AVERAGE(P7:P106)</f>
        <v>2071.9341639846916</v>
      </c>
      <c r="Q5" s="119">
        <f>Q3/Q4</f>
        <v>0.91844203821328618</v>
      </c>
      <c r="R5" s="120" t="s">
        <v>612</v>
      </c>
      <c r="S5" s="38" t="s">
        <v>925</v>
      </c>
      <c r="T5" s="128" t="s">
        <v>607</v>
      </c>
      <c r="U5" s="128"/>
      <c r="V5" s="128"/>
      <c r="W5" s="128"/>
      <c r="X5" s="158">
        <f>MEDIAN(X7:X106)</f>
        <v>0.36578657865786579</v>
      </c>
      <c r="Y5" s="128" t="s">
        <v>696</v>
      </c>
      <c r="Z5" s="128" t="s">
        <v>697</v>
      </c>
      <c r="AB5" t="s">
        <v>169</v>
      </c>
      <c r="AT5" s="57">
        <f>AVERAGEIF($CD$7:$CD$106,"Tracker",$N$7:$N$106)</f>
        <v>6.7108852941176469</v>
      </c>
      <c r="AU5" s="31">
        <f>AVERAGEIF($CD$7:$CD$106,"Fixed",$N$7:$N$106)</f>
        <v>6.2390815757575755</v>
      </c>
      <c r="AY5" s="51" t="s">
        <v>762</v>
      </c>
      <c r="AZ5" s="51" t="s">
        <v>958</v>
      </c>
      <c r="BA5" t="s">
        <v>80</v>
      </c>
      <c r="BB5" s="2">
        <f>STDEV(BB$7:BB$106)</f>
        <v>0.13813530365857299</v>
      </c>
      <c r="BC5" s="2">
        <f t="shared" ref="BC5:BR5" si="3">STDEV(BC$7:BC$106)</f>
        <v>0.17863441913595046</v>
      </c>
      <c r="BD5" s="2">
        <f t="shared" si="3"/>
        <v>0.18574319740131381</v>
      </c>
      <c r="BE5" s="2">
        <f t="shared" si="3"/>
        <v>0.17184591507445035</v>
      </c>
      <c r="BF5" s="2">
        <f t="shared" si="3"/>
        <v>0.17439291969785201</v>
      </c>
      <c r="BG5" s="2">
        <f t="shared" si="3"/>
        <v>0.17417320133655384</v>
      </c>
      <c r="BH5" s="2">
        <f t="shared" si="3"/>
        <v>0.14499960228446493</v>
      </c>
      <c r="BI5" s="2">
        <f t="shared" si="3"/>
        <v>0.21495687325441254</v>
      </c>
      <c r="BJ5" s="2">
        <f t="shared" si="3"/>
        <v>0.23683630770714406</v>
      </c>
      <c r="BK5" s="2">
        <f t="shared" si="3"/>
        <v>0.2310399669074317</v>
      </c>
      <c r="BL5" s="2">
        <f t="shared" si="3"/>
        <v>0.20720481147261227</v>
      </c>
      <c r="BM5" s="2">
        <f t="shared" si="3"/>
        <v>0.23375964998628998</v>
      </c>
      <c r="BN5" s="2">
        <f t="shared" si="3"/>
        <v>0.24368967617190262</v>
      </c>
      <c r="BO5" s="2">
        <f t="shared" si="3"/>
        <v>0.31933253303153425</v>
      </c>
      <c r="BP5" s="2">
        <f t="shared" si="3"/>
        <v>0.27175221930186044</v>
      </c>
      <c r="BQ5" s="2">
        <f t="shared" si="3"/>
        <v>0.22669390090344499</v>
      </c>
      <c r="BR5" s="2">
        <f t="shared" si="3"/>
        <v>0.31023097722745008</v>
      </c>
      <c r="BS5" s="2"/>
      <c r="BT5" s="2"/>
      <c r="BU5" s="2"/>
      <c r="BV5" s="2"/>
      <c r="BW5" s="2"/>
      <c r="BX5" s="2"/>
      <c r="BZ5" t="s">
        <v>172</v>
      </c>
      <c r="CH5" t="s">
        <v>961</v>
      </c>
      <c r="CI5" t="s">
        <v>193</v>
      </c>
      <c r="CO5" t="s">
        <v>582</v>
      </c>
      <c r="CY5" t="s">
        <v>820</v>
      </c>
      <c r="DB5" s="7" t="s">
        <v>577</v>
      </c>
      <c r="DC5" s="2">
        <f>MEDIAN(DC7:DC31)</f>
        <v>1.125</v>
      </c>
      <c r="DD5">
        <f>AVERAGE($DD$7:$DD$106)</f>
        <v>0.96</v>
      </c>
      <c r="DE5" s="72">
        <f>AVERAGE(DE7:DE106)</f>
        <v>15.41</v>
      </c>
      <c r="DF5">
        <f>MIN($DD$7:$DD$106)</f>
        <v>0</v>
      </c>
      <c r="DG5" t="s">
        <v>943</v>
      </c>
      <c r="DH5" s="107">
        <f>COUNTIF($DD$7:$DD$106,$DF$5)</f>
        <v>21</v>
      </c>
      <c r="DP5" t="s">
        <v>650</v>
      </c>
      <c r="DT5" t="s">
        <v>178</v>
      </c>
      <c r="DU5" t="s">
        <v>177</v>
      </c>
      <c r="DV5" t="s">
        <v>177</v>
      </c>
      <c r="DW5" t="s">
        <v>177</v>
      </c>
      <c r="DX5" t="s">
        <v>177</v>
      </c>
      <c r="DY5" t="s">
        <v>177</v>
      </c>
      <c r="DZ5" t="s">
        <v>177</v>
      </c>
      <c r="EA5" t="s">
        <v>177</v>
      </c>
      <c r="EB5" t="s">
        <v>774</v>
      </c>
      <c r="ED5" s="2">
        <f>MEDIAN(ED7:ED106)</f>
        <v>0.74187241492709499</v>
      </c>
      <c r="EE5" s="58">
        <f>MEDIAN(EE7:EE106)</f>
        <v>-5.5655573798330547E-2</v>
      </c>
      <c r="EF5" s="2">
        <f>MEDIAN(EF7:EF106)</f>
        <v>0.86925867059040318</v>
      </c>
      <c r="EG5" s="58">
        <f>MEDIAN(EG7:EG106)</f>
        <v>-1.719462346747971E-2</v>
      </c>
      <c r="EI5" s="2">
        <f>MEDIAN(EI7:EI106)</f>
        <v>0.89926888294459129</v>
      </c>
      <c r="EJ5" s="2">
        <f>MEDIAN(EJ7:EJ106)</f>
        <v>0.92412485782014075</v>
      </c>
      <c r="EK5" s="2"/>
      <c r="EL5" s="2" t="s">
        <v>838</v>
      </c>
      <c r="EM5" s="2"/>
      <c r="EN5" s="47" t="s">
        <v>877</v>
      </c>
      <c r="EO5" s="2" t="s">
        <v>837</v>
      </c>
      <c r="EP5" s="2"/>
      <c r="EQ5" s="47" t="s">
        <v>907</v>
      </c>
      <c r="ES5" t="s">
        <v>821</v>
      </c>
      <c r="FG5"/>
      <c r="FR5" s="59">
        <f>AVERAGE(FR7:FR106)</f>
        <v>3.1379999999999984E-2</v>
      </c>
      <c r="FS5">
        <f>COUNTIF($FS$7:$FS$106,"&gt;0.8")</f>
        <v>12</v>
      </c>
      <c r="FT5" t="s">
        <v>990</v>
      </c>
      <c r="FV5" t="s">
        <v>869</v>
      </c>
    </row>
    <row r="6" spans="1:184" s="10" customFormat="1" ht="15" thickBot="1" x14ac:dyDescent="0.35">
      <c r="A6" s="10" t="s">
        <v>68</v>
      </c>
      <c r="B6" s="10" t="s">
        <v>0</v>
      </c>
      <c r="C6" s="10" t="s">
        <v>1</v>
      </c>
      <c r="D6" s="10" t="s">
        <v>544</v>
      </c>
      <c r="E6" s="10" t="s">
        <v>545</v>
      </c>
      <c r="F6" s="10" t="s">
        <v>548</v>
      </c>
      <c r="G6" s="61" t="s">
        <v>632</v>
      </c>
      <c r="H6" s="61" t="s">
        <v>643</v>
      </c>
      <c r="I6" s="10" t="s">
        <v>34</v>
      </c>
      <c r="J6" s="10" t="s">
        <v>61</v>
      </c>
      <c r="K6" s="10" t="s">
        <v>2</v>
      </c>
      <c r="L6" s="10" t="s">
        <v>3</v>
      </c>
      <c r="M6" s="10" t="s">
        <v>4</v>
      </c>
      <c r="N6" s="10" t="s">
        <v>5</v>
      </c>
      <c r="O6" s="10" t="s">
        <v>6</v>
      </c>
      <c r="P6" s="10" t="s">
        <v>617</v>
      </c>
      <c r="Q6" s="10" t="s">
        <v>502</v>
      </c>
      <c r="R6" s="10" t="s">
        <v>604</v>
      </c>
      <c r="S6" s="61" t="s">
        <v>605</v>
      </c>
      <c r="T6" s="61" t="s">
        <v>621</v>
      </c>
      <c r="U6" s="61" t="s">
        <v>691</v>
      </c>
      <c r="V6" s="61" t="s">
        <v>692</v>
      </c>
      <c r="W6" s="61" t="s">
        <v>693</v>
      </c>
      <c r="X6" s="61" t="s">
        <v>690</v>
      </c>
      <c r="Y6" s="61" t="s">
        <v>694</v>
      </c>
      <c r="Z6" s="61" t="s">
        <v>918</v>
      </c>
      <c r="AA6" s="10" t="s">
        <v>60</v>
      </c>
      <c r="AB6" s="10">
        <v>1</v>
      </c>
      <c r="AC6" s="10">
        <f t="shared" ref="AC6:AX6" si="4">AB6+1</f>
        <v>2</v>
      </c>
      <c r="AD6" s="10">
        <f t="shared" si="4"/>
        <v>3</v>
      </c>
      <c r="AE6" s="10">
        <f t="shared" si="4"/>
        <v>4</v>
      </c>
      <c r="AF6" s="10">
        <f t="shared" si="4"/>
        <v>5</v>
      </c>
      <c r="AG6" s="10">
        <f t="shared" si="4"/>
        <v>6</v>
      </c>
      <c r="AH6" s="10">
        <f t="shared" si="4"/>
        <v>7</v>
      </c>
      <c r="AI6" s="10">
        <f t="shared" si="4"/>
        <v>8</v>
      </c>
      <c r="AJ6" s="10">
        <f t="shared" si="4"/>
        <v>9</v>
      </c>
      <c r="AK6" s="10">
        <f t="shared" si="4"/>
        <v>10</v>
      </c>
      <c r="AL6" s="10">
        <f t="shared" si="4"/>
        <v>11</v>
      </c>
      <c r="AM6" s="10">
        <f t="shared" si="4"/>
        <v>12</v>
      </c>
      <c r="AN6" s="10">
        <f t="shared" si="4"/>
        <v>13</v>
      </c>
      <c r="AO6" s="10">
        <f t="shared" si="4"/>
        <v>14</v>
      </c>
      <c r="AP6" s="10">
        <f t="shared" si="4"/>
        <v>15</v>
      </c>
      <c r="AQ6" s="10">
        <f t="shared" si="4"/>
        <v>16</v>
      </c>
      <c r="AR6" s="10">
        <f t="shared" si="4"/>
        <v>17</v>
      </c>
      <c r="AS6" s="10">
        <f t="shared" si="4"/>
        <v>18</v>
      </c>
      <c r="AT6" s="10">
        <f t="shared" si="4"/>
        <v>19</v>
      </c>
      <c r="AU6" s="10">
        <f t="shared" si="4"/>
        <v>20</v>
      </c>
      <c r="AV6" s="10">
        <f t="shared" si="4"/>
        <v>21</v>
      </c>
      <c r="AW6" s="10">
        <f t="shared" si="4"/>
        <v>22</v>
      </c>
      <c r="AX6" s="10">
        <f t="shared" si="4"/>
        <v>23</v>
      </c>
      <c r="AY6" s="207">
        <f>MEDIAN($AY$7:$AY$106)</f>
        <v>14</v>
      </c>
      <c r="AZ6" s="61" t="s">
        <v>894</v>
      </c>
      <c r="BA6" s="10" t="s">
        <v>160</v>
      </c>
      <c r="BB6" s="10">
        <f>AB6</f>
        <v>1</v>
      </c>
      <c r="BC6" s="10">
        <f t="shared" ref="BC6:BX6" si="5">AC6</f>
        <v>2</v>
      </c>
      <c r="BD6" s="10">
        <f t="shared" si="5"/>
        <v>3</v>
      </c>
      <c r="BE6" s="10">
        <f t="shared" si="5"/>
        <v>4</v>
      </c>
      <c r="BF6" s="10">
        <f t="shared" si="5"/>
        <v>5</v>
      </c>
      <c r="BG6" s="10">
        <f t="shared" si="5"/>
        <v>6</v>
      </c>
      <c r="BH6" s="10">
        <f t="shared" si="5"/>
        <v>7</v>
      </c>
      <c r="BI6" s="10">
        <f t="shared" si="5"/>
        <v>8</v>
      </c>
      <c r="BJ6" s="10">
        <f t="shared" si="5"/>
        <v>9</v>
      </c>
      <c r="BK6" s="10">
        <f t="shared" si="5"/>
        <v>10</v>
      </c>
      <c r="BL6" s="10">
        <f t="shared" si="5"/>
        <v>11</v>
      </c>
      <c r="BM6" s="10">
        <f t="shared" si="5"/>
        <v>12</v>
      </c>
      <c r="BN6" s="10">
        <f t="shared" si="5"/>
        <v>13</v>
      </c>
      <c r="BO6" s="10">
        <f t="shared" si="5"/>
        <v>14</v>
      </c>
      <c r="BP6" s="10">
        <f t="shared" si="5"/>
        <v>15</v>
      </c>
      <c r="BQ6" s="10">
        <f t="shared" si="5"/>
        <v>16</v>
      </c>
      <c r="BR6" s="10">
        <f t="shared" si="5"/>
        <v>17</v>
      </c>
      <c r="BS6" s="10">
        <f t="shared" si="5"/>
        <v>18</v>
      </c>
      <c r="BT6" s="10">
        <f t="shared" si="5"/>
        <v>19</v>
      </c>
      <c r="BU6" s="10">
        <f t="shared" si="5"/>
        <v>20</v>
      </c>
      <c r="BV6" s="10">
        <f t="shared" si="5"/>
        <v>21</v>
      </c>
      <c r="BW6" s="10">
        <f t="shared" si="5"/>
        <v>22</v>
      </c>
      <c r="BX6" s="10">
        <f t="shared" si="5"/>
        <v>23</v>
      </c>
      <c r="BY6" s="10" t="str">
        <f>BA6</f>
        <v>Line #</v>
      </c>
      <c r="BZ6" s="10" t="s">
        <v>177</v>
      </c>
      <c r="CA6" s="10" t="s">
        <v>178</v>
      </c>
      <c r="CB6" s="10" t="s">
        <v>179</v>
      </c>
      <c r="CC6" s="10" t="s">
        <v>184</v>
      </c>
      <c r="CD6" s="10" t="s">
        <v>185</v>
      </c>
      <c r="CE6" s="10" t="s">
        <v>603</v>
      </c>
      <c r="CF6" s="10" t="s">
        <v>190</v>
      </c>
      <c r="CG6" s="10" t="s">
        <v>191</v>
      </c>
      <c r="CH6" s="10" t="s">
        <v>960</v>
      </c>
      <c r="CI6" s="61" t="s">
        <v>2</v>
      </c>
      <c r="CJ6" s="61" t="s">
        <v>194</v>
      </c>
      <c r="CK6" s="61" t="s">
        <v>188</v>
      </c>
      <c r="CL6" s="61" t="s">
        <v>37</v>
      </c>
      <c r="CN6" s="61" t="s">
        <v>950</v>
      </c>
      <c r="CO6" s="10" t="s">
        <v>185</v>
      </c>
      <c r="CP6" s="61" t="s">
        <v>194</v>
      </c>
      <c r="CQ6" s="61" t="s">
        <v>188</v>
      </c>
      <c r="CR6" s="61" t="s">
        <v>539</v>
      </c>
      <c r="CT6" s="10" t="s">
        <v>581</v>
      </c>
      <c r="CU6" s="10" t="s">
        <v>188</v>
      </c>
      <c r="CV6" s="10" t="s">
        <v>542</v>
      </c>
      <c r="CW6" s="10" t="s">
        <v>819</v>
      </c>
      <c r="CY6" s="10" t="s">
        <v>185</v>
      </c>
      <c r="CZ6" s="10" t="s">
        <v>188</v>
      </c>
      <c r="DA6" s="10" t="s">
        <v>542</v>
      </c>
      <c r="DB6" s="10" t="s">
        <v>194</v>
      </c>
      <c r="DC6" s="61" t="s">
        <v>166</v>
      </c>
      <c r="DD6" s="105">
        <f>STDEV($DD$7:$DD$106)</f>
        <v>0.70953107291671413</v>
      </c>
      <c r="DE6" s="10" t="s">
        <v>945</v>
      </c>
      <c r="DF6" s="109">
        <f>MAX($DD$7:$DD$106)</f>
        <v>3</v>
      </c>
      <c r="DG6" s="10" t="s">
        <v>944</v>
      </c>
      <c r="DH6" s="108">
        <f>COUNTIF($DD$7:$DD$106,$DF$6)</f>
        <v>6</v>
      </c>
      <c r="DJ6" s="10" t="s">
        <v>1</v>
      </c>
      <c r="DK6" s="10" t="s">
        <v>610</v>
      </c>
      <c r="DL6" s="10" t="s">
        <v>5</v>
      </c>
      <c r="DM6" s="10" t="s">
        <v>626</v>
      </c>
      <c r="DN6" s="10" t="s">
        <v>627</v>
      </c>
      <c r="DP6" s="10" t="s">
        <v>651</v>
      </c>
      <c r="DT6" s="10" t="s">
        <v>766</v>
      </c>
      <c r="DU6" s="10" t="s">
        <v>767</v>
      </c>
      <c r="DV6" s="10" t="s">
        <v>768</v>
      </c>
      <c r="DW6" s="10" t="s">
        <v>769</v>
      </c>
      <c r="DX6" s="10" t="s">
        <v>770</v>
      </c>
      <c r="DY6" s="10" t="s">
        <v>771</v>
      </c>
      <c r="DZ6" s="10" t="s">
        <v>772</v>
      </c>
      <c r="EA6" s="10" t="s">
        <v>773</v>
      </c>
      <c r="EB6" s="10" t="s">
        <v>188</v>
      </c>
      <c r="ED6" s="61" t="s">
        <v>800</v>
      </c>
      <c r="EE6" s="61" t="s">
        <v>800</v>
      </c>
      <c r="EF6" s="61" t="s">
        <v>801</v>
      </c>
      <c r="EG6" s="61" t="s">
        <v>801</v>
      </c>
      <c r="EI6" s="61" t="s">
        <v>800</v>
      </c>
      <c r="EJ6" s="61" t="s">
        <v>801</v>
      </c>
      <c r="EK6" s="61"/>
      <c r="EL6" s="61" t="s">
        <v>835</v>
      </c>
      <c r="EM6" s="61" t="s">
        <v>836</v>
      </c>
      <c r="EN6" s="61" t="s">
        <v>899</v>
      </c>
      <c r="EO6" s="61" t="s">
        <v>835</v>
      </c>
      <c r="EP6" s="61" t="s">
        <v>836</v>
      </c>
      <c r="EQ6" s="61" t="s">
        <v>915</v>
      </c>
      <c r="ES6" s="10">
        <v>1</v>
      </c>
      <c r="ET6" s="10">
        <f>ES6+1</f>
        <v>2</v>
      </c>
      <c r="EU6" s="10">
        <f t="shared" ref="EU6:EZ6" si="6">ET6+1</f>
        <v>3</v>
      </c>
      <c r="EV6" s="10">
        <f t="shared" si="6"/>
        <v>4</v>
      </c>
      <c r="EW6" s="10">
        <f t="shared" si="6"/>
        <v>5</v>
      </c>
      <c r="EX6" s="10">
        <f t="shared" si="6"/>
        <v>6</v>
      </c>
      <c r="EY6" s="10">
        <f t="shared" si="6"/>
        <v>7</v>
      </c>
      <c r="EZ6" s="10">
        <f t="shared" si="6"/>
        <v>8</v>
      </c>
      <c r="FA6" s="10">
        <f t="shared" ref="FA6:FO6" si="7">EZ6+1</f>
        <v>9</v>
      </c>
      <c r="FB6" s="10">
        <f t="shared" si="7"/>
        <v>10</v>
      </c>
      <c r="FC6" s="10">
        <f t="shared" si="7"/>
        <v>11</v>
      </c>
      <c r="FD6" s="10">
        <f t="shared" si="7"/>
        <v>12</v>
      </c>
      <c r="FE6" s="10">
        <f t="shared" si="7"/>
        <v>13</v>
      </c>
      <c r="FF6" s="10">
        <f t="shared" si="7"/>
        <v>14</v>
      </c>
      <c r="FG6" s="10">
        <f t="shared" si="7"/>
        <v>15</v>
      </c>
      <c r="FH6" s="10">
        <f t="shared" si="7"/>
        <v>16</v>
      </c>
      <c r="FI6" s="10">
        <f t="shared" si="7"/>
        <v>17</v>
      </c>
      <c r="FJ6" s="10">
        <f t="shared" si="7"/>
        <v>18</v>
      </c>
      <c r="FK6" s="10">
        <f t="shared" si="7"/>
        <v>19</v>
      </c>
      <c r="FL6" s="10">
        <f t="shared" si="7"/>
        <v>20</v>
      </c>
      <c r="FM6" s="10">
        <f t="shared" si="7"/>
        <v>21</v>
      </c>
      <c r="FN6" s="10">
        <f t="shared" si="7"/>
        <v>22</v>
      </c>
      <c r="FO6" s="10">
        <f t="shared" si="7"/>
        <v>23</v>
      </c>
      <c r="FQ6" s="10" t="s">
        <v>728</v>
      </c>
      <c r="FR6" s="10" t="s">
        <v>729</v>
      </c>
      <c r="FS6" s="10" t="s">
        <v>730</v>
      </c>
      <c r="FV6" s="10" t="s">
        <v>870</v>
      </c>
      <c r="FW6" s="10" t="s">
        <v>871</v>
      </c>
      <c r="FY6" s="10" t="s">
        <v>940</v>
      </c>
      <c r="FZ6" s="10" t="s">
        <v>610</v>
      </c>
      <c r="GA6" s="10" t="s">
        <v>941</v>
      </c>
      <c r="GB6" s="10" t="s">
        <v>942</v>
      </c>
    </row>
    <row r="7" spans="1:184" x14ac:dyDescent="0.3">
      <c r="A7">
        <v>1</v>
      </c>
      <c r="B7" s="6">
        <v>141</v>
      </c>
      <c r="C7" s="6" t="s">
        <v>29</v>
      </c>
      <c r="D7" s="6">
        <v>2003</v>
      </c>
      <c r="E7" s="6">
        <v>2003</v>
      </c>
      <c r="F7" s="6" t="s">
        <v>248</v>
      </c>
      <c r="G7" s="17" t="s">
        <v>636</v>
      </c>
      <c r="H7" s="17" t="s">
        <v>644</v>
      </c>
      <c r="I7" s="6" t="s">
        <v>36</v>
      </c>
      <c r="J7" s="17">
        <v>0</v>
      </c>
      <c r="K7" s="6" t="s">
        <v>23</v>
      </c>
      <c r="L7" s="12">
        <v>33.556699999999999</v>
      </c>
      <c r="M7" s="12">
        <v>-112.21534</v>
      </c>
      <c r="N7" s="95">
        <f>2240*(115/1000000)</f>
        <v>0.2576</v>
      </c>
      <c r="O7" s="6">
        <v>0.25</v>
      </c>
      <c r="P7" s="94">
        <f>365.25*8</f>
        <v>2922</v>
      </c>
      <c r="Q7" s="6" t="s">
        <v>506</v>
      </c>
      <c r="R7" s="14">
        <v>22.6</v>
      </c>
      <c r="S7" s="3">
        <f>R7+11.448+2.715*IF($I7="Tracker",P7*0.95,P7)/365.25</f>
        <v>54.682000000000002</v>
      </c>
      <c r="T7" s="128" t="str">
        <f>IF(S7&gt;=50,"H",IF(S7&gt;=40,"M","C"))</f>
        <v>H</v>
      </c>
      <c r="U7" s="154">
        <v>2117</v>
      </c>
      <c r="V7" s="154">
        <v>566</v>
      </c>
      <c r="W7" s="156">
        <v>0.67800000000000005</v>
      </c>
      <c r="X7" s="1">
        <f>V7/U7</f>
        <v>0.26735947094945678</v>
      </c>
      <c r="Y7" s="59">
        <f>MAX(0,IF($I7="Tracker",P7*0.95,P7)*(N7/O7)*0.0000994+0.3284*X7-0.358)</f>
        <v>1.4113413843801659E-2</v>
      </c>
      <c r="Z7" s="1">
        <f>EXP(-12.9*Y7)</f>
        <v>0.83354879302302087</v>
      </c>
      <c r="AA7" s="3">
        <f>N7*P7*INDEX($C$3:$D$4,MATCH(I7,$C$3:$C$4,0),2)*CH7</f>
        <v>541.77864849579521</v>
      </c>
      <c r="AB7" s="6">
        <v>395</v>
      </c>
      <c r="AC7" s="6">
        <v>297</v>
      </c>
      <c r="AD7" s="6">
        <v>111</v>
      </c>
      <c r="AE7" s="6">
        <v>285</v>
      </c>
      <c r="AF7" s="93">
        <v>398</v>
      </c>
      <c r="AG7" s="6">
        <v>437</v>
      </c>
      <c r="AH7" s="6">
        <v>201</v>
      </c>
      <c r="AI7" s="6">
        <v>438</v>
      </c>
      <c r="AJ7" s="6">
        <v>447</v>
      </c>
      <c r="AK7" s="93">
        <v>437</v>
      </c>
      <c r="AL7" s="6">
        <v>395</v>
      </c>
      <c r="AM7" s="6">
        <v>255</v>
      </c>
      <c r="AN7" s="6">
        <v>0</v>
      </c>
      <c r="AO7" s="6">
        <v>153</v>
      </c>
      <c r="AP7" s="93">
        <v>217</v>
      </c>
      <c r="AQ7" s="6">
        <v>281</v>
      </c>
      <c r="AR7" s="6">
        <v>136</v>
      </c>
      <c r="AS7" s="6">
        <v>0</v>
      </c>
      <c r="AT7" s="6">
        <v>0</v>
      </c>
      <c r="AU7" s="93">
        <v>0</v>
      </c>
      <c r="AV7" s="6">
        <v>0</v>
      </c>
      <c r="AW7" s="6">
        <v>21</v>
      </c>
      <c r="AX7" s="6">
        <v>79</v>
      </c>
      <c r="AY7" s="32">
        <v>23</v>
      </c>
      <c r="AZ7" s="1">
        <f>SUM(AB7:AX7)/AY7/N7/P7</f>
        <v>0.28783061184089043</v>
      </c>
      <c r="BA7" s="24">
        <f t="shared" ref="BA7:BA38" si="8">A7</f>
        <v>1</v>
      </c>
      <c r="BB7" s="2">
        <f t="shared" ref="BB7:BX7" si="9">IF(ISNUMBER(AB7),MIN(1.15,AB7/($AA7*(1-$K$3)^(BB$6-1))),"")</f>
        <v>0.72908004236912194</v>
      </c>
      <c r="BC7" s="2">
        <f t="shared" si="9"/>
        <v>0.55094910650373186</v>
      </c>
      <c r="BD7" s="2">
        <f t="shared" si="9"/>
        <v>0.20694499711322348</v>
      </c>
      <c r="BE7" s="2">
        <f t="shared" si="9"/>
        <v>0.53401533955605685</v>
      </c>
      <c r="BF7" s="20">
        <f t="shared" si="9"/>
        <v>0.74949521341200953</v>
      </c>
      <c r="BG7" s="2">
        <f t="shared" si="9"/>
        <v>0.82707357960922245</v>
      </c>
      <c r="BH7" s="2">
        <f t="shared" si="9"/>
        <v>0.38232763244472634</v>
      </c>
      <c r="BI7" s="2">
        <f t="shared" si="9"/>
        <v>0.8373184480151511</v>
      </c>
      <c r="BJ7" s="2">
        <f t="shared" si="9"/>
        <v>0.85881771015527997</v>
      </c>
      <c r="BK7" s="20">
        <f t="shared" si="9"/>
        <v>0.84382390551832398</v>
      </c>
      <c r="BL7" s="2">
        <f t="shared" si="9"/>
        <v>0.76655690967362655</v>
      </c>
      <c r="BM7" s="2">
        <f t="shared" si="9"/>
        <v>0.49735261616124876</v>
      </c>
      <c r="BN7" s="2">
        <f t="shared" si="9"/>
        <v>0</v>
      </c>
      <c r="BO7" s="2">
        <f t="shared" si="9"/>
        <v>0.30141821640539301</v>
      </c>
      <c r="BP7" s="20">
        <f t="shared" si="9"/>
        <v>0.42964990284737592</v>
      </c>
      <c r="BQ7" s="2">
        <f t="shared" si="9"/>
        <v>0.55916273857820276</v>
      </c>
      <c r="BR7" s="2">
        <f t="shared" si="9"/>
        <v>0.27198673955770158</v>
      </c>
      <c r="BS7" s="2">
        <f t="shared" si="9"/>
        <v>0</v>
      </c>
      <c r="BT7" s="2">
        <f t="shared" si="9"/>
        <v>0</v>
      </c>
      <c r="BU7" s="20">
        <f t="shared" si="9"/>
        <v>0</v>
      </c>
      <c r="BV7" s="2">
        <f t="shared" si="9"/>
        <v>0</v>
      </c>
      <c r="BW7" s="2">
        <f t="shared" si="9"/>
        <v>4.3063836069786303E-2</v>
      </c>
      <c r="BX7" s="2">
        <f t="shared" si="9"/>
        <v>0.16281613062996497</v>
      </c>
      <c r="BY7" s="25">
        <f t="shared" ref="BY7:BY38" si="10">A7</f>
        <v>1</v>
      </c>
      <c r="BZ7" s="3">
        <f t="shared" ref="BZ7:BZ38" si="11">$AA7*IF($K$3=0,$AY7,((1-$K$3)^$AY7-1)/-$K$3)</f>
        <v>11798.957718565873</v>
      </c>
      <c r="CA7" s="3">
        <f>SUM(AB7:AX7)</f>
        <v>4983</v>
      </c>
      <c r="CB7" s="2">
        <f>CA7/BZ7</f>
        <v>0.4223254391495242</v>
      </c>
      <c r="CC7" s="85">
        <f>ROUND(RANK(CB7,$CB$7:$CB$106,0),0)</f>
        <v>99</v>
      </c>
      <c r="CD7" s="3" t="str">
        <f t="shared" ref="CD7:CD38" si="12">I7</f>
        <v>Tracker</v>
      </c>
      <c r="CE7" s="58">
        <f>CF7/(CG7+CF7*AY7/2)</f>
        <v>-7.6876015551506138E-2</v>
      </c>
      <c r="CF7" s="2">
        <f t="array" ref="CF7:CG7">LINEST(AB7:AX7,AB$6:AX$6,TRUE,FALSE)</f>
        <v>-17.321146245059289</v>
      </c>
      <c r="CG7" s="2">
        <v>424.50592885375494</v>
      </c>
      <c r="CH7" s="1">
        <f>1+IF(G7="CdSCdTe",-0.0025,-0.004)*(S7-$S$4)</f>
        <v>0.94707031201192893</v>
      </c>
      <c r="CI7" s="128" t="s">
        <v>24</v>
      </c>
      <c r="CJ7">
        <f t="shared" ref="CJ7:CJ26" si="13">COUNTIF($K$7:$K$106,$CI7)</f>
        <v>30</v>
      </c>
      <c r="CK7" s="2">
        <f t="shared" ref="CK7:CK26" si="14">AVERAGEIF($K$7:$K$106,$CI7,$CB$7:$CB$106)</f>
        <v>0.80976997504452397</v>
      </c>
      <c r="CL7" s="58">
        <f t="shared" ref="CL7:CL26" si="15">AVERAGEIF($K$7:$K$106,$CI7,$CE$7:$CE$106)</f>
        <v>-4.5529531862893928E-2</v>
      </c>
      <c r="CN7" s="4">
        <f>CP7/$CP$10</f>
        <v>0.12</v>
      </c>
      <c r="CO7" s="133" t="s">
        <v>195</v>
      </c>
      <c r="CP7" s="3">
        <f>COUNTIF($T$7:$T$106,$CO7)</f>
        <v>12</v>
      </c>
      <c r="CQ7" s="2">
        <f>AVERAGEIFS($CB$7:$CB$106,$T$7:$T$106,$CO7)</f>
        <v>0.74933481247340283</v>
      </c>
      <c r="CR7" s="89">
        <f>AVERAGEIFS($CE$7:$CE$106,$T$7:$T$106,$CO7)</f>
        <v>-5.3836657656412677E-2</v>
      </c>
      <c r="CS7" s="3"/>
      <c r="CT7" s="3" t="s">
        <v>541</v>
      </c>
      <c r="CU7" s="2">
        <f>AVERAGEIFS($CB$7:$CB$106,$O$7:$O$106,"&gt;5")</f>
        <v>0.94484909304803277</v>
      </c>
      <c r="CV7" s="69">
        <f>AVERAGEIFS($CE$7:$CE$106,$O$7:$O$106,"&gt;5")</f>
        <v>-2.0427969747175194E-2</v>
      </c>
      <c r="CW7" s="98">
        <f>COUNTIF($O$7:$O$106,"&gt;5")</f>
        <v>23</v>
      </c>
      <c r="CY7" s="25" t="s">
        <v>261</v>
      </c>
      <c r="CZ7" s="2">
        <f>AVERAGEIF($F$7:$F$106,$CY7,$CB$7:$CB$106)</f>
        <v>0.71747424844626684</v>
      </c>
      <c r="DA7" s="58">
        <f>AVERAGEIF($F$7:$F$106,$CY7,$CE$7:$CE$106)</f>
        <v>-1.2305416076328717E-2</v>
      </c>
      <c r="DB7" s="3">
        <f>COUNTIF($F$7:$F$106,$CY7)</f>
        <v>2</v>
      </c>
      <c r="DC7" s="2">
        <f>N7/O7</f>
        <v>1.0304</v>
      </c>
      <c r="DD7">
        <f t="shared" ref="DD7:DD38" si="16">D7-E7</f>
        <v>0</v>
      </c>
      <c r="DE7">
        <f>AY7+DD7</f>
        <v>23</v>
      </c>
      <c r="DJ7" s="6" t="s">
        <v>922</v>
      </c>
      <c r="DK7">
        <f t="shared" ref="DK7:DK18" si="17">COUNTIF($H$7:$H$106,$DJ7)</f>
        <v>1</v>
      </c>
      <c r="DL7" s="72">
        <f>SUMIF($H$7:$H$106,$DJ7,$N$7:$N$106)</f>
        <v>37.700000000000003</v>
      </c>
      <c r="DM7" s="2">
        <f>AVERAGEIF($H$7:$H$106,$DJ7,$CB$7:$CB$106)</f>
        <v>1.0256170186128266</v>
      </c>
      <c r="DN7" s="58">
        <f>AVERAGEIF($H$7:$H$106,$DJ7,$CE$7:$CE$106)</f>
        <v>-1.0895507138732602E-2</v>
      </c>
      <c r="DP7" s="6" t="s">
        <v>634</v>
      </c>
      <c r="DQ7">
        <f>COUNTIF($G$7:$G$106,$DP7)</f>
        <v>15</v>
      </c>
      <c r="DT7">
        <f>SUM(AB7:AH7)</f>
        <v>2124</v>
      </c>
      <c r="DU7" s="3">
        <f>IF(BB7&gt;0,AB7/BB7,$AA7)</f>
        <v>541.77864849579521</v>
      </c>
      <c r="DV7" s="3">
        <f t="shared" ref="DV7:EA7" si="18">IF(BC7&gt;0,AC7/BC7,$AA7)</f>
        <v>539.0697552533162</v>
      </c>
      <c r="DW7" s="3">
        <f t="shared" si="18"/>
        <v>536.37440647704966</v>
      </c>
      <c r="DX7" s="3">
        <f t="shared" si="18"/>
        <v>533.69253444466437</v>
      </c>
      <c r="DY7" s="3">
        <f t="shared" si="18"/>
        <v>531.02407177244106</v>
      </c>
      <c r="DZ7" s="3">
        <f t="shared" si="18"/>
        <v>528.36895141357888</v>
      </c>
      <c r="EA7" s="3">
        <f t="shared" si="18"/>
        <v>525.72710665651107</v>
      </c>
      <c r="EB7" s="2">
        <f>DT7/SUM(DU7:EA7)</f>
        <v>0.56851708568871795</v>
      </c>
      <c r="ED7" s="2">
        <f>IF($T7="H",CB7," ")</f>
        <v>0.4223254391495242</v>
      </c>
      <c r="EE7" s="58">
        <f>IF($T7="H",$CE7," ")</f>
        <v>-7.6876015551506138E-2</v>
      </c>
      <c r="EF7" s="2" t="str">
        <f>IF($T7="C",CB7," ")</f>
        <v xml:space="preserve"> </v>
      </c>
      <c r="EG7" s="58" t="str">
        <f>IF($T7="C",CE7," ")</f>
        <v xml:space="preserve"> </v>
      </c>
      <c r="EI7" s="2">
        <f>IF($T7="H",$EB7," ")</f>
        <v>0.56851708568871795</v>
      </c>
      <c r="EJ7" s="2" t="str">
        <f>IF($T7="C",$EB7," ")</f>
        <v xml:space="preserve"> </v>
      </c>
      <c r="EK7" s="2"/>
      <c r="EL7" s="2">
        <f t="array" ref="EL7:EM7">LINEST($AB7:$AH7,$AB$6:$AH$6,TRUE,FALSE)</f>
        <v>-0.5357142857142897</v>
      </c>
      <c r="EM7" s="2">
        <v>305.57142857142861</v>
      </c>
      <c r="EN7" s="58">
        <f>EL7/(EL7*($AB$6+$AH$6)*0.5+EM7)</f>
        <v>-1.7655367231638548E-3</v>
      </c>
      <c r="EO7" s="2">
        <f t="array" ref="EO7:EP7">LINEST($AH7:$AX7,$AH$6:$AX$6,TRUE,FALSE)</f>
        <v>-26.242647058823515</v>
      </c>
      <c r="EP7" s="2">
        <v>573.6397058823527</v>
      </c>
      <c r="EQ7" s="58">
        <f>EO7/(EO7*(AY7/2+7/2)+EP7)</f>
        <v>-0.14579248366013065</v>
      </c>
      <c r="ES7" s="3">
        <f>($EM7+$EL7*ES$6-AB7)^2</f>
        <v>8093.5727040816237</v>
      </c>
      <c r="ET7" s="3">
        <f t="shared" ref="ET7:EY22" si="19">($EM7+$EL7*ET$6-AC7)^2</f>
        <v>56.250000000000853</v>
      </c>
      <c r="EU7" s="3">
        <f t="shared" si="19"/>
        <v>37235.21556122449</v>
      </c>
      <c r="EV7" s="3">
        <f t="shared" si="19"/>
        <v>339.61224489795978</v>
      </c>
      <c r="EW7" s="3">
        <f t="shared" si="19"/>
        <v>9045.3686224489757</v>
      </c>
      <c r="EX7" s="3">
        <f t="shared" si="19"/>
        <v>18128.698979591827</v>
      </c>
      <c r="EY7" s="3">
        <f t="shared" si="19"/>
        <v>10164.960459183681</v>
      </c>
      <c r="EZ7" s="3">
        <f t="shared" ref="EZ7:FO7" si="20">($EP7+$EO7*EZ$6-AI7)^2</f>
        <v>5520.7085315744125</v>
      </c>
      <c r="FA7" s="3">
        <f t="shared" si="20"/>
        <v>11999.913711072681</v>
      </c>
      <c r="FB7" s="182">
        <f t="shared" si="20"/>
        <v>15822.31017517303</v>
      </c>
      <c r="FC7" s="3">
        <f t="shared" si="20"/>
        <v>12106.471453287217</v>
      </c>
      <c r="FD7" s="3">
        <f t="shared" si="20"/>
        <v>13.897545415224215</v>
      </c>
      <c r="FE7" s="3">
        <f t="shared" si="20"/>
        <v>54049.411980968835</v>
      </c>
      <c r="FF7" s="3">
        <f t="shared" si="20"/>
        <v>2834.7794658304447</v>
      </c>
      <c r="FG7" s="29">
        <f t="shared" si="20"/>
        <v>1369</v>
      </c>
      <c r="FH7" s="3">
        <f t="shared" si="20"/>
        <v>16190.691230536333</v>
      </c>
      <c r="FI7" s="3">
        <f t="shared" si="20"/>
        <v>72.000216262976011</v>
      </c>
      <c r="FJ7" s="3">
        <f t="shared" si="20"/>
        <v>10256.029898356408</v>
      </c>
      <c r="FK7" s="3">
        <f t="shared" si="20"/>
        <v>5629.4126297577895</v>
      </c>
      <c r="FL7" s="3">
        <f t="shared" si="20"/>
        <v>2380.1484104671358</v>
      </c>
      <c r="FM7" s="3">
        <f t="shared" si="20"/>
        <v>508.23724048443239</v>
      </c>
      <c r="FN7" s="3">
        <f t="shared" si="20"/>
        <v>610.01735510380297</v>
      </c>
      <c r="FO7" s="3">
        <f t="shared" si="20"/>
        <v>11868.179930795835</v>
      </c>
      <c r="FQ7" s="4">
        <f>SQRT(AVERAGE(ES7:FO7))/AVERAGE(AB7:AX7)</f>
        <v>0.46585894372868547</v>
      </c>
      <c r="FR7" s="160">
        <v>3.5999999999999997E-2</v>
      </c>
      <c r="FS7" s="161">
        <f t="shared" ref="FS7:FS70" si="21">FR7/FQ7</f>
        <v>7.7276610194192741E-2</v>
      </c>
      <c r="FV7" s="4">
        <f>SQRT(AVERAGE(ES7:EY7))/AVERAGE(AB7:AH7)</f>
        <v>0.35900466158165162</v>
      </c>
      <c r="FW7" s="161">
        <f>FR7/FV7</f>
        <v>0.10027724944126443</v>
      </c>
      <c r="FY7">
        <v>12</v>
      </c>
      <c r="FZ7">
        <f>COUNTIF($AY$7:$AY$106,FY7)</f>
        <v>3</v>
      </c>
      <c r="GA7">
        <f>COUNTIFS($I$7:$I$106,"Fixed",$AY$7:$AY$106,$FY7)</f>
        <v>3</v>
      </c>
      <c r="GB7">
        <f>COUNTIFS($I$7:$I$106,"Tracker",$AY$7:$AY$106,$FY7)</f>
        <v>0</v>
      </c>
    </row>
    <row r="8" spans="1:184" x14ac:dyDescent="0.3">
      <c r="A8">
        <f t="shared" ref="A8:A39" si="22">A7+1</f>
        <v>2</v>
      </c>
      <c r="B8" s="6">
        <v>56568</v>
      </c>
      <c r="C8" s="6" t="s">
        <v>76</v>
      </c>
      <c r="D8" s="6">
        <v>2008</v>
      </c>
      <c r="E8" s="6">
        <v>2007</v>
      </c>
      <c r="F8" s="6" t="s">
        <v>278</v>
      </c>
      <c r="G8" s="17" t="s">
        <v>982</v>
      </c>
      <c r="H8" s="17" t="s">
        <v>628</v>
      </c>
      <c r="I8" s="6" t="s">
        <v>36</v>
      </c>
      <c r="J8" s="17">
        <v>20</v>
      </c>
      <c r="K8" s="6" t="s">
        <v>47</v>
      </c>
      <c r="L8" s="12">
        <v>36.26</v>
      </c>
      <c r="M8" s="12">
        <v>-115.05</v>
      </c>
      <c r="N8" s="14">
        <v>14.2</v>
      </c>
      <c r="O8" s="6">
        <v>13.2</v>
      </c>
      <c r="P8" s="94">
        <f>365.25*(8.7*(12.2/$N$8)+8.1*(2/$N$8))</f>
        <v>3146.8088028169009</v>
      </c>
      <c r="Q8" s="15" t="s">
        <v>510</v>
      </c>
      <c r="R8" s="14">
        <v>19.5</v>
      </c>
      <c r="S8" s="3">
        <f t="shared" ref="S8:S71" si="23">R8+11.448+2.715*IF($I8="Tracker",P8*0.95,P8)/365.25</f>
        <v>53.1695102112676</v>
      </c>
      <c r="T8" s="128" t="str">
        <f t="shared" ref="T8:T71" si="24">IF(S8&gt;=50,"H",IF(S8&gt;=40,"M","C"))</f>
        <v>H</v>
      </c>
      <c r="U8" s="154">
        <v>2078</v>
      </c>
      <c r="V8" s="154">
        <v>550</v>
      </c>
      <c r="W8" s="156">
        <v>0.68400000000000005</v>
      </c>
      <c r="X8" s="1">
        <f>V8/U8</f>
        <v>0.26467757459095281</v>
      </c>
      <c r="Y8" s="59">
        <f t="shared" ref="Y8:Y71" si="25">MAX(0,IF($I8="Tracker",P8*0.95,P8)*(N8/O8)*0.0000994+0.3284*X8-0.358)</f>
        <v>4.8584873416123386E-2</v>
      </c>
      <c r="Z8" s="1">
        <f t="shared" ref="Z8:Z71" si="26">EXP(-12.9*Y8)</f>
        <v>0.53432828282394929</v>
      </c>
      <c r="AA8" s="16">
        <v>32000</v>
      </c>
      <c r="AB8" s="6">
        <v>32500</v>
      </c>
      <c r="AC8" s="6">
        <v>32000</v>
      </c>
      <c r="AD8" s="6">
        <v>31301</v>
      </c>
      <c r="AE8" s="6">
        <v>32125</v>
      </c>
      <c r="AF8" s="93">
        <v>32159</v>
      </c>
      <c r="AG8" s="6">
        <v>31758</v>
      </c>
      <c r="AH8" s="6">
        <v>31202</v>
      </c>
      <c r="AI8" s="6">
        <v>30428</v>
      </c>
      <c r="AJ8" s="6">
        <v>19725</v>
      </c>
      <c r="AK8" s="93">
        <v>28213</v>
      </c>
      <c r="AL8" s="6">
        <v>26910</v>
      </c>
      <c r="AM8" s="6">
        <v>26474</v>
      </c>
      <c r="AN8" s="6">
        <v>24959</v>
      </c>
      <c r="AO8" s="6">
        <v>19180</v>
      </c>
      <c r="AP8" s="93">
        <v>19975</v>
      </c>
      <c r="AQ8" s="6">
        <v>21723</v>
      </c>
      <c r="AR8" s="6">
        <v>23764</v>
      </c>
      <c r="AU8" s="23"/>
      <c r="AY8" s="32">
        <v>17</v>
      </c>
      <c r="AZ8" s="1">
        <f t="shared" ref="AZ8:AZ71" si="27">SUM(AB8:AX8)/AY8/N8/P8</f>
        <v>0.61133723477531254</v>
      </c>
      <c r="BA8" s="24">
        <f t="shared" si="8"/>
        <v>2</v>
      </c>
      <c r="BB8" s="2">
        <f t="shared" ref="BB8:BK9" si="28">IF(ISNUMBER(AB8),MIN(1.15,AB8/($AA8*(1-$K$3)^(BB$6-1))),"")</f>
        <v>1.015625</v>
      </c>
      <c r="BC8" s="2">
        <f t="shared" si="28"/>
        <v>1.0050251256281406</v>
      </c>
      <c r="BD8" s="2">
        <f t="shared" si="28"/>
        <v>0.98801166637206117</v>
      </c>
      <c r="BE8" s="2">
        <f t="shared" si="28"/>
        <v>1.019116694048257</v>
      </c>
      <c r="BF8" s="20">
        <f t="shared" si="28"/>
        <v>1.0253219017702644</v>
      </c>
      <c r="BG8" s="2">
        <f t="shared" si="28"/>
        <v>1.0176249872897576</v>
      </c>
      <c r="BH8" s="2">
        <f t="shared" si="28"/>
        <v>1.004833185811133</v>
      </c>
      <c r="BI8" s="2">
        <f t="shared" si="28"/>
        <v>0.98483134787652638</v>
      </c>
      <c r="BJ8" s="2">
        <f t="shared" si="28"/>
        <v>0.64162664039483874</v>
      </c>
      <c r="BK8" s="20">
        <f t="shared" si="28"/>
        <v>0.92234110504153655</v>
      </c>
      <c r="BL8" s="2">
        <f t="shared" ref="BL8:BR9" si="29">IF(ISNUMBER(AL8),MIN(1.15,AL8/($AA8*(1-$K$3)^(BL$6-1))),"")</f>
        <v>0.88416417096533406</v>
      </c>
      <c r="BM8" s="2">
        <f t="shared" si="29"/>
        <v>0.87420985500285731</v>
      </c>
      <c r="BN8" s="2">
        <f t="shared" si="29"/>
        <v>0.82832397885082709</v>
      </c>
      <c r="BO8" s="2">
        <f t="shared" si="29"/>
        <v>0.63973273613384696</v>
      </c>
      <c r="BP8" s="20">
        <f t="shared" si="29"/>
        <v>0.66959727753855791</v>
      </c>
      <c r="BQ8" s="2">
        <f t="shared" si="29"/>
        <v>0.731852587592284</v>
      </c>
      <c r="BR8" s="2">
        <f t="shared" si="29"/>
        <v>0.80463750837893555</v>
      </c>
      <c r="BU8" s="23"/>
      <c r="BY8" s="25">
        <f t="shared" si="10"/>
        <v>2</v>
      </c>
      <c r="BZ8" s="3">
        <f t="shared" si="11"/>
        <v>522774.60253206268</v>
      </c>
      <c r="CA8" s="3">
        <f t="shared" ref="CA8:CA56" si="30">SUM(AB8:AX8)</f>
        <v>464396</v>
      </c>
      <c r="CB8" s="2">
        <f t="shared" ref="CB8:CB56" si="31">CA8/BZ8</f>
        <v>0.8883293062644867</v>
      </c>
      <c r="CC8" s="85">
        <f t="shared" ref="CC8:CC71" si="32">ROUND(RANK(CB8,$CB$7:$CB$106,0),0)</f>
        <v>43</v>
      </c>
      <c r="CD8" s="3" t="str">
        <f t="shared" si="12"/>
        <v>Tracker</v>
      </c>
      <c r="CE8" s="58">
        <f t="shared" ref="CE8:CE56" si="33">CF8/(CG8+CF8*AY8/2)</f>
        <v>-2.9172846589626326E-2</v>
      </c>
      <c r="CF8" s="2">
        <f t="array" ref="CF8:CG8">LINEST(AB8:AR8,AB$6:AR$6,TRUE,FALSE)</f>
        <v>-808.72303921568573</v>
      </c>
      <c r="CG8" s="2">
        <v>34595.919117647049</v>
      </c>
      <c r="CH8" s="1">
        <f t="shared" ref="CH8:CH71" si="34">1+IF(G8="CdSCdTe",-0.0025,-0.004)*(S8-$S$4)</f>
        <v>0.95312027116685849</v>
      </c>
      <c r="CI8" s="128" t="s">
        <v>52</v>
      </c>
      <c r="CJ8">
        <f t="shared" si="13"/>
        <v>16</v>
      </c>
      <c r="CK8" s="2">
        <f t="shared" si="14"/>
        <v>0.86867303684178587</v>
      </c>
      <c r="CL8" s="58">
        <f t="shared" si="15"/>
        <v>-1.7528923274329533E-2</v>
      </c>
      <c r="CN8" s="4">
        <f t="shared" ref="CN8:CN9" si="35">CP8/$CP$10</f>
        <v>0.41</v>
      </c>
      <c r="CO8" s="132" t="s">
        <v>197</v>
      </c>
      <c r="CP8" s="3">
        <f>COUNTIF($T$7:$T$106,$CO8)</f>
        <v>41</v>
      </c>
      <c r="CQ8" s="2">
        <f>AVERAGEIFS($CB$7:$CB$106,$T$7:$T$106,$CO8)</f>
        <v>0.84330881324888141</v>
      </c>
      <c r="CR8" s="89">
        <f>AVERAGEIFS($CE$7:$CE$106,$T$7:$T$106,$CO8)</f>
        <v>-3.5888410345519636E-2</v>
      </c>
      <c r="CS8" s="3"/>
      <c r="CT8" s="37" t="s">
        <v>580</v>
      </c>
      <c r="CU8" s="21">
        <f>AVERAGEIFS($CB$7:$CB$106,$O$7:$O$106,"&lt;=5")</f>
        <v>0.80811511628523092</v>
      </c>
      <c r="CV8" s="60">
        <f>AVERAGEIFS($CE$7:$CE$106,$O$7:$O$106,"&lt;=5")</f>
        <v>-3.4297442754238884E-2</v>
      </c>
      <c r="CW8" s="99">
        <f>COUNTIF($O$7:$O$106,"&lt;=5")</f>
        <v>77</v>
      </c>
      <c r="CY8" s="68" t="s">
        <v>278</v>
      </c>
      <c r="CZ8" s="21">
        <f>AVERAGEIF($F$7:$F$106,$CY8,$CB$7:$CB$106)</f>
        <v>0.76961344664415321</v>
      </c>
      <c r="DA8" s="60">
        <f>AVERAGEIF($F$7:$F$106,$CY8,$CE$7:$CE$106)</f>
        <v>-6.2955953177712853E-2</v>
      </c>
      <c r="DB8" s="37">
        <f>COUNTIF($F$7:$F$106,$CY8)</f>
        <v>9</v>
      </c>
      <c r="DC8" s="2">
        <f t="shared" ref="DC8:DC71" si="36">N8/O8</f>
        <v>1.0757575757575757</v>
      </c>
      <c r="DD8">
        <f t="shared" si="16"/>
        <v>1</v>
      </c>
      <c r="DE8">
        <f t="shared" ref="DE8:DE71" si="37">AY8+DD8</f>
        <v>18</v>
      </c>
      <c r="DJ8" s="6" t="s">
        <v>919</v>
      </c>
      <c r="DK8">
        <f t="shared" si="17"/>
        <v>1</v>
      </c>
      <c r="DL8" s="72">
        <f>SUMIF($H$7:$H$106,$DJ8,$N$7:$N$106)</f>
        <v>1.5935999999999999</v>
      </c>
      <c r="DM8" s="2">
        <f>AVERAGEIF($H$7:$H$106,$DJ8,$CB$7:$CB$106)</f>
        <v>0.90564218391443563</v>
      </c>
      <c r="DN8" s="58">
        <f>AVERAGEIF($H$7:$H$106,$DJ8,$CE$7:$CE$106)</f>
        <v>-3.1310529419465868E-2</v>
      </c>
      <c r="DP8" s="6" t="s">
        <v>636</v>
      </c>
      <c r="DQ8">
        <f>COUNTIF($G$7:$G$106,$DP8)</f>
        <v>80</v>
      </c>
      <c r="DT8">
        <f t="shared" ref="DT8:DT71" si="38">SUM(AB8:AH8)</f>
        <v>223045</v>
      </c>
      <c r="DU8" s="3">
        <f t="shared" ref="DU8:DU71" si="39">IF(BB8&gt;0,AB8/BB8,$AA8)</f>
        <v>32000</v>
      </c>
      <c r="DV8" s="3">
        <f t="shared" ref="DV8:DV71" si="40">IF(BC8&gt;0,AC8/BC8,$AA8)</f>
        <v>31840.000000000004</v>
      </c>
      <c r="DW8" s="3">
        <f t="shared" ref="DW8:DW71" si="41">IF(BD8&gt;0,AD8/BD8,$AA8)</f>
        <v>31680.800000000003</v>
      </c>
      <c r="DX8" s="3">
        <f t="shared" ref="DX8:DX71" si="42">IF(BE8&gt;0,AE8/BE8,$AA8)</f>
        <v>31522.396000000001</v>
      </c>
      <c r="DY8" s="3">
        <f t="shared" ref="DY8:DY71" si="43">IF(BF8&gt;0,AF8/BF8,$AA8)</f>
        <v>31364.784020000003</v>
      </c>
      <c r="DZ8" s="3">
        <f t="shared" ref="DZ8:DZ71" si="44">IF(BG8&gt;0,AG8/BG8,$AA8)</f>
        <v>31207.960099899999</v>
      </c>
      <c r="EA8" s="3">
        <f t="shared" ref="EA8:EA71" si="45">IF(BH8&gt;0,AH8/BH8,$AA8)</f>
        <v>31051.920299400503</v>
      </c>
      <c r="EB8" s="2">
        <f t="shared" ref="EB8:EB71" si="46">DT8/SUM(DU8:EA8)</f>
        <v>1.0107724775877311</v>
      </c>
      <c r="ED8" s="2">
        <f t="shared" ref="ED8:ED71" si="47">IF($T8="H",CB8," ")</f>
        <v>0.8883293062644867</v>
      </c>
      <c r="EE8" s="58">
        <f t="shared" ref="EE8:EE71" si="48">IF($T8="H",$CE8," ")</f>
        <v>-2.9172846589626326E-2</v>
      </c>
      <c r="EF8" s="2" t="str">
        <f t="shared" ref="EF8:EF71" si="49">IF($T8="C",CB8," ")</f>
        <v xml:space="preserve"> </v>
      </c>
      <c r="EG8" s="58" t="str">
        <f t="shared" ref="EG8:EG71" si="50">IF($T8="C",CE8," ")</f>
        <v xml:space="preserve"> </v>
      </c>
      <c r="EI8" s="2">
        <f t="shared" ref="EI8:EI71" si="51">IF($T8="H",$EB8," ")</f>
        <v>1.0107724775877311</v>
      </c>
      <c r="EJ8" s="2" t="str">
        <f t="shared" ref="EJ8:EJ71" si="52">IF($T8="C",$EB8," ")</f>
        <v xml:space="preserve"> </v>
      </c>
      <c r="EK8" s="2"/>
      <c r="EL8" s="2">
        <f t="array" ref="EL8:EM8">LINEST($AB8:$AH8,$AB$6:$AH$6,TRUE,FALSE)</f>
        <v>-125.71428571428571</v>
      </c>
      <c r="EM8" s="2">
        <v>32366.428571428569</v>
      </c>
      <c r="EN8" s="58">
        <f t="shared" ref="EN8:EN71" si="53">EL8/(EL8*($AB$6+$AH$6)*0.5+EM8)</f>
        <v>-3.9453921854334323E-3</v>
      </c>
      <c r="EO8" s="2">
        <f t="array" ref="EO8:EP8">LINEST($AH8:$AR8,$AH$6:$AR$6,TRUE,FALSE)</f>
        <v>-829.79090909090917</v>
      </c>
      <c r="EP8" s="2">
        <v>34735.036363636362</v>
      </c>
      <c r="EQ8" s="58">
        <f t="shared" ref="EQ8:EQ71" si="54">EO8/(EO8*(AY8/2+7/2)+EP8)</f>
        <v>-3.3489633208953859E-2</v>
      </c>
      <c r="ES8" s="3">
        <f t="shared" ref="ES8:ES71" si="55">($EM8+$EL8*ES$6-AB8)^2</f>
        <v>67229.081632654677</v>
      </c>
      <c r="ET8" s="3">
        <f t="shared" si="19"/>
        <v>13224.999999999163</v>
      </c>
      <c r="EU8" s="3">
        <f t="shared" si="19"/>
        <v>473737.22448979021</v>
      </c>
      <c r="EV8" s="3">
        <f t="shared" si="19"/>
        <v>68344.897959184222</v>
      </c>
      <c r="EW8" s="3">
        <f t="shared" si="19"/>
        <v>177361.3061224503</v>
      </c>
      <c r="EX8" s="3">
        <f t="shared" si="19"/>
        <v>21274.306122449587</v>
      </c>
      <c r="EY8" s="3">
        <f t="shared" si="19"/>
        <v>80899.612244896474</v>
      </c>
      <c r="EZ8" s="3">
        <f t="shared" ref="EZ8:EZ71" si="56">($EP8+$EO8*EZ$6-AI8)^2</f>
        <v>5434917.3028099332</v>
      </c>
      <c r="FA8" s="3">
        <f t="shared" ref="FA8:FI9" si="57">($EP8+$EO8*FA$6-AJ8)^2</f>
        <v>56880529.86123962</v>
      </c>
      <c r="FB8" s="29">
        <f t="shared" si="57"/>
        <v>3153723.9434710843</v>
      </c>
      <c r="FC8" s="3">
        <f t="shared" si="57"/>
        <v>1696932.549504139</v>
      </c>
      <c r="FD8" s="3">
        <f t="shared" si="57"/>
        <v>2877958.0247933962</v>
      </c>
      <c r="FE8" s="3">
        <f t="shared" si="57"/>
        <v>1022617.3693388471</v>
      </c>
      <c r="FF8" s="3">
        <f t="shared" si="57"/>
        <v>15507557.601322271</v>
      </c>
      <c r="FG8" s="29">
        <f t="shared" si="57"/>
        <v>5350768.0661983229</v>
      </c>
      <c r="FH8" s="3">
        <f t="shared" si="57"/>
        <v>70022.782148762926</v>
      </c>
      <c r="FI8" s="3">
        <f t="shared" si="57"/>
        <v>9830790.1673554014</v>
      </c>
      <c r="FQ8" s="4">
        <f>SQRT(AVERAGE(ES8:FI8))/AVERAGE(AB8:AR8)</f>
        <v>8.9987082653886261E-2</v>
      </c>
      <c r="FR8" s="160">
        <v>4.1000000000000002E-2</v>
      </c>
      <c r="FS8" s="161">
        <f t="shared" si="21"/>
        <v>0.45562094903883787</v>
      </c>
      <c r="FV8" s="4">
        <f t="shared" ref="FV8:FV71" si="58">SQRT(AVERAGE(ES8:EY8))/AVERAGE(AB8:AH8)</f>
        <v>1.1266187938018623E-2</v>
      </c>
      <c r="FW8" s="161">
        <f t="shared" ref="FW8:FW71" si="59">FR8/FV8</f>
        <v>3.6392078869590243</v>
      </c>
      <c r="FY8">
        <f>FY7+1</f>
        <v>13</v>
      </c>
      <c r="FZ8">
        <f t="shared" ref="FZ8:FZ18" si="60">COUNTIF($AY$7:$AY$106,FY8)</f>
        <v>24</v>
      </c>
      <c r="GA8">
        <f t="shared" ref="GA8:GA18" si="61">COUNTIFS($I$7:$I$106,"Fixed",$AY$7:$AY$106,$FY8)</f>
        <v>14</v>
      </c>
      <c r="GB8">
        <f t="shared" ref="GB8:GB18" si="62">COUNTIFS($I$7:$I$106,"Tracker",$AY$7:$AY$106,$FY8)</f>
        <v>10</v>
      </c>
    </row>
    <row r="9" spans="1:184" x14ac:dyDescent="0.3">
      <c r="A9">
        <f t="shared" si="22"/>
        <v>3</v>
      </c>
      <c r="B9" s="6">
        <v>56481</v>
      </c>
      <c r="C9" s="6" t="s">
        <v>53</v>
      </c>
      <c r="D9" s="6">
        <v>2008</v>
      </c>
      <c r="E9" s="6">
        <v>2007</v>
      </c>
      <c r="F9" s="6" t="s">
        <v>252</v>
      </c>
      <c r="G9" s="17" t="s">
        <v>636</v>
      </c>
      <c r="H9" s="17" t="s">
        <v>625</v>
      </c>
      <c r="I9" s="6" t="s">
        <v>36</v>
      </c>
      <c r="J9" s="17">
        <v>0</v>
      </c>
      <c r="K9" s="6" t="s">
        <v>51</v>
      </c>
      <c r="L9" s="12">
        <v>37.690300000000001</v>
      </c>
      <c r="M9" s="12">
        <v>-105.8805</v>
      </c>
      <c r="N9" s="14">
        <v>9.1999999999999993</v>
      </c>
      <c r="O9" s="6">
        <v>8.1999999999999993</v>
      </c>
      <c r="P9" s="94">
        <f>365.25*(8.8*(1/$N$9)+7.7*(8.2/$N$9))</f>
        <v>2856.0961956521737</v>
      </c>
      <c r="Q9" s="15" t="s">
        <v>511</v>
      </c>
      <c r="R9" s="14">
        <v>5.0999999999999996</v>
      </c>
      <c r="S9" s="3">
        <f t="shared" si="23"/>
        <v>36.71661358695652</v>
      </c>
      <c r="T9" s="128" t="str">
        <f t="shared" si="24"/>
        <v>C</v>
      </c>
      <c r="U9" s="154">
        <v>1926</v>
      </c>
      <c r="V9" s="154">
        <v>518</v>
      </c>
      <c r="W9" s="156">
        <v>0.64400000000000002</v>
      </c>
      <c r="X9" s="1">
        <f t="shared" ref="X9:X70" si="63">V9/U9</f>
        <v>0.26895119418483904</v>
      </c>
      <c r="Y9" s="59">
        <f t="shared" si="25"/>
        <v>3.2915121749569454E-2</v>
      </c>
      <c r="Z9" s="1">
        <f t="shared" si="26"/>
        <v>0.65402802904950763</v>
      </c>
      <c r="AA9" s="3">
        <f t="shared" ref="AA9:AA72" si="64">N9*P9*INDEX($C$3:$D$4,MATCH(I9,$C$3:$C$4,0),2)*CH9</f>
        <v>20347.890476904297</v>
      </c>
      <c r="AB9" s="6">
        <v>17531</v>
      </c>
      <c r="AC9" s="6">
        <v>17455</v>
      </c>
      <c r="AD9" s="6">
        <v>17608</v>
      </c>
      <c r="AE9" s="6">
        <v>17797</v>
      </c>
      <c r="AF9" s="93">
        <v>17573</v>
      </c>
      <c r="AG9" s="6">
        <v>16907</v>
      </c>
      <c r="AH9" s="6">
        <v>16601</v>
      </c>
      <c r="AI9" s="6">
        <v>2638</v>
      </c>
      <c r="AJ9" s="6">
        <v>2636</v>
      </c>
      <c r="AK9" s="93">
        <v>34876</v>
      </c>
      <c r="AL9" s="6">
        <v>15939</v>
      </c>
      <c r="AM9" s="6">
        <v>15517</v>
      </c>
      <c r="AN9" s="6">
        <v>14258</v>
      </c>
      <c r="AO9" s="6">
        <v>12321</v>
      </c>
      <c r="AP9" s="93">
        <v>13729</v>
      </c>
      <c r="AQ9" s="6">
        <v>11357</v>
      </c>
      <c r="AR9" s="6">
        <v>13435</v>
      </c>
      <c r="AU9" s="23"/>
      <c r="AY9" s="32">
        <v>17</v>
      </c>
      <c r="AZ9" s="1">
        <f t="shared" si="27"/>
        <v>0.57797579724949855</v>
      </c>
      <c r="BA9" s="24">
        <f t="shared" si="8"/>
        <v>3</v>
      </c>
      <c r="BB9" s="2">
        <f t="shared" si="28"/>
        <v>0.86156351293016908</v>
      </c>
      <c r="BC9" s="2">
        <f t="shared" si="28"/>
        <v>0.86213917790401451</v>
      </c>
      <c r="BD9" s="2">
        <f t="shared" si="28"/>
        <v>0.87406650235041639</v>
      </c>
      <c r="BE9" s="2">
        <f t="shared" si="28"/>
        <v>0.88788795992287439</v>
      </c>
      <c r="BF9" s="20">
        <f t="shared" si="28"/>
        <v>0.88111824615715939</v>
      </c>
      <c r="BG9" s="2">
        <f t="shared" si="28"/>
        <v>0.85198462509892503</v>
      </c>
      <c r="BH9" s="2">
        <f t="shared" si="28"/>
        <v>0.84076838687239086</v>
      </c>
      <c r="BI9" s="2">
        <f t="shared" si="28"/>
        <v>0.13427458989843302</v>
      </c>
      <c r="BJ9" s="2">
        <f t="shared" si="28"/>
        <v>0.13484702472646379</v>
      </c>
      <c r="BK9" s="20">
        <f t="shared" si="28"/>
        <v>1.1499999999999999</v>
      </c>
      <c r="BL9" s="2">
        <f t="shared" si="29"/>
        <v>0.82358963403313246</v>
      </c>
      <c r="BM9" s="2">
        <f t="shared" si="29"/>
        <v>0.80581339165191135</v>
      </c>
      <c r="BN9" s="2">
        <f t="shared" si="29"/>
        <v>0.74415302251885529</v>
      </c>
      <c r="BO9" s="2">
        <f t="shared" si="29"/>
        <v>0.64628863143426585</v>
      </c>
      <c r="BP9" s="20">
        <f t="shared" si="29"/>
        <v>0.7237630095906884</v>
      </c>
      <c r="BQ9" s="2">
        <f t="shared" si="29"/>
        <v>0.60172495516561963</v>
      </c>
      <c r="BR9" s="2">
        <f t="shared" si="29"/>
        <v>0.71540008510015962</v>
      </c>
      <c r="BU9" s="23"/>
      <c r="BY9" s="25">
        <f t="shared" si="10"/>
        <v>3</v>
      </c>
      <c r="BZ9" s="3">
        <f t="shared" si="11"/>
        <v>332417.51113842457</v>
      </c>
      <c r="CA9" s="3">
        <f t="shared" si="30"/>
        <v>258178</v>
      </c>
      <c r="CB9" s="2">
        <f t="shared" si="31"/>
        <v>0.77666786901755636</v>
      </c>
      <c r="CC9" s="85">
        <f t="shared" si="32"/>
        <v>72</v>
      </c>
      <c r="CD9" s="3" t="str">
        <f t="shared" si="12"/>
        <v>Tracker</v>
      </c>
      <c r="CE9" s="58">
        <f t="shared" si="33"/>
        <v>-1.8012392956256167E-2</v>
      </c>
      <c r="CF9" s="2">
        <f t="array" ref="CF9:CG9">LINEST(AB9:AR9,AB$6:AR$6,TRUE,FALSE)</f>
        <v>-276.03921568627453</v>
      </c>
      <c r="CG9" s="2">
        <v>17671.294117647059</v>
      </c>
      <c r="CH9" s="1">
        <f t="shared" si="34"/>
        <v>1.0189318576641029</v>
      </c>
      <c r="CI9" s="128" t="s">
        <v>51</v>
      </c>
      <c r="CJ9">
        <f t="shared" si="13"/>
        <v>8</v>
      </c>
      <c r="CK9" s="2">
        <f t="shared" si="14"/>
        <v>0.82407750755369569</v>
      </c>
      <c r="CL9" s="58">
        <f t="shared" si="15"/>
        <v>-2.4628204874578521E-2</v>
      </c>
      <c r="CN9" s="4">
        <f t="shared" si="35"/>
        <v>0.47</v>
      </c>
      <c r="CO9" s="131" t="s">
        <v>196</v>
      </c>
      <c r="CP9" s="37">
        <f>COUNTIF($T$7:$T$106,$CO9)</f>
        <v>47</v>
      </c>
      <c r="CQ9" s="21">
        <f>AVERAGEIFS($CB$7:$CB$106,$T$7:$T$106,$CO9)</f>
        <v>0.85933434045069268</v>
      </c>
      <c r="CR9" s="90">
        <f>AVERAGEIFS($CE$7:$CE$106,$T$7:$T$106,$CO9)</f>
        <v>-2.1133652770599289E-2</v>
      </c>
      <c r="CS9" s="3"/>
      <c r="CT9" s="3" t="s">
        <v>586</v>
      </c>
      <c r="CU9" s="2">
        <f>AVERAGE($CB$7:$CB$106)</f>
        <v>0.83956393094067594</v>
      </c>
      <c r="CV9" s="69">
        <f>AVERAGE($CE$7:$CE$106)</f>
        <v>-3.1107463962614244E-2</v>
      </c>
      <c r="CW9" s="3">
        <f>SUM(CW7:CW8)</f>
        <v>100</v>
      </c>
      <c r="CY9" s="106" t="s">
        <v>587</v>
      </c>
      <c r="CZ9" s="2">
        <f>SUMPRODUCT(CZ7:CZ8,$DB7:$DB8)/$DB9</f>
        <v>0.76013359242635559</v>
      </c>
      <c r="DA9" s="58">
        <f>SUMPRODUCT(DA7:DA8,$DB7:$DB8)/$DB9</f>
        <v>-5.3746764613824834E-2</v>
      </c>
      <c r="DB9" s="3">
        <f>SUM(DB7:DB8)</f>
        <v>11</v>
      </c>
      <c r="DC9" s="2">
        <f t="shared" si="36"/>
        <v>1.1219512195121952</v>
      </c>
      <c r="DD9">
        <f t="shared" si="16"/>
        <v>1</v>
      </c>
      <c r="DE9">
        <f t="shared" si="37"/>
        <v>18</v>
      </c>
      <c r="DJ9" s="6" t="s">
        <v>639</v>
      </c>
      <c r="DK9">
        <f t="shared" si="17"/>
        <v>4</v>
      </c>
      <c r="DL9" s="72">
        <f t="shared" ref="DL9:DL18" si="65">SUMIF($H$7:$H$106,$DJ9,$N$7:$N$106)</f>
        <v>5.9350000000000005</v>
      </c>
      <c r="DM9" s="2">
        <f>AVERAGEIF($H$7:$H$106,$DJ9,$CB$7:$CB$106)</f>
        <v>0.80917874893187614</v>
      </c>
      <c r="DN9" s="58">
        <f>AVERAGEIF($H$7:$H$106,$DJ9,$CE$7:$CE$106)</f>
        <v>-4.411904600156108E-2</v>
      </c>
      <c r="DP9" s="6" t="s">
        <v>635</v>
      </c>
      <c r="DQ9">
        <f>COUNTIF($G$7:$G$106,$DP9)</f>
        <v>0</v>
      </c>
      <c r="DT9">
        <f t="shared" si="38"/>
        <v>121472</v>
      </c>
      <c r="DU9" s="3">
        <f t="shared" si="39"/>
        <v>20347.890476904297</v>
      </c>
      <c r="DV9" s="3">
        <f t="shared" si="40"/>
        <v>20246.151024519775</v>
      </c>
      <c r="DW9" s="3">
        <f t="shared" si="41"/>
        <v>20144.920269397178</v>
      </c>
      <c r="DX9" s="3">
        <f t="shared" si="42"/>
        <v>20044.19566805019</v>
      </c>
      <c r="DY9" s="3">
        <f t="shared" si="43"/>
        <v>19943.974689709939</v>
      </c>
      <c r="DZ9" s="3">
        <f t="shared" si="44"/>
        <v>19844.254816261393</v>
      </c>
      <c r="EA9" s="3">
        <f t="shared" si="45"/>
        <v>19745.033542180085</v>
      </c>
      <c r="EB9" s="2">
        <f t="shared" si="46"/>
        <v>0.86570053296958449</v>
      </c>
      <c r="ED9" s="2" t="str">
        <f t="shared" si="47"/>
        <v xml:space="preserve"> </v>
      </c>
      <c r="EE9" s="58" t="str">
        <f t="shared" si="48"/>
        <v xml:space="preserve"> </v>
      </c>
      <c r="EF9" s="2">
        <f t="shared" si="49"/>
        <v>0.77666786901755636</v>
      </c>
      <c r="EG9" s="58">
        <f t="shared" si="50"/>
        <v>-1.8012392956256167E-2</v>
      </c>
      <c r="EI9" s="2" t="str">
        <f t="shared" si="51"/>
        <v xml:space="preserve"> </v>
      </c>
      <c r="EJ9" s="2">
        <f t="shared" si="52"/>
        <v>0.86570053296958449</v>
      </c>
      <c r="EK9" s="2"/>
      <c r="EL9" s="2">
        <f t="array" ref="EL9:EM9">LINEST($AB9:$AH9,$AB$6:$AH$6,TRUE,FALSE)</f>
        <v>-140.03571428571425</v>
      </c>
      <c r="EM9" s="2">
        <v>17913.285714285717</v>
      </c>
      <c r="EN9" s="58">
        <f t="shared" si="53"/>
        <v>-8.0697609325605865E-3</v>
      </c>
      <c r="EO9" s="2">
        <f t="array" ref="EO9:EP9">LINEST($AH9:$AR9,$AH$6:$AR$6,TRUE,FALSE)</f>
        <v>50.309090909090884</v>
      </c>
      <c r="EP9" s="2">
        <v>13333.290909090909</v>
      </c>
      <c r="EQ9" s="58">
        <f t="shared" si="54"/>
        <v>3.6097503701722671E-3</v>
      </c>
      <c r="ES9" s="3">
        <f t="shared" si="55"/>
        <v>58685.062500001761</v>
      </c>
      <c r="ET9" s="3">
        <f t="shared" si="19"/>
        <v>31760.331632654543</v>
      </c>
      <c r="EU9" s="3">
        <f t="shared" si="19"/>
        <v>13183.960459182599</v>
      </c>
      <c r="EV9" s="3">
        <f t="shared" si="19"/>
        <v>197009.16326530473</v>
      </c>
      <c r="EW9" s="3">
        <f t="shared" si="19"/>
        <v>129522.86862244748</v>
      </c>
      <c r="EX9" s="3">
        <f t="shared" si="19"/>
        <v>27579.719387755966</v>
      </c>
      <c r="EY9" s="3">
        <f t="shared" si="19"/>
        <v>110247.71556122656</v>
      </c>
      <c r="EZ9" s="3">
        <f t="shared" si="56"/>
        <v>123160357.72859503</v>
      </c>
      <c r="FA9" s="3">
        <f t="shared" si="57"/>
        <v>124324121.82347107</v>
      </c>
      <c r="FB9" s="29">
        <f t="shared" si="57"/>
        <v>442665533.23669428</v>
      </c>
      <c r="FC9" s="3">
        <f t="shared" si="57"/>
        <v>4211972.6046281019</v>
      </c>
      <c r="FD9" s="3">
        <f t="shared" si="57"/>
        <v>2496400</v>
      </c>
      <c r="FE9" s="3">
        <f t="shared" si="57"/>
        <v>73273.568264463451</v>
      </c>
      <c r="FF9" s="3">
        <f t="shared" si="57"/>
        <v>2946777.9821487586</v>
      </c>
      <c r="FG9" s="29">
        <f t="shared" si="57"/>
        <v>128828.78710743807</v>
      </c>
      <c r="FH9" s="3">
        <f t="shared" si="57"/>
        <v>7735275.7104132166</v>
      </c>
      <c r="FI9" s="3">
        <f t="shared" si="57"/>
        <v>567830.75206611492</v>
      </c>
      <c r="FQ9" s="4">
        <f>SQRT(AVERAGE(ES9:FI9))/AVERAGE(AB9:AR9)</f>
        <v>0.42519787777128376</v>
      </c>
      <c r="FR9" s="160">
        <v>3.1E-2</v>
      </c>
      <c r="FS9" s="161">
        <f t="shared" si="21"/>
        <v>7.2907231246048379E-2</v>
      </c>
      <c r="FV9" s="4">
        <f t="shared" si="58"/>
        <v>1.6415069739107484E-2</v>
      </c>
      <c r="FW9" s="161">
        <f t="shared" si="59"/>
        <v>1.8885085773437307</v>
      </c>
      <c r="FY9">
        <f t="shared" ref="FY9:FY18" si="66">FY8+1</f>
        <v>14</v>
      </c>
      <c r="FZ9">
        <f t="shared" si="60"/>
        <v>32</v>
      </c>
      <c r="GA9">
        <f t="shared" si="61"/>
        <v>25</v>
      </c>
      <c r="GB9">
        <f t="shared" si="62"/>
        <v>7</v>
      </c>
    </row>
    <row r="10" spans="1:184" x14ac:dyDescent="0.3">
      <c r="A10">
        <f t="shared" si="22"/>
        <v>4</v>
      </c>
      <c r="B10" s="6">
        <v>56900</v>
      </c>
      <c r="C10" s="6" t="s">
        <v>77</v>
      </c>
      <c r="D10" s="6">
        <v>2009</v>
      </c>
      <c r="E10" s="6">
        <v>2008</v>
      </c>
      <c r="F10" s="6" t="s">
        <v>278</v>
      </c>
      <c r="G10" s="17" t="s">
        <v>636</v>
      </c>
      <c r="H10" s="17" t="s">
        <v>638</v>
      </c>
      <c r="I10" s="6" t="s">
        <v>35</v>
      </c>
      <c r="J10" s="17">
        <v>10</v>
      </c>
      <c r="K10" s="6" t="s">
        <v>52</v>
      </c>
      <c r="L10" s="12">
        <v>39.36</v>
      </c>
      <c r="M10" s="12">
        <v>-74.44</v>
      </c>
      <c r="N10" s="14">
        <v>2.4</v>
      </c>
      <c r="O10" s="6">
        <v>2</v>
      </c>
      <c r="P10" s="94">
        <f>365.25*4.3</f>
        <v>1570.575</v>
      </c>
      <c r="Q10" s="15" t="s">
        <v>529</v>
      </c>
      <c r="R10" s="14">
        <v>11.7</v>
      </c>
      <c r="S10" s="3">
        <f t="shared" si="23"/>
        <v>34.822499999999998</v>
      </c>
      <c r="T10" s="128" t="str">
        <f t="shared" si="24"/>
        <v>C</v>
      </c>
      <c r="U10" s="154">
        <v>1486</v>
      </c>
      <c r="V10" s="154">
        <v>672</v>
      </c>
      <c r="W10" s="156">
        <v>0.50900000000000001</v>
      </c>
      <c r="X10" s="1">
        <f t="shared" si="63"/>
        <v>0.45222072678331088</v>
      </c>
      <c r="Y10" s="59">
        <f t="shared" si="25"/>
        <v>0</v>
      </c>
      <c r="Z10" s="1">
        <f t="shared" si="26"/>
        <v>1</v>
      </c>
      <c r="AA10" s="3">
        <f t="shared" si="64"/>
        <v>3095.4399209052203</v>
      </c>
      <c r="AB10" s="6">
        <v>2767</v>
      </c>
      <c r="AC10" s="6">
        <v>3028</v>
      </c>
      <c r="AD10" s="6">
        <v>3069</v>
      </c>
      <c r="AE10" s="6">
        <v>3066</v>
      </c>
      <c r="AF10" s="93">
        <v>2850</v>
      </c>
      <c r="AG10" s="6">
        <v>2979</v>
      </c>
      <c r="AH10" s="6">
        <v>2982</v>
      </c>
      <c r="AI10" s="6">
        <v>3062</v>
      </c>
      <c r="AJ10" s="6">
        <v>2990</v>
      </c>
      <c r="AK10" s="93">
        <v>2899</v>
      </c>
      <c r="AL10" s="6">
        <v>3117</v>
      </c>
      <c r="AM10" s="6">
        <v>3054</v>
      </c>
      <c r="AN10" s="6">
        <v>2986</v>
      </c>
      <c r="AO10" s="6">
        <v>3094</v>
      </c>
      <c r="AP10" s="93">
        <v>2817</v>
      </c>
      <c r="AQ10" s="6">
        <v>2075</v>
      </c>
      <c r="AU10" s="23"/>
      <c r="AY10" s="32">
        <v>16</v>
      </c>
      <c r="AZ10" s="1">
        <f t="shared" si="27"/>
        <v>0.77657001947269855</v>
      </c>
      <c r="BA10" s="24">
        <f t="shared" si="8"/>
        <v>4</v>
      </c>
      <c r="BB10" s="2">
        <f t="shared" ref="BB10:BQ13" si="67">IF(ISNUMBER(AB10),MIN(1.15,AB10/($AA10*(1-$K$3)^(BB$6-1))),"")</f>
        <v>0.89389555950122512</v>
      </c>
      <c r="BC10" s="2">
        <f t="shared" si="67"/>
        <v>0.9831287823903434</v>
      </c>
      <c r="BD10" s="2">
        <f t="shared" si="67"/>
        <v>1.0014478711775401</v>
      </c>
      <c r="BE10" s="2">
        <f t="shared" si="67"/>
        <v>1.0054964208564288</v>
      </c>
      <c r="BF10" s="20">
        <f t="shared" si="67"/>
        <v>0.93935587901701012</v>
      </c>
      <c r="BG10" s="2">
        <f t="shared" si="67"/>
        <v>0.98680813315407667</v>
      </c>
      <c r="BH10" s="2">
        <f t="shared" si="67"/>
        <v>0.99276572626997239</v>
      </c>
      <c r="BI10" s="2">
        <f t="shared" si="67"/>
        <v>1.0245218897433699</v>
      </c>
      <c r="BJ10" s="2">
        <f t="shared" si="67"/>
        <v>1.0054585305143209</v>
      </c>
      <c r="BK10" s="20">
        <f t="shared" si="67"/>
        <v>0.97975640071965719</v>
      </c>
      <c r="BL10" s="2">
        <f t="shared" si="67"/>
        <v>1.0587260902800208</v>
      </c>
      <c r="BM10" s="2">
        <f t="shared" si="67"/>
        <v>1.0425400920918948</v>
      </c>
      <c r="BN10" s="2">
        <f t="shared" si="67"/>
        <v>1.0244492649845158</v>
      </c>
      <c r="BO10" s="2">
        <f t="shared" si="67"/>
        <v>1.0668365356124532</v>
      </c>
      <c r="BP10" s="20">
        <f t="shared" si="67"/>
        <v>0.97620569584193784</v>
      </c>
      <c r="BQ10" s="2">
        <f t="shared" si="67"/>
        <v>0.72268578207759449</v>
      </c>
      <c r="BU10" s="23"/>
      <c r="BY10" s="25">
        <f t="shared" si="10"/>
        <v>4</v>
      </c>
      <c r="BZ10" s="3">
        <f t="shared" si="11"/>
        <v>47712.415101888793</v>
      </c>
      <c r="CA10" s="3">
        <f t="shared" si="30"/>
        <v>46835</v>
      </c>
      <c r="CB10" s="2">
        <f t="shared" si="31"/>
        <v>0.98161033978231671</v>
      </c>
      <c r="CC10" s="85">
        <f t="shared" si="32"/>
        <v>14</v>
      </c>
      <c r="CD10" s="3" t="str">
        <f t="shared" si="12"/>
        <v>Fixed</v>
      </c>
      <c r="CE10" s="58">
        <f t="shared" si="33"/>
        <v>-5.8961927455440455E-3</v>
      </c>
      <c r="CF10" s="2">
        <f t="array" ref="CF10:CG10">LINEST(AB10:AQ10,AB$6:AQ$6,TRUE,FALSE)</f>
        <v>-17.310294117647061</v>
      </c>
      <c r="CG10" s="2">
        <v>3074.3249999999998</v>
      </c>
      <c r="CH10" s="1">
        <f t="shared" si="34"/>
        <v>1.0265083120119289</v>
      </c>
      <c r="CI10" s="128" t="s">
        <v>86</v>
      </c>
      <c r="CJ10">
        <f t="shared" si="13"/>
        <v>7</v>
      </c>
      <c r="CK10" s="2">
        <f t="shared" si="14"/>
        <v>0.79313051036538129</v>
      </c>
      <c r="CL10" s="58">
        <f t="shared" si="15"/>
        <v>-4.009753605662731E-2</v>
      </c>
      <c r="CN10" s="3"/>
      <c r="CO10" s="84" t="s">
        <v>586</v>
      </c>
      <c r="CP10" s="37">
        <f>SUM(CP7:CP9)</f>
        <v>100</v>
      </c>
      <c r="CQ10" s="21">
        <f>AVERAGE($CB$7:$CB$106)</f>
        <v>0.83956393094067594</v>
      </c>
      <c r="CR10" s="90">
        <f>AVERAGE($CE$7:$CE$106)</f>
        <v>-3.1107463962614244E-2</v>
      </c>
      <c r="CS10" s="3"/>
      <c r="CT10" s="3"/>
      <c r="CU10" s="3"/>
      <c r="CV10" s="3"/>
      <c r="CY10" t="s">
        <v>248</v>
      </c>
      <c r="CZ10" s="2">
        <f>AVERAGEIF($F$7:$F$106,$CY10,$CB$7:$CB$106)</f>
        <v>0.84702395708580391</v>
      </c>
      <c r="DA10" s="58">
        <f>AVERAGEIF($F$7:$F$106,$CY10,$CE$7:$CE$106)</f>
        <v>-3.1730114401920508E-2</v>
      </c>
      <c r="DB10">
        <f>COUNTIF($F$7:$F$106,$CY10)</f>
        <v>24</v>
      </c>
      <c r="DC10" s="2">
        <f t="shared" si="36"/>
        <v>1.2</v>
      </c>
      <c r="DD10">
        <f t="shared" si="16"/>
        <v>1</v>
      </c>
      <c r="DE10">
        <f t="shared" si="37"/>
        <v>17</v>
      </c>
      <c r="DJ10" s="6" t="s">
        <v>630</v>
      </c>
      <c r="DK10">
        <f t="shared" si="17"/>
        <v>10</v>
      </c>
      <c r="DL10" s="72">
        <f t="shared" si="65"/>
        <v>167.036384</v>
      </c>
      <c r="DM10" s="2">
        <f>AVERAGEIF($H$7:$H$106,$DJ10,$CB$7:$CB$106)</f>
        <v>0.91722780191212294</v>
      </c>
      <c r="DN10" s="58">
        <f>AVERAGEIF($H$7:$H$106,$DJ10,$CE$7:$CE$106)</f>
        <v>-1.3160099855218826E-2</v>
      </c>
      <c r="DP10" s="6" t="s">
        <v>982</v>
      </c>
      <c r="DQ10">
        <f>COUNTIF($G$7:$G$106,$DP10)</f>
        <v>5</v>
      </c>
      <c r="DT10">
        <f t="shared" si="38"/>
        <v>20741</v>
      </c>
      <c r="DU10" s="3">
        <f t="shared" si="39"/>
        <v>3095.4399209052203</v>
      </c>
      <c r="DV10" s="3">
        <f t="shared" si="40"/>
        <v>3079.9627213006943</v>
      </c>
      <c r="DW10" s="3">
        <f t="shared" si="41"/>
        <v>3064.5629076941909</v>
      </c>
      <c r="DX10" s="3">
        <f t="shared" si="42"/>
        <v>3049.2400931557199</v>
      </c>
      <c r="DY10" s="3">
        <f t="shared" si="43"/>
        <v>3033.9938926899413</v>
      </c>
      <c r="DZ10" s="3">
        <f t="shared" si="44"/>
        <v>3018.8239232264918</v>
      </c>
      <c r="EA10" s="3">
        <f t="shared" si="45"/>
        <v>3003.7298036103593</v>
      </c>
      <c r="EB10" s="2">
        <f t="shared" si="46"/>
        <v>0.97166868486001357</v>
      </c>
      <c r="ED10" s="2" t="str">
        <f t="shared" si="47"/>
        <v xml:space="preserve"> </v>
      </c>
      <c r="EE10" s="58" t="str">
        <f t="shared" si="48"/>
        <v xml:space="preserve"> </v>
      </c>
      <c r="EF10" s="2">
        <f t="shared" si="49"/>
        <v>0.98161033978231671</v>
      </c>
      <c r="EG10" s="58">
        <f t="shared" si="50"/>
        <v>-5.8961927455440455E-3</v>
      </c>
      <c r="EI10" s="2" t="str">
        <f t="shared" si="51"/>
        <v xml:space="preserve"> </v>
      </c>
      <c r="EJ10" s="2">
        <f t="shared" si="52"/>
        <v>0.97166868486001357</v>
      </c>
      <c r="EK10" s="2"/>
      <c r="EL10" s="2">
        <f t="array" ref="EL10:EM10">LINEST($AB10:$AH10,$AB$6:$AH$6,TRUE,FALSE)</f>
        <v>11.714285714285721</v>
      </c>
      <c r="EM10" s="2">
        <v>2916.1428571428573</v>
      </c>
      <c r="EN10" s="58">
        <f t="shared" si="53"/>
        <v>3.9535220095463118E-3</v>
      </c>
      <c r="EO10" s="2">
        <f t="array" ref="EO10:EP10">LINEST($AH10:$AQ10,$AH$6:$AQ$6,TRUE,FALSE)</f>
        <v>-55.51515151515153</v>
      </c>
      <c r="EP10" s="2">
        <v>3546.0242424242424</v>
      </c>
      <c r="EQ10" s="58">
        <f t="shared" si="54"/>
        <v>-1.9093118556593593E-2</v>
      </c>
      <c r="ES10" s="3">
        <f t="shared" si="55"/>
        <v>25875.020408163349</v>
      </c>
      <c r="ET10" s="3">
        <f t="shared" si="19"/>
        <v>7819.6122448979013</v>
      </c>
      <c r="EU10" s="3">
        <f t="shared" si="19"/>
        <v>13856.653061224399</v>
      </c>
      <c r="EV10" s="3">
        <f t="shared" si="19"/>
        <v>10609</v>
      </c>
      <c r="EW10" s="3">
        <f t="shared" si="19"/>
        <v>15553.653061224506</v>
      </c>
      <c r="EX10" s="3">
        <f t="shared" si="19"/>
        <v>55.183673469389689</v>
      </c>
      <c r="EY10" s="3">
        <f t="shared" si="19"/>
        <v>260.59183673470017</v>
      </c>
      <c r="EZ10" s="3">
        <f t="shared" si="56"/>
        <v>1592.2518273645617</v>
      </c>
      <c r="FA10" s="3">
        <f t="shared" ref="FA10:FH13" si="68">($EP10+$EO10*FA$6-AJ10)^2</f>
        <v>3179.5928741964708</v>
      </c>
      <c r="FB10" s="29">
        <f t="shared" si="68"/>
        <v>8440.5980165289475</v>
      </c>
      <c r="FC10" s="3">
        <f t="shared" si="68"/>
        <v>32993.970284664945</v>
      </c>
      <c r="FD10" s="3">
        <f t="shared" si="68"/>
        <v>30330.861193755849</v>
      </c>
      <c r="FE10" s="3">
        <f t="shared" si="68"/>
        <v>26138.070743801749</v>
      </c>
      <c r="FF10" s="3">
        <f t="shared" si="68"/>
        <v>105747.15651056034</v>
      </c>
      <c r="FG10" s="29">
        <f t="shared" si="68"/>
        <v>10754.318494031277</v>
      </c>
      <c r="FH10" s="3">
        <f t="shared" si="68"/>
        <v>339634.64760330546</v>
      </c>
      <c r="FI10" s="3"/>
      <c r="FQ10" s="4">
        <f>SQRT(AVERAGE(ES10:FH10))/AVERAGE(AB10:AQ10)</f>
        <v>6.7941766310850082E-2</v>
      </c>
      <c r="FR10" s="160">
        <v>2.75E-2</v>
      </c>
      <c r="FS10" s="161">
        <f t="shared" si="21"/>
        <v>0.4047583907986852</v>
      </c>
      <c r="FV10" s="4">
        <f t="shared" si="58"/>
        <v>3.4707422704724974E-2</v>
      </c>
      <c r="FW10" s="161">
        <f t="shared" si="59"/>
        <v>0.79233771501726125</v>
      </c>
      <c r="FY10">
        <f t="shared" si="66"/>
        <v>15</v>
      </c>
      <c r="FZ10">
        <f t="shared" si="60"/>
        <v>17</v>
      </c>
      <c r="GA10">
        <f t="shared" si="61"/>
        <v>13</v>
      </c>
      <c r="GB10">
        <f t="shared" si="62"/>
        <v>4</v>
      </c>
    </row>
    <row r="11" spans="1:184" x14ac:dyDescent="0.3">
      <c r="A11">
        <f t="shared" si="22"/>
        <v>5</v>
      </c>
      <c r="B11" s="6">
        <v>56862</v>
      </c>
      <c r="C11" s="6" t="s">
        <v>56</v>
      </c>
      <c r="D11" s="6">
        <v>2009</v>
      </c>
      <c r="E11" s="6">
        <v>2008</v>
      </c>
      <c r="F11" s="6" t="s">
        <v>252</v>
      </c>
      <c r="G11" s="17" t="s">
        <v>636</v>
      </c>
      <c r="H11" s="17" t="s">
        <v>629</v>
      </c>
      <c r="I11" s="6" t="s">
        <v>36</v>
      </c>
      <c r="J11" s="17">
        <v>15</v>
      </c>
      <c r="K11" s="6" t="s">
        <v>24</v>
      </c>
      <c r="L11" s="12">
        <v>34.56</v>
      </c>
      <c r="M11" s="12">
        <v>-117.69</v>
      </c>
      <c r="N11" s="14">
        <f>10300*185/1000000</f>
        <v>1.9055</v>
      </c>
      <c r="O11" s="6">
        <v>1.5</v>
      </c>
      <c r="P11" s="94">
        <f>365.25*(8.4*0.75+9*0.25)</f>
        <v>3122.8875000000003</v>
      </c>
      <c r="Q11" s="15" t="s">
        <v>512</v>
      </c>
      <c r="R11" s="14">
        <v>19.8</v>
      </c>
      <c r="S11" s="3">
        <f t="shared" si="23"/>
        <v>53.300587500000006</v>
      </c>
      <c r="T11" s="128" t="str">
        <f t="shared" si="24"/>
        <v>H</v>
      </c>
      <c r="U11" s="154">
        <v>2138</v>
      </c>
      <c r="V11" s="154">
        <v>489</v>
      </c>
      <c r="W11" s="156">
        <v>0.69599999999999995</v>
      </c>
      <c r="X11" s="1">
        <f t="shared" si="63"/>
        <v>0.22871842843779233</v>
      </c>
      <c r="Y11" s="59">
        <f t="shared" si="25"/>
        <v>9.1725148601596029E-2</v>
      </c>
      <c r="Z11" s="1">
        <f t="shared" si="26"/>
        <v>0.30628035092866596</v>
      </c>
      <c r="AA11" s="3">
        <f t="shared" si="64"/>
        <v>4308.1183053197974</v>
      </c>
      <c r="AB11" s="6">
        <v>2526</v>
      </c>
      <c r="AC11" s="6">
        <v>2586.87</v>
      </c>
      <c r="AD11" s="6">
        <v>4298.58</v>
      </c>
      <c r="AE11" s="6">
        <v>4231</v>
      </c>
      <c r="AF11" s="93">
        <v>4053</v>
      </c>
      <c r="AG11" s="6">
        <v>4089</v>
      </c>
      <c r="AH11" s="6">
        <v>2259</v>
      </c>
      <c r="AI11" s="6">
        <v>3778</v>
      </c>
      <c r="AJ11" s="6">
        <v>3270</v>
      </c>
      <c r="AK11" s="93">
        <v>1886</v>
      </c>
      <c r="AL11" s="6">
        <v>3325</v>
      </c>
      <c r="AM11" s="6">
        <v>2779</v>
      </c>
      <c r="AN11" s="6">
        <v>1548</v>
      </c>
      <c r="AO11" s="6">
        <v>857</v>
      </c>
      <c r="AP11" s="93">
        <v>93</v>
      </c>
      <c r="AQ11" s="6">
        <v>67</v>
      </c>
      <c r="AU11" s="23"/>
      <c r="AY11" s="32">
        <v>16</v>
      </c>
      <c r="AZ11" s="1">
        <f t="shared" si="27"/>
        <v>0.43741403352927921</v>
      </c>
      <c r="BA11" s="24">
        <f t="shared" si="8"/>
        <v>5</v>
      </c>
      <c r="BB11" s="2">
        <f t="shared" si="67"/>
        <v>0.58633487313494093</v>
      </c>
      <c r="BC11" s="2">
        <f t="shared" si="67"/>
        <v>0.60348141867953564</v>
      </c>
      <c r="BD11" s="2">
        <f t="shared" si="67"/>
        <v>1.0078391651739538</v>
      </c>
      <c r="BE11" s="2">
        <f t="shared" si="67"/>
        <v>0.996979347895674</v>
      </c>
      <c r="BF11" s="20">
        <f t="shared" si="67"/>
        <v>0.95983517137119456</v>
      </c>
      <c r="BG11" s="2">
        <f t="shared" si="67"/>
        <v>0.97322685862989111</v>
      </c>
      <c r="BH11" s="2">
        <f t="shared" si="67"/>
        <v>0.54036862562873644</v>
      </c>
      <c r="BI11" s="2">
        <f t="shared" si="67"/>
        <v>0.90826539409102469</v>
      </c>
      <c r="BJ11" s="2">
        <f t="shared" si="67"/>
        <v>0.7900880364441718</v>
      </c>
      <c r="BK11" s="20">
        <f t="shared" si="67"/>
        <v>0.45797981858334735</v>
      </c>
      <c r="BL11" s="2">
        <f t="shared" si="67"/>
        <v>0.81147140623031899</v>
      </c>
      <c r="BM11" s="2">
        <f t="shared" si="67"/>
        <v>0.68162739650555237</v>
      </c>
      <c r="BN11" s="2">
        <f t="shared" si="67"/>
        <v>0.38159824302896089</v>
      </c>
      <c r="BO11" s="2">
        <f t="shared" si="67"/>
        <v>0.21232109791581905</v>
      </c>
      <c r="BP11" s="20">
        <f t="shared" si="67"/>
        <v>2.3156461544796531E-2</v>
      </c>
      <c r="BQ11" s="2">
        <f t="shared" si="67"/>
        <v>1.6766444302170721E-2</v>
      </c>
      <c r="BU11" s="23"/>
      <c r="BY11" s="25">
        <f t="shared" si="10"/>
        <v>5</v>
      </c>
      <c r="BZ11" s="3">
        <f t="shared" si="11"/>
        <v>66404.367115402871</v>
      </c>
      <c r="CA11" s="3">
        <f t="shared" si="30"/>
        <v>41646.449999999997</v>
      </c>
      <c r="CB11" s="2">
        <f t="shared" si="31"/>
        <v>0.62716432381056253</v>
      </c>
      <c r="CC11" s="85">
        <f t="shared" si="32"/>
        <v>93</v>
      </c>
      <c r="CD11" s="3" t="str">
        <f t="shared" si="12"/>
        <v>Tracker</v>
      </c>
      <c r="CE11" s="58">
        <f t="shared" si="33"/>
        <v>-7.9050240554450216E-2</v>
      </c>
      <c r="CF11" s="2">
        <f t="array" ref="CF11:CG11">LINEST(AB11:AQ11,AB$6:AQ$6,TRUE,FALSE)</f>
        <v>-214.22748529411763</v>
      </c>
      <c r="CG11" s="2">
        <v>4423.8367499999995</v>
      </c>
      <c r="CH11" s="1">
        <f t="shared" si="34"/>
        <v>0.95259596201192887</v>
      </c>
      <c r="CI11" s="128" t="s">
        <v>83</v>
      </c>
      <c r="CJ11">
        <f t="shared" si="13"/>
        <v>6</v>
      </c>
      <c r="CK11" s="2">
        <f t="shared" si="14"/>
        <v>0.83363143166934084</v>
      </c>
      <c r="CL11" s="58">
        <f t="shared" si="15"/>
        <v>-2.2020272416585787E-2</v>
      </c>
      <c r="CN11" s="3"/>
      <c r="CO11" s="3"/>
      <c r="CP11" s="3"/>
      <c r="CQ11" s="3"/>
      <c r="CR11" s="3"/>
      <c r="CS11" s="3"/>
      <c r="CT11" s="3"/>
      <c r="CU11" s="3"/>
      <c r="CV11" s="3"/>
      <c r="CY11" t="s">
        <v>297</v>
      </c>
      <c r="CZ11" s="2">
        <f>AVERAGEIF($F$7:$F$106,$CY11,$CB$7:$CB$106)</f>
        <v>0.9020481949224004</v>
      </c>
      <c r="DA11" s="58">
        <f>AVERAGEIF($F$7:$F$106,$CY11,$CE$7:$CE$106)</f>
        <v>-1.4343823618769022E-2</v>
      </c>
      <c r="DB11">
        <f>COUNTIF($F$7:$F$106,$CY11)</f>
        <v>2</v>
      </c>
      <c r="DC11" s="2">
        <f t="shared" si="36"/>
        <v>1.2703333333333333</v>
      </c>
      <c r="DD11">
        <f t="shared" si="16"/>
        <v>1</v>
      </c>
      <c r="DE11">
        <f t="shared" si="37"/>
        <v>17</v>
      </c>
      <c r="DJ11" s="6" t="s">
        <v>629</v>
      </c>
      <c r="DK11">
        <f t="shared" si="17"/>
        <v>6</v>
      </c>
      <c r="DL11" s="72">
        <f t="shared" si="65"/>
        <v>12.878499999999999</v>
      </c>
      <c r="DM11" s="2">
        <f>AVERAGEIF($H$7:$H$106,$DJ11,$CB$7:$CB$106)</f>
        <v>0.77372153312541592</v>
      </c>
      <c r="DN11" s="58">
        <f>AVERAGEIF($H$7:$H$106,$DJ11,$CE$7:$CE$106)</f>
        <v>-4.1147448876512303E-2</v>
      </c>
      <c r="DP11" s="6" t="s">
        <v>638</v>
      </c>
      <c r="DQ11" s="33">
        <f>COUNTIF($G$7:$G$106,$DP11)</f>
        <v>0</v>
      </c>
      <c r="DT11">
        <f t="shared" si="38"/>
        <v>24043.45</v>
      </c>
      <c r="DU11" s="3">
        <f t="shared" si="39"/>
        <v>4308.1183053197974</v>
      </c>
      <c r="DV11" s="3">
        <f t="shared" si="40"/>
        <v>4286.5777137931982</v>
      </c>
      <c r="DW11" s="3">
        <f t="shared" si="41"/>
        <v>4265.1448252242326</v>
      </c>
      <c r="DX11" s="3">
        <f t="shared" si="42"/>
        <v>4243.8191010981109</v>
      </c>
      <c r="DY11" s="3">
        <f t="shared" si="43"/>
        <v>4222.6000055926206</v>
      </c>
      <c r="DZ11" s="3">
        <f t="shared" si="44"/>
        <v>4201.4870055646579</v>
      </c>
      <c r="EA11" s="3">
        <f t="shared" si="45"/>
        <v>4180.4795705368351</v>
      </c>
      <c r="EB11" s="2">
        <f t="shared" si="46"/>
        <v>0.80931959967531575</v>
      </c>
      <c r="ED11" s="2">
        <f t="shared" si="47"/>
        <v>0.62716432381056253</v>
      </c>
      <c r="EE11" s="58">
        <f t="shared" si="48"/>
        <v>-7.9050240554450216E-2</v>
      </c>
      <c r="EF11" s="2" t="str">
        <f t="shared" si="49"/>
        <v xml:space="preserve"> </v>
      </c>
      <c r="EG11" s="58" t="str">
        <f t="shared" si="50"/>
        <v xml:space="preserve"> </v>
      </c>
      <c r="EI11" s="2">
        <f t="shared" si="51"/>
        <v>0.80931959967531575</v>
      </c>
      <c r="EJ11" s="2" t="str">
        <f t="shared" si="52"/>
        <v xml:space="preserve"> </v>
      </c>
      <c r="EK11" s="2"/>
      <c r="EL11" s="2">
        <f t="array" ref="EL11:EM11">LINEST($AB11:$AH11,$AB$6:$AH$6,TRUE,FALSE)</f>
        <v>69.91714285714292</v>
      </c>
      <c r="EM11" s="2">
        <v>3155.1099999999997</v>
      </c>
      <c r="EN11" s="58">
        <f t="shared" si="53"/>
        <v>2.0355647795969399E-2</v>
      </c>
      <c r="EO11" s="2">
        <f t="array" ref="EO11:EP11">LINEST($AH11:$AQ11,$AH$6:$AQ$6,TRUE,FALSE)</f>
        <v>-358.47272727272741</v>
      </c>
      <c r="EP11" s="2">
        <v>6108.6363636363649</v>
      </c>
      <c r="EQ11" s="58">
        <f t="shared" si="54"/>
        <v>-0.18048168727858596</v>
      </c>
      <c r="ES11" s="3">
        <f t="shared" si="55"/>
        <v>488638.94645102025</v>
      </c>
      <c r="ET11" s="3">
        <f t="shared" si="19"/>
        <v>501369.19408979552</v>
      </c>
      <c r="EU11" s="3">
        <f t="shared" si="19"/>
        <v>871830.37063061236</v>
      </c>
      <c r="EV11" s="3">
        <f t="shared" si="19"/>
        <v>633968.56331632647</v>
      </c>
      <c r="EW11" s="3">
        <f t="shared" si="19"/>
        <v>300637.58973265282</v>
      </c>
      <c r="EX11" s="3">
        <f t="shared" si="19"/>
        <v>264594.1327367347</v>
      </c>
      <c r="EY11" s="3">
        <f t="shared" si="19"/>
        <v>1919693.3809000005</v>
      </c>
      <c r="EZ11" s="3">
        <f t="shared" si="56"/>
        <v>288525.23933884286</v>
      </c>
      <c r="FA11" s="3">
        <f t="shared" si="68"/>
        <v>150247.85487603297</v>
      </c>
      <c r="FB11" s="29">
        <f t="shared" si="68"/>
        <v>406928.00826446293</v>
      </c>
      <c r="FC11" s="3">
        <f t="shared" si="68"/>
        <v>1344587.8267768605</v>
      </c>
      <c r="FD11" s="3">
        <f t="shared" si="68"/>
        <v>944854.69223140669</v>
      </c>
      <c r="FE11" s="3">
        <f t="shared" si="68"/>
        <v>9902.0591735538073</v>
      </c>
      <c r="FF11" s="3">
        <f t="shared" si="68"/>
        <v>54297.47305785081</v>
      </c>
      <c r="FG11" s="29">
        <f t="shared" si="68"/>
        <v>407740.2975206605</v>
      </c>
      <c r="FH11" s="3">
        <f t="shared" si="68"/>
        <v>93680.514380164692</v>
      </c>
      <c r="FI11" s="3"/>
      <c r="FQ11" s="4">
        <f>SQRT(AVERAGE(ES11:FH11))/AVERAGE(AB11:AQ11)</f>
        <v>0.28299534521512149</v>
      </c>
      <c r="FR11" s="160">
        <v>2.8000000000000001E-2</v>
      </c>
      <c r="FS11" s="161">
        <f t="shared" si="21"/>
        <v>9.8941556719653975E-2</v>
      </c>
      <c r="FV11" s="4">
        <f t="shared" si="58"/>
        <v>0.24558329952199795</v>
      </c>
      <c r="FW11" s="161">
        <f t="shared" si="59"/>
        <v>0.11401426747868872</v>
      </c>
      <c r="FY11">
        <f t="shared" si="66"/>
        <v>16</v>
      </c>
      <c r="FZ11">
        <f t="shared" si="60"/>
        <v>20</v>
      </c>
      <c r="GA11">
        <f t="shared" si="61"/>
        <v>10</v>
      </c>
      <c r="GB11">
        <f t="shared" si="62"/>
        <v>10</v>
      </c>
    </row>
    <row r="12" spans="1:184" x14ac:dyDescent="0.3">
      <c r="A12">
        <f t="shared" si="22"/>
        <v>6</v>
      </c>
      <c r="B12" s="6">
        <v>56944</v>
      </c>
      <c r="C12" s="6" t="s">
        <v>78</v>
      </c>
      <c r="D12" s="6">
        <v>2009</v>
      </c>
      <c r="E12" s="6">
        <v>2008</v>
      </c>
      <c r="F12" s="6" t="s">
        <v>252</v>
      </c>
      <c r="G12" s="17" t="s">
        <v>634</v>
      </c>
      <c r="H12" s="17" t="s">
        <v>630</v>
      </c>
      <c r="I12" s="6" t="s">
        <v>35</v>
      </c>
      <c r="J12" s="17">
        <v>25</v>
      </c>
      <c r="K12" s="6" t="s">
        <v>47</v>
      </c>
      <c r="L12" s="12">
        <v>35.79</v>
      </c>
      <c r="M12" s="12">
        <v>-114.99</v>
      </c>
      <c r="N12" s="14">
        <v>12.4</v>
      </c>
      <c r="O12" s="6">
        <v>10</v>
      </c>
      <c r="P12" s="94">
        <f>365.25*6.4</f>
        <v>2337.6</v>
      </c>
      <c r="Q12" s="15" t="s">
        <v>510</v>
      </c>
      <c r="R12" s="14">
        <v>19.5</v>
      </c>
      <c r="S12" s="3">
        <f t="shared" si="23"/>
        <v>48.323999999999998</v>
      </c>
      <c r="T12" s="128" t="str">
        <f t="shared" si="24"/>
        <v>M</v>
      </c>
      <c r="U12" s="154">
        <v>2078</v>
      </c>
      <c r="V12" s="154">
        <v>550</v>
      </c>
      <c r="W12" s="156">
        <v>0.68400000000000005</v>
      </c>
      <c r="X12" s="1">
        <f t="shared" si="63"/>
        <v>0.26467757459095281</v>
      </c>
      <c r="Y12" s="59">
        <f t="shared" si="25"/>
        <v>1.7043341095668907E-2</v>
      </c>
      <c r="Z12" s="1">
        <f t="shared" si="26"/>
        <v>0.80263188071995606</v>
      </c>
      <c r="AA12" s="3">
        <f t="shared" si="64"/>
        <v>22790.464708266325</v>
      </c>
      <c r="AB12" s="6">
        <v>21661</v>
      </c>
      <c r="AC12" s="6">
        <v>21146</v>
      </c>
      <c r="AD12" s="6">
        <v>21546</v>
      </c>
      <c r="AE12" s="6">
        <v>21245</v>
      </c>
      <c r="AF12" s="93">
        <v>20375</v>
      </c>
      <c r="AG12" s="6">
        <v>19869</v>
      </c>
      <c r="AH12" s="6">
        <v>19885</v>
      </c>
      <c r="AI12" s="6">
        <v>19061</v>
      </c>
      <c r="AJ12" s="6">
        <v>19321</v>
      </c>
      <c r="AK12" s="93">
        <v>19595</v>
      </c>
      <c r="AL12" s="6">
        <v>22562</v>
      </c>
      <c r="AM12" s="6">
        <v>21953</v>
      </c>
      <c r="AN12" s="6">
        <v>18686</v>
      </c>
      <c r="AO12" s="6">
        <v>18948</v>
      </c>
      <c r="AP12" s="93">
        <v>19201</v>
      </c>
      <c r="AQ12" s="6">
        <v>17988</v>
      </c>
      <c r="AU12" s="23"/>
      <c r="AY12" s="32">
        <v>16</v>
      </c>
      <c r="AZ12" s="1">
        <f t="shared" si="27"/>
        <v>0.69654170392572479</v>
      </c>
      <c r="BA12" s="24">
        <f t="shared" si="8"/>
        <v>6</v>
      </c>
      <c r="BB12" s="2">
        <f t="shared" si="67"/>
        <v>0.95044134804953506</v>
      </c>
      <c r="BC12" s="2">
        <f t="shared" si="67"/>
        <v>0.93250671184533862</v>
      </c>
      <c r="BD12" s="2">
        <f t="shared" si="67"/>
        <v>0.95492071220662389</v>
      </c>
      <c r="BE12" s="2">
        <f t="shared" si="67"/>
        <v>0.94631192399525366</v>
      </c>
      <c r="BF12" s="20">
        <f t="shared" si="67"/>
        <v>0.91212028376305121</v>
      </c>
      <c r="BG12" s="2">
        <f t="shared" si="67"/>
        <v>0.8939380543496902</v>
      </c>
      <c r="BH12" s="2">
        <f t="shared" si="67"/>
        <v>0.89915368835437881</v>
      </c>
      <c r="BI12" s="2">
        <f t="shared" si="67"/>
        <v>0.86622544220841791</v>
      </c>
      <c r="BJ12" s="2">
        <f t="shared" si="67"/>
        <v>0.88245338591118561</v>
      </c>
      <c r="BK12" s="20">
        <f t="shared" si="67"/>
        <v>0.89946518977214518</v>
      </c>
      <c r="BL12" s="2">
        <f t="shared" si="67"/>
        <v>1.040863086118992</v>
      </c>
      <c r="BM12" s="2">
        <f t="shared" si="67"/>
        <v>1.017857095492988</v>
      </c>
      <c r="BN12" s="2">
        <f t="shared" si="67"/>
        <v>0.87073538724378385</v>
      </c>
      <c r="BO12" s="2">
        <f t="shared" si="67"/>
        <v>0.88738104078646562</v>
      </c>
      <c r="BP12" s="20">
        <f t="shared" si="67"/>
        <v>0.90374838962285176</v>
      </c>
      <c r="BQ12" s="2">
        <f t="shared" si="67"/>
        <v>0.85090972452679814</v>
      </c>
      <c r="BU12" s="23"/>
      <c r="BY12" s="25">
        <f t="shared" si="10"/>
        <v>6</v>
      </c>
      <c r="BZ12" s="3">
        <f t="shared" si="11"/>
        <v>351287.0998341837</v>
      </c>
      <c r="CA12" s="3">
        <f t="shared" si="30"/>
        <v>323042</v>
      </c>
      <c r="CB12" s="2">
        <f t="shared" si="31"/>
        <v>0.91959539690607461</v>
      </c>
      <c r="CC12" s="85">
        <f t="shared" si="32"/>
        <v>32</v>
      </c>
      <c r="CD12" s="3" t="str">
        <f t="shared" si="12"/>
        <v>Fixed</v>
      </c>
      <c r="CE12" s="58">
        <f t="shared" si="33"/>
        <v>-7.8419371691700931E-3</v>
      </c>
      <c r="CF12" s="2">
        <f t="array" ref="CF12:CG12">LINEST(AB12:AQ12,AB$6:AQ$6,TRUE,FALSE)</f>
        <v>-158.95294117647063</v>
      </c>
      <c r="CG12" s="2">
        <v>21541.224999999999</v>
      </c>
      <c r="CH12" s="1">
        <f t="shared" si="34"/>
        <v>0.98281394500745556</v>
      </c>
      <c r="CI12" s="128" t="s">
        <v>23</v>
      </c>
      <c r="CJ12">
        <f t="shared" si="13"/>
        <v>6</v>
      </c>
      <c r="CK12" s="2">
        <f t="shared" si="14"/>
        <v>0.73107181996976578</v>
      </c>
      <c r="CL12" s="58">
        <f t="shared" si="15"/>
        <v>-5.073455905065466E-2</v>
      </c>
      <c r="CN12" s="4">
        <f>CN9</f>
        <v>0.47</v>
      </c>
      <c r="CO12" s="3" t="s">
        <v>801</v>
      </c>
      <c r="CP12" s="3">
        <f>CP9</f>
        <v>47</v>
      </c>
      <c r="CQ12" s="3"/>
      <c r="CR12" s="3"/>
      <c r="CS12" s="3"/>
      <c r="CT12" s="3"/>
      <c r="CU12" s="3"/>
      <c r="CV12" s="3"/>
      <c r="CY12" s="33" t="s">
        <v>252</v>
      </c>
      <c r="CZ12" s="21">
        <f>AVERAGEIF($F$7:$F$106,$CY12,$CB$7:$CB$106)</f>
        <v>0.8486071780551353</v>
      </c>
      <c r="DA12" s="60">
        <f>AVERAGEIF($F$7:$F$106,$CY12,$CE$7:$CE$106)</f>
        <v>-2.7449549089297153E-2</v>
      </c>
      <c r="DB12" s="33">
        <f>COUNTIF($F$7:$F$106,$CY12)</f>
        <v>63</v>
      </c>
      <c r="DC12" s="2">
        <f t="shared" si="36"/>
        <v>1.24</v>
      </c>
      <c r="DD12">
        <f t="shared" si="16"/>
        <v>1</v>
      </c>
      <c r="DE12">
        <f t="shared" si="37"/>
        <v>17</v>
      </c>
      <c r="DJ12" s="6" t="s">
        <v>641</v>
      </c>
      <c r="DK12">
        <f t="shared" si="17"/>
        <v>0</v>
      </c>
      <c r="DL12" s="72">
        <f t="shared" si="65"/>
        <v>0</v>
      </c>
      <c r="DM12" s="2"/>
      <c r="DN12" s="58"/>
      <c r="DQ12">
        <f>SUM(DQ7:DQ11)</f>
        <v>100</v>
      </c>
      <c r="DT12">
        <f t="shared" si="38"/>
        <v>145727</v>
      </c>
      <c r="DU12" s="3">
        <f t="shared" si="39"/>
        <v>22790.464708266325</v>
      </c>
      <c r="DV12" s="3">
        <f t="shared" si="40"/>
        <v>22676.512384724992</v>
      </c>
      <c r="DW12" s="3">
        <f t="shared" si="41"/>
        <v>22563.129822801369</v>
      </c>
      <c r="DX12" s="3">
        <f t="shared" si="42"/>
        <v>22450.314173687362</v>
      </c>
      <c r="DY12" s="3">
        <f t="shared" si="43"/>
        <v>22338.062602818925</v>
      </c>
      <c r="DZ12" s="3">
        <f t="shared" si="44"/>
        <v>22226.372289804833</v>
      </c>
      <c r="EA12" s="3">
        <f t="shared" si="45"/>
        <v>22115.24042835581</v>
      </c>
      <c r="EB12" s="2">
        <f t="shared" si="46"/>
        <v>0.92725191272090157</v>
      </c>
      <c r="ED12" s="2" t="str">
        <f t="shared" si="47"/>
        <v xml:space="preserve"> </v>
      </c>
      <c r="EE12" s="58" t="str">
        <f t="shared" si="48"/>
        <v xml:space="preserve"> </v>
      </c>
      <c r="EF12" s="2" t="str">
        <f t="shared" si="49"/>
        <v xml:space="preserve"> </v>
      </c>
      <c r="EG12" s="58" t="str">
        <f t="shared" si="50"/>
        <v xml:space="preserve"> </v>
      </c>
      <c r="EI12" s="2" t="str">
        <f t="shared" si="51"/>
        <v xml:space="preserve"> </v>
      </c>
      <c r="EJ12" s="2" t="str">
        <f t="shared" si="52"/>
        <v xml:space="preserve"> </v>
      </c>
      <c r="EK12" s="2"/>
      <c r="EL12" s="2">
        <f t="array" ref="EL12:EM12">LINEST($AB12:$AH12,$AB$6:$AH$6,TRUE,FALSE)</f>
        <v>-323.32142857142856</v>
      </c>
      <c r="EM12" s="2">
        <v>22111.428571428572</v>
      </c>
      <c r="EN12" s="58">
        <f t="shared" si="53"/>
        <v>-1.5530752708832267E-2</v>
      </c>
      <c r="EO12" s="2">
        <f t="array" ref="EO12:EP12">LINEST($AH12:$AQ12,$AH$6:$AQ$6,TRUE,FALSE)</f>
        <v>-129.05454545454543</v>
      </c>
      <c r="EP12" s="2">
        <v>21204.127272727274</v>
      </c>
      <c r="EQ12" s="58">
        <f t="shared" si="54"/>
        <v>-6.5443481467822228E-3</v>
      </c>
      <c r="ES12" s="3">
        <f t="shared" si="55"/>
        <v>16156.225765306652</v>
      </c>
      <c r="ET12" s="3">
        <f t="shared" si="19"/>
        <v>101624.33163265273</v>
      </c>
      <c r="EU12" s="3">
        <f t="shared" si="19"/>
        <v>163649.14413265264</v>
      </c>
      <c r="EV12" s="3">
        <f t="shared" si="19"/>
        <v>182207.02040816194</v>
      </c>
      <c r="EW12" s="3">
        <f t="shared" si="19"/>
        <v>14357.174744898583</v>
      </c>
      <c r="EX12" s="3">
        <f t="shared" si="19"/>
        <v>91506.25</v>
      </c>
      <c r="EY12" s="3">
        <f t="shared" si="19"/>
        <v>1355.8176020407398</v>
      </c>
      <c r="EZ12" s="3">
        <f t="shared" si="56"/>
        <v>1233634.2955371928</v>
      </c>
      <c r="FA12" s="3">
        <f t="shared" si="68"/>
        <v>520759.04132231453</v>
      </c>
      <c r="FB12" s="29">
        <f t="shared" si="68"/>
        <v>101494.37487603271</v>
      </c>
      <c r="FC12" s="3">
        <f t="shared" si="68"/>
        <v>7714354.7507437896</v>
      </c>
      <c r="FD12" s="3">
        <f t="shared" si="68"/>
        <v>5278631.5689256135</v>
      </c>
      <c r="FE12" s="3">
        <f t="shared" si="68"/>
        <v>706302.72033057944</v>
      </c>
      <c r="FF12" s="3">
        <f t="shared" si="68"/>
        <v>201927.67768595013</v>
      </c>
      <c r="FG12" s="29">
        <f t="shared" si="68"/>
        <v>4530.5137190085943</v>
      </c>
      <c r="FH12" s="3">
        <f t="shared" si="68"/>
        <v>1325387.0284297557</v>
      </c>
      <c r="FI12" s="3"/>
      <c r="FQ12" s="4">
        <f>SQRT(AVERAGE(ES12:FH12))/AVERAGE(AB12:AQ12)</f>
        <v>5.2031968433972849E-2</v>
      </c>
      <c r="FR12" s="160">
        <v>0.03</v>
      </c>
      <c r="FS12" s="161">
        <f t="shared" si="21"/>
        <v>0.5765686154670312</v>
      </c>
      <c r="FV12" s="4">
        <f t="shared" si="58"/>
        <v>1.3717414661262708E-2</v>
      </c>
      <c r="FW12" s="161">
        <f t="shared" si="59"/>
        <v>2.187001030501651</v>
      </c>
      <c r="FY12">
        <f t="shared" si="66"/>
        <v>17</v>
      </c>
      <c r="FZ12">
        <f t="shared" si="60"/>
        <v>3</v>
      </c>
      <c r="GA12">
        <f t="shared" si="61"/>
        <v>1</v>
      </c>
      <c r="GB12">
        <f t="shared" si="62"/>
        <v>2</v>
      </c>
    </row>
    <row r="13" spans="1:184" x14ac:dyDescent="0.3">
      <c r="A13">
        <f t="shared" si="22"/>
        <v>7</v>
      </c>
      <c r="B13" s="6">
        <v>56813</v>
      </c>
      <c r="C13" s="6" t="s">
        <v>62</v>
      </c>
      <c r="D13" s="6">
        <v>2008</v>
      </c>
      <c r="E13" s="6">
        <v>2007</v>
      </c>
      <c r="F13" s="6" t="s">
        <v>252</v>
      </c>
      <c r="G13" s="17" t="s">
        <v>636</v>
      </c>
      <c r="H13" s="17" t="s">
        <v>629</v>
      </c>
      <c r="I13" s="6" t="s">
        <v>35</v>
      </c>
      <c r="J13" s="17">
        <v>2</v>
      </c>
      <c r="K13" s="6" t="s">
        <v>24</v>
      </c>
      <c r="L13" s="12">
        <v>36.809840000000001</v>
      </c>
      <c r="M13" s="12">
        <v>-119.74167</v>
      </c>
      <c r="N13" s="14">
        <v>1.173</v>
      </c>
      <c r="O13" s="6">
        <v>1</v>
      </c>
      <c r="P13" s="94">
        <f>365.25*5.2*1.02</f>
        <v>1937.2860000000001</v>
      </c>
      <c r="Q13" s="15" t="s">
        <v>513</v>
      </c>
      <c r="R13" s="14">
        <v>17.399999999999999</v>
      </c>
      <c r="S13" s="3">
        <f t="shared" si="23"/>
        <v>43.248359999999998</v>
      </c>
      <c r="T13" s="128" t="str">
        <f t="shared" si="24"/>
        <v>M</v>
      </c>
      <c r="U13" s="154">
        <v>1910</v>
      </c>
      <c r="V13" s="154">
        <v>578</v>
      </c>
      <c r="W13" s="156">
        <v>0.63400000000000001</v>
      </c>
      <c r="X13" s="1">
        <f t="shared" si="63"/>
        <v>0.30261780104712044</v>
      </c>
      <c r="Y13" s="59">
        <f t="shared" si="25"/>
        <v>0</v>
      </c>
      <c r="Z13" s="1">
        <f t="shared" si="26"/>
        <v>1</v>
      </c>
      <c r="AA13" s="16">
        <v>1547</v>
      </c>
      <c r="AB13" s="6">
        <v>1442</v>
      </c>
      <c r="AC13" s="6">
        <v>1655</v>
      </c>
      <c r="AD13" s="6">
        <v>1123</v>
      </c>
      <c r="AE13" s="6">
        <v>981</v>
      </c>
      <c r="AF13" s="93">
        <v>1556</v>
      </c>
      <c r="AG13" s="6">
        <v>1564</v>
      </c>
      <c r="AH13" s="6">
        <v>1453</v>
      </c>
      <c r="AI13" s="6">
        <v>1466</v>
      </c>
      <c r="AJ13" s="6">
        <v>1445</v>
      </c>
      <c r="AK13" s="93">
        <v>1452</v>
      </c>
      <c r="AL13" s="6">
        <v>1294</v>
      </c>
      <c r="AM13" s="6">
        <v>1485</v>
      </c>
      <c r="AN13" s="6">
        <v>1149</v>
      </c>
      <c r="AO13" s="6">
        <v>1059</v>
      </c>
      <c r="AP13" s="93">
        <v>592</v>
      </c>
      <c r="AQ13" s="6">
        <v>1094</v>
      </c>
      <c r="AR13" s="6">
        <v>1438</v>
      </c>
      <c r="AU13" s="23"/>
      <c r="AY13" s="32">
        <v>17</v>
      </c>
      <c r="AZ13" s="1">
        <f t="shared" si="27"/>
        <v>0.57590427500299135</v>
      </c>
      <c r="BA13" s="24">
        <f t="shared" si="8"/>
        <v>7</v>
      </c>
      <c r="BB13" s="2">
        <f t="shared" si="67"/>
        <v>0.9321266968325792</v>
      </c>
      <c r="BC13" s="2">
        <f t="shared" si="67"/>
        <v>1.0751884828148499</v>
      </c>
      <c r="BD13" s="2">
        <f t="shared" si="67"/>
        <v>0.73323515839079167</v>
      </c>
      <c r="BE13" s="2">
        <f t="shared" si="67"/>
        <v>0.64373845217303494</v>
      </c>
      <c r="BF13" s="20">
        <f t="shared" si="67"/>
        <v>1.0261880570858803</v>
      </c>
      <c r="BG13" s="2">
        <f t="shared" si="67"/>
        <v>1.0366473248519699</v>
      </c>
      <c r="BH13" s="2">
        <f t="shared" si="67"/>
        <v>0.96791409927509175</v>
      </c>
      <c r="BI13" s="2">
        <f t="shared" si="67"/>
        <v>0.98148143991622561</v>
      </c>
      <c r="BJ13" s="2">
        <f t="shared" si="67"/>
        <v>0.97228343674645135</v>
      </c>
      <c r="BK13" s="20">
        <f t="shared" si="67"/>
        <v>0.98190297519142233</v>
      </c>
      <c r="BL13" s="2">
        <f t="shared" si="67"/>
        <v>0.87945405394583143</v>
      </c>
      <c r="BM13" s="2">
        <f t="shared" si="67"/>
        <v>1.0143369631073136</v>
      </c>
      <c r="BN13" s="2">
        <f t="shared" si="67"/>
        <v>0.7887742893662274</v>
      </c>
      <c r="BO13" s="2">
        <f t="shared" si="67"/>
        <v>0.73064362057356824</v>
      </c>
      <c r="BP13" s="20">
        <f t="shared" si="67"/>
        <v>0.41049536955746851</v>
      </c>
      <c r="BQ13" s="2">
        <f t="shared" si="67"/>
        <v>0.76239633012337116</v>
      </c>
      <c r="BR13" s="2">
        <f>IF(ISNUMBER(AR13),MIN(1.15,AR13/($AA13*(1-$K$3)^(BR$6-1))),"")</f>
        <v>1.0071618813605576</v>
      </c>
      <c r="BU13" s="23"/>
      <c r="BY13" s="25">
        <f t="shared" si="10"/>
        <v>7</v>
      </c>
      <c r="BZ13" s="3">
        <f t="shared" si="11"/>
        <v>25272.884691159405</v>
      </c>
      <c r="CA13" s="3">
        <f t="shared" si="30"/>
        <v>22248</v>
      </c>
      <c r="CB13" s="2">
        <f t="shared" si="31"/>
        <v>0.88031106349258481</v>
      </c>
      <c r="CC13" s="85">
        <f t="shared" si="32"/>
        <v>47</v>
      </c>
      <c r="CD13" s="3" t="str">
        <f t="shared" si="12"/>
        <v>Fixed</v>
      </c>
      <c r="CE13" s="58">
        <f t="shared" si="33"/>
        <v>-1.6626178430542239E-2</v>
      </c>
      <c r="CF13" s="2">
        <f t="array" ref="CF13:CG13">LINEST(AB13:AR13,AB$6:AR$6,TRUE,FALSE)</f>
        <v>-21.941176470588228</v>
      </c>
      <c r="CG13">
        <v>1506.1764705882354</v>
      </c>
      <c r="CH13" s="1">
        <f t="shared" si="34"/>
        <v>0.99280487201192891</v>
      </c>
      <c r="CI13" s="128" t="s">
        <v>109</v>
      </c>
      <c r="CJ13">
        <f t="shared" si="13"/>
        <v>4</v>
      </c>
      <c r="CK13" s="2">
        <f t="shared" si="14"/>
        <v>0.92455235015990767</v>
      </c>
      <c r="CL13" s="58">
        <f t="shared" si="15"/>
        <v>-3.8031077298545518E-2</v>
      </c>
      <c r="CN13" s="4">
        <f>CN8</f>
        <v>0.41</v>
      </c>
      <c r="CO13" s="3" t="s">
        <v>956</v>
      </c>
      <c r="CP13" s="3">
        <f>CP8</f>
        <v>41</v>
      </c>
      <c r="CQ13" s="3"/>
      <c r="CR13" s="3"/>
      <c r="CS13" s="3"/>
      <c r="CT13" s="3"/>
      <c r="CU13" s="3"/>
      <c r="CV13" s="3"/>
      <c r="CY13" t="s">
        <v>586</v>
      </c>
      <c r="CZ13" s="2">
        <f>AVERAGE($CB$7:$CB$106)</f>
        <v>0.83956393094067594</v>
      </c>
      <c r="DA13" s="69">
        <f>AVERAGE($CE$7:$CE$106)</f>
        <v>-3.1107463962614244E-2</v>
      </c>
      <c r="DB13" s="3">
        <f>SUM(DB9:DB12)</f>
        <v>100</v>
      </c>
      <c r="DC13" s="2">
        <f t="shared" si="36"/>
        <v>1.173</v>
      </c>
      <c r="DD13">
        <f t="shared" si="16"/>
        <v>1</v>
      </c>
      <c r="DE13">
        <f t="shared" si="37"/>
        <v>18</v>
      </c>
      <c r="DJ13" s="6" t="s">
        <v>640</v>
      </c>
      <c r="DK13">
        <f t="shared" si="17"/>
        <v>1</v>
      </c>
      <c r="DL13" s="72">
        <f t="shared" si="65"/>
        <v>26.4</v>
      </c>
      <c r="DM13" s="2">
        <f t="shared" ref="DM13:DM18" si="69">AVERAGEIF($H$7:$H$106,$DJ13,$CB$7:$CB$106)</f>
        <v>0.94175918744763809</v>
      </c>
      <c r="DN13" s="58">
        <f t="shared" ref="DN13:DN18" si="70">AVERAGEIF($H$7:$H$106,$DJ13,$CE$7:$CE$106)</f>
        <v>-1.5750661397304334E-2</v>
      </c>
      <c r="DT13">
        <f t="shared" si="38"/>
        <v>9774</v>
      </c>
      <c r="DU13" s="3">
        <f t="shared" si="39"/>
        <v>1547</v>
      </c>
      <c r="DV13" s="3">
        <f t="shared" si="40"/>
        <v>1539.2650000000001</v>
      </c>
      <c r="DW13" s="3">
        <f t="shared" si="41"/>
        <v>1531.568675</v>
      </c>
      <c r="DX13" s="3">
        <f t="shared" si="42"/>
        <v>1523.9108316250001</v>
      </c>
      <c r="DY13" s="3">
        <f t="shared" si="43"/>
        <v>1516.291277466875</v>
      </c>
      <c r="DZ13" s="3">
        <f t="shared" si="44"/>
        <v>1508.7098210795407</v>
      </c>
      <c r="EA13" s="3">
        <f t="shared" si="45"/>
        <v>1501.166271974143</v>
      </c>
      <c r="EB13" s="2">
        <f t="shared" si="46"/>
        <v>0.91620554355528239</v>
      </c>
      <c r="ED13" s="2" t="str">
        <f t="shared" si="47"/>
        <v xml:space="preserve"> </v>
      </c>
      <c r="EE13" s="58" t="str">
        <f t="shared" si="48"/>
        <v xml:space="preserve"> </v>
      </c>
      <c r="EF13" s="2" t="str">
        <f t="shared" si="49"/>
        <v xml:space="preserve"> </v>
      </c>
      <c r="EG13" s="58" t="str">
        <f t="shared" si="50"/>
        <v xml:space="preserve"> </v>
      </c>
      <c r="EI13" s="2" t="str">
        <f t="shared" si="51"/>
        <v xml:space="preserve"> </v>
      </c>
      <c r="EJ13" s="2" t="str">
        <f t="shared" si="52"/>
        <v xml:space="preserve"> </v>
      </c>
      <c r="EK13" s="2"/>
      <c r="EL13" s="2">
        <f t="array" ref="EL13:EM13">LINEST($AB13:$AH13,$AB$6:$AH$6,TRUE,FALSE)</f>
        <v>10.142857142857126</v>
      </c>
      <c r="EM13" s="2">
        <v>1355.7142857142858</v>
      </c>
      <c r="EN13" s="58">
        <f t="shared" si="53"/>
        <v>7.2641702475956501E-3</v>
      </c>
      <c r="EO13" s="2">
        <f t="array" ref="EO13:EP13">LINEST($AH13:$AR13,$AH$6:$AR$6,TRUE,FALSE)</f>
        <v>-45.936363636363637</v>
      </c>
      <c r="EP13" s="2">
        <v>1817.3272727272727</v>
      </c>
      <c r="EQ13" s="58">
        <f t="shared" si="54"/>
        <v>-3.6282042076541975E-2</v>
      </c>
      <c r="ES13" s="3">
        <f t="shared" si="55"/>
        <v>5797.7346938775463</v>
      </c>
      <c r="ET13" s="3">
        <f t="shared" si="19"/>
        <v>77841</v>
      </c>
      <c r="EU13" s="3">
        <f t="shared" si="19"/>
        <v>69244.16326530611</v>
      </c>
      <c r="EV13" s="3">
        <f t="shared" si="19"/>
        <v>172462.22448979586</v>
      </c>
      <c r="EW13" s="3">
        <f t="shared" si="19"/>
        <v>22371.612244897988</v>
      </c>
      <c r="EX13" s="3">
        <f t="shared" si="19"/>
        <v>21735.183673469426</v>
      </c>
      <c r="EY13" s="3">
        <f t="shared" si="19"/>
        <v>690.93877551020068</v>
      </c>
      <c r="EZ13" s="3">
        <f t="shared" si="56"/>
        <v>261.26314049587029</v>
      </c>
      <c r="FA13" s="3">
        <f t="shared" si="68"/>
        <v>1689.2100000000112</v>
      </c>
      <c r="FB13" s="29">
        <f t="shared" si="68"/>
        <v>8842.8376859504078</v>
      </c>
      <c r="FC13" s="3">
        <f t="shared" si="68"/>
        <v>324.98256198347019</v>
      </c>
      <c r="FD13" s="3">
        <f t="shared" si="68"/>
        <v>47921.190082644665</v>
      </c>
      <c r="FE13" s="3">
        <f t="shared" si="68"/>
        <v>5062.969338842955</v>
      </c>
      <c r="FF13" s="3">
        <f t="shared" si="68"/>
        <v>13275.229421487558</v>
      </c>
      <c r="FG13" s="29">
        <f t="shared" si="68"/>
        <v>287598.18851239665</v>
      </c>
      <c r="FH13" s="3">
        <f t="shared" si="68"/>
        <v>135.82842975206813</v>
      </c>
      <c r="FI13" s="3">
        <f>($EP13+$EO13*FI$6-AR13)^2</f>
        <v>161275.25826446293</v>
      </c>
      <c r="FQ13" s="4">
        <f>SQRT(AVERAGE(ES13:FI13))/AVERAGE(AB13:AR13)</f>
        <v>0.17547524330307565</v>
      </c>
      <c r="FR13" s="160">
        <v>0.03</v>
      </c>
      <c r="FS13" s="161">
        <f t="shared" si="21"/>
        <v>0.17096428781229775</v>
      </c>
      <c r="FV13" s="4">
        <f t="shared" si="58"/>
        <v>0.16468777868252593</v>
      </c>
      <c r="FW13" s="161">
        <f t="shared" si="59"/>
        <v>0.18216287960160049</v>
      </c>
      <c r="FY13">
        <f t="shared" si="66"/>
        <v>18</v>
      </c>
      <c r="FZ13">
        <f t="shared" si="60"/>
        <v>0</v>
      </c>
      <c r="GA13">
        <f t="shared" si="61"/>
        <v>0</v>
      </c>
      <c r="GB13">
        <f t="shared" si="62"/>
        <v>0</v>
      </c>
    </row>
    <row r="14" spans="1:184" x14ac:dyDescent="0.3">
      <c r="A14">
        <f t="shared" si="22"/>
        <v>8</v>
      </c>
      <c r="B14" s="6">
        <v>10823</v>
      </c>
      <c r="C14" s="6" t="s">
        <v>63</v>
      </c>
      <c r="D14" s="6">
        <v>2011</v>
      </c>
      <c r="E14" s="6">
        <v>2008</v>
      </c>
      <c r="F14" s="6" t="s">
        <v>261</v>
      </c>
      <c r="G14" s="17" t="s">
        <v>636</v>
      </c>
      <c r="H14" s="17" t="s">
        <v>638</v>
      </c>
      <c r="I14" s="6" t="s">
        <v>35</v>
      </c>
      <c r="J14" s="17">
        <v>15</v>
      </c>
      <c r="K14" s="6" t="s">
        <v>64</v>
      </c>
      <c r="L14" s="12">
        <v>42.353000000000002</v>
      </c>
      <c r="M14" s="12">
        <v>-70.962999999999994</v>
      </c>
      <c r="N14" s="14">
        <v>0.73599999999999999</v>
      </c>
      <c r="O14" s="14">
        <v>0.66600000000000004</v>
      </c>
      <c r="P14" s="94">
        <f>365.25*4.2</f>
        <v>1534.05</v>
      </c>
      <c r="Q14" s="15" t="s">
        <v>549</v>
      </c>
      <c r="R14" s="14">
        <v>10.7</v>
      </c>
      <c r="S14" s="3">
        <f t="shared" si="23"/>
        <v>33.551000000000002</v>
      </c>
      <c r="T14" s="128" t="str">
        <f t="shared" si="24"/>
        <v>C</v>
      </c>
      <c r="U14" s="154">
        <v>1432</v>
      </c>
      <c r="V14" s="154">
        <v>652</v>
      </c>
      <c r="W14" s="156">
        <v>0.50900000000000001</v>
      </c>
      <c r="X14" s="1">
        <f t="shared" si="63"/>
        <v>0.45530726256983239</v>
      </c>
      <c r="Y14" s="59">
        <f t="shared" si="25"/>
        <v>0</v>
      </c>
      <c r="Z14" s="1">
        <f t="shared" si="26"/>
        <v>1</v>
      </c>
      <c r="AA14" s="3">
        <f t="shared" si="64"/>
        <v>931.78615935651044</v>
      </c>
      <c r="AB14" s="6">
        <v>646</v>
      </c>
      <c r="AC14" s="6">
        <v>879</v>
      </c>
      <c r="AD14" s="6">
        <v>881</v>
      </c>
      <c r="AE14" s="6">
        <v>0</v>
      </c>
      <c r="AF14" s="93">
        <v>835</v>
      </c>
      <c r="AG14" s="6">
        <v>872</v>
      </c>
      <c r="AH14" s="6">
        <v>826</v>
      </c>
      <c r="AI14" s="6">
        <v>799</v>
      </c>
      <c r="AJ14" s="6">
        <v>808</v>
      </c>
      <c r="AK14" s="93">
        <v>1123</v>
      </c>
      <c r="AL14" s="6">
        <v>760</v>
      </c>
      <c r="AM14" s="6">
        <v>794</v>
      </c>
      <c r="AN14" s="6">
        <v>628</v>
      </c>
      <c r="AO14" s="6">
        <v>625</v>
      </c>
      <c r="AP14" s="93">
        <v>621</v>
      </c>
      <c r="AU14" s="23"/>
      <c r="AY14" s="32">
        <v>15</v>
      </c>
      <c r="AZ14" s="1">
        <f t="shared" si="27"/>
        <v>0.65523486423406074</v>
      </c>
      <c r="BA14" s="24">
        <f t="shared" si="8"/>
        <v>8</v>
      </c>
      <c r="BB14" s="2">
        <f t="shared" ref="BB14:BP19" si="71">IF(ISNUMBER(AB14),MIN(1.15,AB14/($AA14*(1-$K$3)^(BB$6-1))),"")</f>
        <v>0.69329211806078583</v>
      </c>
      <c r="BC14" s="2">
        <f t="shared" si="71"/>
        <v>0.94808994162053417</v>
      </c>
      <c r="BD14" s="2">
        <f t="shared" si="71"/>
        <v>0.95502225412350783</v>
      </c>
      <c r="BE14" s="2">
        <f t="shared" si="71"/>
        <v>0</v>
      </c>
      <c r="BF14" s="20">
        <f t="shared" si="71"/>
        <v>0.91427721624581937</v>
      </c>
      <c r="BG14" s="2">
        <f t="shared" si="71"/>
        <v>0.95958803907724788</v>
      </c>
      <c r="BH14" s="2">
        <f t="shared" si="71"/>
        <v>0.91353524535268849</v>
      </c>
      <c r="BI14" s="2">
        <f t="shared" si="71"/>
        <v>0.88811449625463668</v>
      </c>
      <c r="BJ14" s="2">
        <f t="shared" si="71"/>
        <v>0.90263144631008152</v>
      </c>
      <c r="BK14" s="20">
        <f t="shared" si="71"/>
        <v>1.1499999999999999</v>
      </c>
      <c r="BL14" s="2">
        <f t="shared" si="71"/>
        <v>0.85756397690185082</v>
      </c>
      <c r="BM14" s="2">
        <f t="shared" si="71"/>
        <v>0.90043083530821166</v>
      </c>
      <c r="BN14" s="2">
        <f t="shared" si="71"/>
        <v>0.71575834408004357</v>
      </c>
      <c r="BO14" s="2">
        <f t="shared" si="71"/>
        <v>0.71591870987105466</v>
      </c>
      <c r="BP14" s="20">
        <f t="shared" si="71"/>
        <v>0.7149113870631959</v>
      </c>
      <c r="BU14" s="23"/>
      <c r="BY14" s="25">
        <f t="shared" si="10"/>
        <v>8</v>
      </c>
      <c r="BZ14" s="3">
        <f t="shared" si="11"/>
        <v>13498.046472600348</v>
      </c>
      <c r="CA14" s="3">
        <f t="shared" si="30"/>
        <v>11097</v>
      </c>
      <c r="CB14" s="2">
        <f t="shared" si="31"/>
        <v>0.82211896532774376</v>
      </c>
      <c r="CC14" s="85">
        <f t="shared" si="32"/>
        <v>62</v>
      </c>
      <c r="CD14" s="3" t="str">
        <f t="shared" si="12"/>
        <v>Fixed</v>
      </c>
      <c r="CE14" s="58">
        <f t="shared" si="33"/>
        <v>2.2763685397168333E-3</v>
      </c>
      <c r="CF14" s="2">
        <f t="array" ref="CF14:CG14">LINEST(AB14:AP14,AB$6:AP$6,TRUE,FALSE)</f>
        <v>1.6821428571428583</v>
      </c>
      <c r="CG14">
        <v>726.34285714285704</v>
      </c>
      <c r="CH14" s="1">
        <f t="shared" si="34"/>
        <v>1.0315943120119289</v>
      </c>
      <c r="CI14" s="128" t="s">
        <v>144</v>
      </c>
      <c r="CJ14">
        <f t="shared" si="13"/>
        <v>4</v>
      </c>
      <c r="CK14" s="2">
        <f t="shared" si="14"/>
        <v>0.95757875878546117</v>
      </c>
      <c r="CL14" s="58">
        <f t="shared" si="15"/>
        <v>1.9565546106965386E-3</v>
      </c>
      <c r="CN14" s="4">
        <f>CN7</f>
        <v>0.12</v>
      </c>
      <c r="CO14" s="3" t="s">
        <v>800</v>
      </c>
      <c r="CP14" s="3">
        <f>CP7</f>
        <v>12</v>
      </c>
      <c r="CQ14" s="3"/>
      <c r="CR14" s="3"/>
      <c r="CS14" s="3"/>
      <c r="CT14" s="3"/>
      <c r="CU14" s="3"/>
      <c r="CV14" s="3"/>
      <c r="DC14" s="2">
        <f t="shared" si="36"/>
        <v>1.1051051051051051</v>
      </c>
      <c r="DD14">
        <f t="shared" si="16"/>
        <v>3</v>
      </c>
      <c r="DE14">
        <f t="shared" si="37"/>
        <v>18</v>
      </c>
      <c r="DJ14" s="6" t="s">
        <v>644</v>
      </c>
      <c r="DK14">
        <f t="shared" si="17"/>
        <v>4</v>
      </c>
      <c r="DL14" s="72">
        <f t="shared" si="65"/>
        <v>7.3576000000000006</v>
      </c>
      <c r="DM14" s="2">
        <f t="shared" si="69"/>
        <v>0.66949230005585447</v>
      </c>
      <c r="DN14" s="58">
        <f t="shared" si="70"/>
        <v>-4.9645173097667611E-2</v>
      </c>
      <c r="DT14">
        <f t="shared" si="38"/>
        <v>4939</v>
      </c>
      <c r="DU14" s="3">
        <f t="shared" si="39"/>
        <v>931.78615935651044</v>
      </c>
      <c r="DV14" s="3">
        <f t="shared" si="40"/>
        <v>927.12722855972788</v>
      </c>
      <c r="DW14" s="3">
        <f t="shared" si="41"/>
        <v>922.49159241692928</v>
      </c>
      <c r="DX14" s="3">
        <f t="shared" si="42"/>
        <v>931.78615935651044</v>
      </c>
      <c r="DY14" s="3">
        <f t="shared" si="43"/>
        <v>913.28973878257045</v>
      </c>
      <c r="DZ14" s="3">
        <f t="shared" si="44"/>
        <v>908.72329008865756</v>
      </c>
      <c r="EA14" s="3">
        <f t="shared" si="45"/>
        <v>904.17967363821435</v>
      </c>
      <c r="EB14" s="2">
        <f t="shared" si="46"/>
        <v>0.76699884973983434</v>
      </c>
      <c r="ED14" s="2" t="str">
        <f t="shared" si="47"/>
        <v xml:space="preserve"> </v>
      </c>
      <c r="EE14" s="58" t="str">
        <f t="shared" si="48"/>
        <v xml:space="preserve"> </v>
      </c>
      <c r="EF14" s="2">
        <f t="shared" si="49"/>
        <v>0.82211896532774376</v>
      </c>
      <c r="EG14" s="58">
        <f t="shared" si="50"/>
        <v>2.2763685397168333E-3</v>
      </c>
      <c r="EI14" s="2" t="str">
        <f t="shared" si="51"/>
        <v xml:space="preserve"> </v>
      </c>
      <c r="EJ14" s="2">
        <f t="shared" si="52"/>
        <v>0.76699884973983434</v>
      </c>
      <c r="EK14" s="2"/>
      <c r="EL14" s="2">
        <f t="array" ref="EL14:EM14">LINEST($AB14:$AH14,$AB$6:$AH$6,TRUE,FALSE)</f>
        <v>17.142857142857146</v>
      </c>
      <c r="EM14" s="2">
        <v>637</v>
      </c>
      <c r="EN14" s="58">
        <f t="shared" si="53"/>
        <v>2.4296416278598913E-2</v>
      </c>
      <c r="EO14" s="2">
        <f t="array" ref="EO14:EP14">LINEST($AH14:$AP14,$AH$6:$AP$6,TRUE,FALSE)</f>
        <v>-33.85</v>
      </c>
      <c r="EP14" s="2">
        <v>1148.3499999999999</v>
      </c>
      <c r="EQ14" s="58">
        <f t="shared" si="54"/>
        <v>-4.3621134020618568E-2</v>
      </c>
      <c r="ES14" s="3">
        <f t="shared" si="55"/>
        <v>66.306122448979067</v>
      </c>
      <c r="ET14" s="3">
        <f t="shared" si="19"/>
        <v>43145.224489795895</v>
      </c>
      <c r="EU14" s="3">
        <f t="shared" si="19"/>
        <v>37083.755102040814</v>
      </c>
      <c r="EV14" s="3">
        <f t="shared" si="19"/>
        <v>497831.04081632651</v>
      </c>
      <c r="EW14" s="3">
        <f t="shared" si="19"/>
        <v>12608.081632653046</v>
      </c>
      <c r="EX14" s="3">
        <f t="shared" si="19"/>
        <v>17461.734693877541</v>
      </c>
      <c r="EY14" s="3">
        <f t="shared" si="19"/>
        <v>4761</v>
      </c>
      <c r="EZ14" s="3">
        <f t="shared" si="56"/>
        <v>6170.1024999999927</v>
      </c>
      <c r="FA14" s="3">
        <f t="shared" ref="FA14:FG19" si="72">($EP14+$EO14*FA$6-AJ14)^2</f>
        <v>1274.489999999987</v>
      </c>
      <c r="FB14" s="29">
        <f t="shared" si="72"/>
        <v>98062.922500000059</v>
      </c>
      <c r="FC14" s="3">
        <f t="shared" si="72"/>
        <v>255.99999999999636</v>
      </c>
      <c r="FD14" s="3">
        <f t="shared" si="72"/>
        <v>2688.4225000000142</v>
      </c>
      <c r="FE14" s="3">
        <f t="shared" si="72"/>
        <v>6448.0899999999929</v>
      </c>
      <c r="FF14" s="3">
        <f t="shared" si="72"/>
        <v>2445.302499999982</v>
      </c>
      <c r="FG14" s="29">
        <f t="shared" si="72"/>
        <v>384.15999999999644</v>
      </c>
      <c r="FH14" s="3"/>
      <c r="FI14" s="3"/>
      <c r="FQ14" s="4">
        <f>SQRT(AVERAGE(ES14:FG14))/AVERAGE(AB14:AP14)</f>
        <v>0.29833597402030432</v>
      </c>
      <c r="FR14" s="160">
        <v>2.9000000000000001E-2</v>
      </c>
      <c r="FS14" s="161">
        <f t="shared" si="21"/>
        <v>9.7205843496521491E-2</v>
      </c>
      <c r="FV14" s="4">
        <f t="shared" si="58"/>
        <v>0.41939673869619892</v>
      </c>
      <c r="FW14" s="161">
        <f t="shared" si="59"/>
        <v>6.9146937313231988E-2</v>
      </c>
      <c r="FY14">
        <f t="shared" si="66"/>
        <v>19</v>
      </c>
      <c r="FZ14">
        <f t="shared" si="60"/>
        <v>0</v>
      </c>
      <c r="GA14">
        <f t="shared" si="61"/>
        <v>0</v>
      </c>
      <c r="GB14">
        <f t="shared" si="62"/>
        <v>0</v>
      </c>
    </row>
    <row r="15" spans="1:184" x14ac:dyDescent="0.3">
      <c r="A15">
        <f t="shared" si="22"/>
        <v>9</v>
      </c>
      <c r="B15" s="6">
        <v>56815</v>
      </c>
      <c r="C15" s="6" t="s">
        <v>110</v>
      </c>
      <c r="D15" s="6">
        <v>2009</v>
      </c>
      <c r="E15" s="6">
        <v>2008</v>
      </c>
      <c r="F15" s="6" t="s">
        <v>252</v>
      </c>
      <c r="G15" s="17" t="s">
        <v>636</v>
      </c>
      <c r="H15" s="17" t="s">
        <v>629</v>
      </c>
      <c r="I15" s="6" t="s">
        <v>36</v>
      </c>
      <c r="J15" s="17">
        <v>0</v>
      </c>
      <c r="K15" s="6" t="s">
        <v>51</v>
      </c>
      <c r="L15" s="12">
        <v>39.902979999999999</v>
      </c>
      <c r="M15" s="12">
        <v>-104.65925</v>
      </c>
      <c r="N15" s="14">
        <v>2</v>
      </c>
      <c r="O15" s="6">
        <v>1.9</v>
      </c>
      <c r="P15" s="94">
        <f>365.25*6.4</f>
        <v>2337.6</v>
      </c>
      <c r="Q15" s="15" t="s">
        <v>514</v>
      </c>
      <c r="R15" s="14">
        <v>10.199999999999999</v>
      </c>
      <c r="S15" s="3">
        <f t="shared" si="23"/>
        <v>38.155199999999994</v>
      </c>
      <c r="T15" s="128" t="str">
        <f t="shared" si="24"/>
        <v>C</v>
      </c>
      <c r="U15" s="154">
        <v>1689</v>
      </c>
      <c r="V15" s="154">
        <v>562</v>
      </c>
      <c r="W15" s="156">
        <v>0.58299999999999996</v>
      </c>
      <c r="X15" s="1">
        <f t="shared" si="63"/>
        <v>0.33274126702190643</v>
      </c>
      <c r="Y15" s="59">
        <f t="shared" si="25"/>
        <v>0</v>
      </c>
      <c r="Z15" s="1">
        <f t="shared" si="26"/>
        <v>1</v>
      </c>
      <c r="AA15" s="3">
        <f t="shared" si="64"/>
        <v>3599.9737031602099</v>
      </c>
      <c r="AB15" s="6">
        <v>3255</v>
      </c>
      <c r="AC15" s="6">
        <v>3449</v>
      </c>
      <c r="AD15" s="6">
        <v>3287</v>
      </c>
      <c r="AE15" s="6">
        <v>3468</v>
      </c>
      <c r="AF15" s="93">
        <v>1469</v>
      </c>
      <c r="AG15" s="6">
        <v>2687</v>
      </c>
      <c r="AH15" s="6">
        <v>3027</v>
      </c>
      <c r="AI15" s="6">
        <v>3205</v>
      </c>
      <c r="AJ15" s="6">
        <v>2812</v>
      </c>
      <c r="AK15" s="93">
        <v>2539</v>
      </c>
      <c r="AL15" s="6">
        <v>2092</v>
      </c>
      <c r="AM15" s="6">
        <v>2284</v>
      </c>
      <c r="AN15" s="6">
        <v>1463</v>
      </c>
      <c r="AO15" s="6">
        <v>275</v>
      </c>
      <c r="AP15" s="93">
        <v>1595</v>
      </c>
      <c r="AQ15" s="6">
        <v>1541</v>
      </c>
      <c r="AU15" s="23"/>
      <c r="AY15" s="32">
        <v>16</v>
      </c>
      <c r="AZ15" s="1">
        <f t="shared" si="27"/>
        <v>0.51398870636550309</v>
      </c>
      <c r="BA15" s="24">
        <f t="shared" si="8"/>
        <v>9</v>
      </c>
      <c r="BB15" s="2">
        <f t="shared" si="71"/>
        <v>0.90417327136101655</v>
      </c>
      <c r="BC15" s="2">
        <f t="shared" si="71"/>
        <v>0.96287693858668033</v>
      </c>
      <c r="BD15" s="2">
        <f t="shared" si="71"/>
        <v>0.92226178650119783</v>
      </c>
      <c r="BE15" s="2">
        <f t="shared" si="71"/>
        <v>0.9779361901035919</v>
      </c>
      <c r="BF15" s="20">
        <f t="shared" si="71"/>
        <v>0.41632275079613068</v>
      </c>
      <c r="BG15" s="2">
        <f t="shared" si="71"/>
        <v>0.76533739588972993</v>
      </c>
      <c r="BH15" s="2">
        <f t="shared" si="71"/>
        <v>0.86651205314185831</v>
      </c>
      <c r="BI15" s="2">
        <f t="shared" si="71"/>
        <v>0.92207689598293952</v>
      </c>
      <c r="BJ15" s="2">
        <f t="shared" si="71"/>
        <v>0.81307637454167114</v>
      </c>
      <c r="BK15" s="20">
        <f t="shared" si="71"/>
        <v>0.73782887229937133</v>
      </c>
      <c r="BL15" s="2">
        <f t="shared" si="71"/>
        <v>0.61098640142432714</v>
      </c>
      <c r="BM15" s="2">
        <f t="shared" si="71"/>
        <v>0.67041370372568543</v>
      </c>
      <c r="BN15" s="2">
        <f t="shared" si="71"/>
        <v>0.43158667617891461</v>
      </c>
      <c r="BO15" s="2">
        <f t="shared" si="71"/>
        <v>8.1532979971079944E-2</v>
      </c>
      <c r="BP15" s="20">
        <f t="shared" si="71"/>
        <v>0.47526762194197353</v>
      </c>
      <c r="BQ15" s="2">
        <f>IF(ISNUMBER(AQ15),MIN(1.15,AQ15/($AA15*(1-$K$3)^(BQ$6-1))),"")</f>
        <v>0.46148447908040591</v>
      </c>
      <c r="BU15" s="23"/>
      <c r="BY15" s="25">
        <f t="shared" si="10"/>
        <v>9</v>
      </c>
      <c r="BZ15" s="3">
        <f t="shared" si="11"/>
        <v>55489.185404972675</v>
      </c>
      <c r="CA15" s="3">
        <f t="shared" si="30"/>
        <v>38448</v>
      </c>
      <c r="CB15" s="2">
        <f t="shared" si="31"/>
        <v>0.69289177196237006</v>
      </c>
      <c r="CC15" s="85">
        <f t="shared" si="32"/>
        <v>88</v>
      </c>
      <c r="CD15" s="3" t="str">
        <f t="shared" si="12"/>
        <v>Tracker</v>
      </c>
      <c r="CE15" s="58">
        <f t="shared" si="33"/>
        <v>-5.9447846859268287E-2</v>
      </c>
      <c r="CF15" s="2">
        <f t="array" ref="CF15:CG15">LINEST(AB15:AQ15,AB$6:AQ$6,TRUE,FALSE)</f>
        <v>-147.2294117647059</v>
      </c>
      <c r="CG15" s="2">
        <v>3654.4500000000003</v>
      </c>
      <c r="CH15" s="1">
        <f t="shared" si="34"/>
        <v>1.0131775120119291</v>
      </c>
      <c r="CI15" s="128" t="s">
        <v>47</v>
      </c>
      <c r="CJ15">
        <f t="shared" si="13"/>
        <v>4</v>
      </c>
      <c r="CK15" s="2">
        <f t="shared" si="14"/>
        <v>0.8859969569092101</v>
      </c>
      <c r="CL15" s="58">
        <f t="shared" si="15"/>
        <v>-1.7593184985903287E-2</v>
      </c>
      <c r="CN15" s="3"/>
      <c r="CO15" s="3"/>
      <c r="CP15" s="3"/>
      <c r="CQ15" s="3"/>
      <c r="CR15" s="3"/>
      <c r="CS15" s="3"/>
      <c r="CT15" s="3"/>
      <c r="CU15" s="3"/>
      <c r="CV15" s="3"/>
      <c r="DC15" s="2">
        <f t="shared" si="36"/>
        <v>1.0526315789473684</v>
      </c>
      <c r="DD15">
        <f t="shared" si="16"/>
        <v>1</v>
      </c>
      <c r="DE15">
        <f t="shared" si="37"/>
        <v>17</v>
      </c>
      <c r="DJ15" s="6" t="s">
        <v>642</v>
      </c>
      <c r="DK15">
        <f t="shared" si="17"/>
        <v>4</v>
      </c>
      <c r="DL15" s="72">
        <f t="shared" si="65"/>
        <v>63.300000000000004</v>
      </c>
      <c r="DM15" s="2">
        <f t="shared" si="69"/>
        <v>0.90141609104522036</v>
      </c>
      <c r="DN15" s="58">
        <f t="shared" si="70"/>
        <v>-4.2601682305245109E-2</v>
      </c>
      <c r="DT15">
        <f t="shared" si="38"/>
        <v>20642</v>
      </c>
      <c r="DU15" s="3">
        <f t="shared" si="39"/>
        <v>3599.9737031602099</v>
      </c>
      <c r="DV15" s="3">
        <f t="shared" si="40"/>
        <v>3581.9738346444087</v>
      </c>
      <c r="DW15" s="3">
        <f t="shared" si="41"/>
        <v>3564.0639654711867</v>
      </c>
      <c r="DX15" s="3">
        <f t="shared" si="42"/>
        <v>3546.2436456438309</v>
      </c>
      <c r="DY15" s="3">
        <f t="shared" si="43"/>
        <v>3528.5124274156119</v>
      </c>
      <c r="DZ15" s="3">
        <f t="shared" si="44"/>
        <v>3510.8698652785338</v>
      </c>
      <c r="EA15" s="3">
        <f t="shared" si="45"/>
        <v>3493.3155159521411</v>
      </c>
      <c r="EB15" s="2">
        <f t="shared" si="46"/>
        <v>0.83150207918959695</v>
      </c>
      <c r="ED15" s="2" t="str">
        <f t="shared" si="47"/>
        <v xml:space="preserve"> </v>
      </c>
      <c r="EE15" s="58" t="str">
        <f t="shared" si="48"/>
        <v xml:space="preserve"> </v>
      </c>
      <c r="EF15" s="2">
        <f t="shared" si="49"/>
        <v>0.69289177196237006</v>
      </c>
      <c r="EG15" s="58">
        <f t="shared" si="50"/>
        <v>-5.9447846859268287E-2</v>
      </c>
      <c r="EI15" s="2" t="str">
        <f t="shared" si="51"/>
        <v xml:space="preserve"> </v>
      </c>
      <c r="EJ15" s="2">
        <f t="shared" si="52"/>
        <v>0.83150207918959695</v>
      </c>
      <c r="EK15" s="2"/>
      <c r="EL15" s="2">
        <f t="array" ref="EL15:EM15">LINEST($AB15:$AH15,$AB$6:$AH$6,TRUE,FALSE)</f>
        <v>-143.78571428571431</v>
      </c>
      <c r="EM15" s="2">
        <v>3524</v>
      </c>
      <c r="EN15" s="58">
        <f t="shared" si="53"/>
        <v>-4.8759810095920945E-2</v>
      </c>
      <c r="EO15" s="2">
        <f t="array" ref="EO15:EP15">LINEST($AH15:$AQ15,$AH$6:$AQ$6,TRUE,FALSE)</f>
        <v>-244.63636363636363</v>
      </c>
      <c r="EP15" s="2">
        <v>4896.6181818181813</v>
      </c>
      <c r="EQ15" s="58">
        <f t="shared" si="54"/>
        <v>-0.11742733338278868</v>
      </c>
      <c r="ES15" s="3">
        <f t="shared" si="55"/>
        <v>15678.617346938792</v>
      </c>
      <c r="ET15" s="3">
        <f t="shared" si="19"/>
        <v>45186.6122448979</v>
      </c>
      <c r="EU15" s="3">
        <f t="shared" si="19"/>
        <v>37774.698979591936</v>
      </c>
      <c r="EV15" s="3">
        <f t="shared" si="19"/>
        <v>269509.30612244917</v>
      </c>
      <c r="EW15" s="3">
        <f t="shared" si="19"/>
        <v>1785086.8622448975</v>
      </c>
      <c r="EX15" s="3">
        <f t="shared" si="19"/>
        <v>661.22448979592173</v>
      </c>
      <c r="EY15" s="3">
        <f t="shared" si="19"/>
        <v>259590.25</v>
      </c>
      <c r="EZ15" s="3">
        <f t="shared" si="56"/>
        <v>70475.768925620083</v>
      </c>
      <c r="FA15" s="3">
        <f t="shared" si="72"/>
        <v>13714.539173553801</v>
      </c>
      <c r="FB15" s="29">
        <f t="shared" si="72"/>
        <v>7875.7557024793796</v>
      </c>
      <c r="FC15" s="3">
        <f t="shared" si="72"/>
        <v>12909.091239669293</v>
      </c>
      <c r="FD15" s="3">
        <f t="shared" si="72"/>
        <v>104340.74578512425</v>
      </c>
      <c r="FE15" s="3">
        <f t="shared" si="72"/>
        <v>64183.919338842818</v>
      </c>
      <c r="FF15" s="3">
        <f t="shared" si="72"/>
        <v>1432112.6482644612</v>
      </c>
      <c r="FG15" s="29">
        <f t="shared" si="72"/>
        <v>135370.47801652932</v>
      </c>
      <c r="FH15" s="3">
        <f t="shared" ref="FH15:FI19" si="73">($EP15+$EO15*FH$6-AQ15)^2</f>
        <v>311993.33586776903</v>
      </c>
      <c r="FI15" s="3">
        <f t="shared" si="73"/>
        <v>544348.83999999892</v>
      </c>
      <c r="FQ15" s="4">
        <f>SQRT(AVERAGE(ES15:FI15))/AVERAGE(AB15:AR15)</f>
        <v>0.22817431262783863</v>
      </c>
      <c r="FR15" s="160">
        <v>5.0999999999999997E-2</v>
      </c>
      <c r="FS15" s="161">
        <f t="shared" si="21"/>
        <v>0.22351332808957783</v>
      </c>
      <c r="FV15" s="4">
        <f t="shared" si="58"/>
        <v>0.19912224480329155</v>
      </c>
      <c r="FW15" s="161">
        <f t="shared" si="59"/>
        <v>0.25612407117236835</v>
      </c>
      <c r="FY15">
        <f t="shared" si="66"/>
        <v>20</v>
      </c>
      <c r="FZ15">
        <f t="shared" si="60"/>
        <v>0</v>
      </c>
      <c r="GA15">
        <f t="shared" si="61"/>
        <v>0</v>
      </c>
      <c r="GB15">
        <f t="shared" si="62"/>
        <v>0</v>
      </c>
    </row>
    <row r="16" spans="1:184" x14ac:dyDescent="0.3">
      <c r="A16">
        <f t="shared" si="22"/>
        <v>10</v>
      </c>
      <c r="B16" s="6">
        <v>56667</v>
      </c>
      <c r="C16" s="6" t="s">
        <v>75</v>
      </c>
      <c r="D16" s="6">
        <v>2009</v>
      </c>
      <c r="E16" s="6">
        <v>2008</v>
      </c>
      <c r="F16" s="6" t="s">
        <v>252</v>
      </c>
      <c r="G16" s="17" t="s">
        <v>982</v>
      </c>
      <c r="H16" s="17" t="s">
        <v>628</v>
      </c>
      <c r="I16" s="6" t="s">
        <v>36</v>
      </c>
      <c r="J16" s="17">
        <v>0</v>
      </c>
      <c r="K16" s="6" t="s">
        <v>73</v>
      </c>
      <c r="L16" s="12">
        <v>20.765999999999998</v>
      </c>
      <c r="M16" s="12">
        <v>-156.9</v>
      </c>
      <c r="N16" s="14">
        <f>7392*0.2/1000</f>
        <v>1.4784000000000002</v>
      </c>
      <c r="O16" s="6">
        <v>1.2</v>
      </c>
      <c r="P16" s="94">
        <f>365.25*7.5</f>
        <v>2739.375</v>
      </c>
      <c r="Q16" s="15" t="s">
        <v>550</v>
      </c>
      <c r="R16" s="14">
        <v>24.2</v>
      </c>
      <c r="S16" s="3">
        <f t="shared" si="23"/>
        <v>54.992374999999996</v>
      </c>
      <c r="T16" s="128" t="str">
        <f t="shared" si="24"/>
        <v>H</v>
      </c>
      <c r="U16" s="154">
        <v>2004.4</v>
      </c>
      <c r="V16" s="154">
        <v>579</v>
      </c>
      <c r="W16" s="156">
        <v>0.58099999999999996</v>
      </c>
      <c r="X16" s="1">
        <f t="shared" si="63"/>
        <v>0.28886449810417081</v>
      </c>
      <c r="Y16" s="59">
        <f t="shared" si="25"/>
        <v>5.555585247740974E-2</v>
      </c>
      <c r="Z16" s="1">
        <f t="shared" si="26"/>
        <v>0.48837560004149033</v>
      </c>
      <c r="AA16" s="3">
        <f t="shared" si="64"/>
        <v>2911.1834497438276</v>
      </c>
      <c r="AB16" s="6">
        <v>1390</v>
      </c>
      <c r="AC16" s="6">
        <v>1770</v>
      </c>
      <c r="AD16" s="6">
        <v>1826</v>
      </c>
      <c r="AE16" s="6">
        <v>2350</v>
      </c>
      <c r="AF16" s="93">
        <v>1752</v>
      </c>
      <c r="AG16" s="6">
        <v>1767</v>
      </c>
      <c r="AH16" s="6">
        <v>2017</v>
      </c>
      <c r="AI16" s="6">
        <v>2345</v>
      </c>
      <c r="AJ16" s="6">
        <v>2051</v>
      </c>
      <c r="AK16" s="93">
        <v>1342</v>
      </c>
      <c r="AL16" s="6">
        <v>1466</v>
      </c>
      <c r="AM16" s="6">
        <v>869</v>
      </c>
      <c r="AN16" s="6">
        <v>0</v>
      </c>
      <c r="AO16" s="6">
        <v>145</v>
      </c>
      <c r="AP16" s="93">
        <v>0</v>
      </c>
      <c r="AQ16" s="6">
        <v>0</v>
      </c>
      <c r="AU16" s="23"/>
      <c r="AY16" s="32">
        <v>16</v>
      </c>
      <c r="AZ16" s="1">
        <f t="shared" si="27"/>
        <v>0.32547164220675512</v>
      </c>
      <c r="BA16" s="24">
        <f t="shared" si="8"/>
        <v>10</v>
      </c>
      <c r="BB16" s="2">
        <f t="shared" si="71"/>
        <v>0.47746905133110534</v>
      </c>
      <c r="BC16" s="2">
        <f t="shared" si="71"/>
        <v>0.61105543606959722</v>
      </c>
      <c r="BD16" s="2">
        <f t="shared" si="71"/>
        <v>0.63355604364368989</v>
      </c>
      <c r="BE16" s="2">
        <f t="shared" si="71"/>
        <v>0.8194624285516694</v>
      </c>
      <c r="BF16" s="20">
        <f t="shared" si="71"/>
        <v>0.61400542064472341</v>
      </c>
      <c r="BG16" s="2">
        <f t="shared" si="71"/>
        <v>0.62237418730595118</v>
      </c>
      <c r="BH16" s="2">
        <f t="shared" si="71"/>
        <v>0.71399938901986071</v>
      </c>
      <c r="BI16" s="2">
        <f t="shared" si="71"/>
        <v>0.83427976135091597</v>
      </c>
      <c r="BJ16" s="2">
        <f t="shared" si="71"/>
        <v>0.73335024398355475</v>
      </c>
      <c r="BK16" s="20">
        <f t="shared" si="71"/>
        <v>0.48225330819182721</v>
      </c>
      <c r="BL16" s="2">
        <f t="shared" si="71"/>
        <v>0.52946052903056162</v>
      </c>
      <c r="BM16" s="2">
        <f t="shared" si="71"/>
        <v>0.31542514737915917</v>
      </c>
      <c r="BN16" s="2">
        <f t="shared" si="71"/>
        <v>0</v>
      </c>
      <c r="BO16" s="2">
        <f t="shared" si="71"/>
        <v>5.3161641075107478E-2</v>
      </c>
      <c r="BP16" s="20">
        <f t="shared" si="71"/>
        <v>0</v>
      </c>
      <c r="BQ16" s="2">
        <f>IF(ISNUMBER(AQ16),MIN(1.15,AQ16/($AA16*(1-$K$3)^(BQ$6-1))),"")</f>
        <v>0</v>
      </c>
      <c r="BU16" s="23"/>
      <c r="BY16" s="25">
        <f t="shared" si="10"/>
        <v>10</v>
      </c>
      <c r="BZ16" s="3">
        <f t="shared" si="11"/>
        <v>44872.327275312382</v>
      </c>
      <c r="CA16" s="3">
        <f t="shared" si="30"/>
        <v>21090</v>
      </c>
      <c r="CB16" s="2">
        <f t="shared" si="31"/>
        <v>0.47000013773752236</v>
      </c>
      <c r="CC16" s="85">
        <f t="shared" si="32"/>
        <v>97</v>
      </c>
      <c r="CD16" s="3" t="str">
        <f t="shared" si="12"/>
        <v>Tracker</v>
      </c>
      <c r="CE16" s="58">
        <f t="shared" si="33"/>
        <v>-9.9149805212294218E-2</v>
      </c>
      <c r="CF16" s="2">
        <f t="array" ref="CF16:CG16">LINEST(AB16:AQ16,AB$6:AQ$6,TRUE,FALSE)</f>
        <v>-137.50882352941176</v>
      </c>
      <c r="CG16" s="2">
        <v>2486.9499999999998</v>
      </c>
      <c r="CH16" s="1">
        <f t="shared" si="34"/>
        <v>0.94582881201192892</v>
      </c>
      <c r="CI16" s="128" t="s">
        <v>64</v>
      </c>
      <c r="CJ16">
        <f t="shared" si="13"/>
        <v>3</v>
      </c>
      <c r="CK16" s="2">
        <f t="shared" si="14"/>
        <v>0.85009982432934705</v>
      </c>
      <c r="CL16" s="58">
        <f t="shared" si="15"/>
        <v>-2.0601756535910919E-3</v>
      </c>
      <c r="CN16" s="3"/>
      <c r="CO16" s="3"/>
      <c r="CP16" s="3"/>
      <c r="CQ16" s="3"/>
      <c r="CR16" s="3"/>
      <c r="CS16" s="3"/>
      <c r="CT16" s="3"/>
      <c r="CU16" s="3"/>
      <c r="CV16" s="3"/>
      <c r="DC16" s="2">
        <f t="shared" si="36"/>
        <v>1.2320000000000002</v>
      </c>
      <c r="DD16">
        <f t="shared" si="16"/>
        <v>1</v>
      </c>
      <c r="DE16">
        <f t="shared" si="37"/>
        <v>17</v>
      </c>
      <c r="DJ16" s="6" t="s">
        <v>625</v>
      </c>
      <c r="DK16">
        <f t="shared" si="17"/>
        <v>14</v>
      </c>
      <c r="DL16" s="72">
        <f t="shared" si="65"/>
        <v>35.199999999999996</v>
      </c>
      <c r="DM16" s="2">
        <f t="shared" si="69"/>
        <v>0.80158598198122166</v>
      </c>
      <c r="DN16" s="58">
        <f t="shared" si="70"/>
        <v>-3.8193501194520627E-2</v>
      </c>
      <c r="DT16">
        <f t="shared" si="38"/>
        <v>12872</v>
      </c>
      <c r="DU16" s="3">
        <f t="shared" si="39"/>
        <v>2911.1834497438276</v>
      </c>
      <c r="DV16" s="3">
        <f t="shared" si="40"/>
        <v>2896.6275324951084</v>
      </c>
      <c r="DW16" s="3">
        <f t="shared" si="41"/>
        <v>2882.1443948326332</v>
      </c>
      <c r="DX16" s="3">
        <f t="shared" si="42"/>
        <v>2867.7336728584696</v>
      </c>
      <c r="DY16" s="3">
        <f t="shared" si="43"/>
        <v>2853.3950044941776</v>
      </c>
      <c r="DZ16" s="3">
        <f t="shared" si="44"/>
        <v>2839.1280294717067</v>
      </c>
      <c r="EA16" s="3">
        <f t="shared" si="45"/>
        <v>2824.9323893243482</v>
      </c>
      <c r="EB16" s="2">
        <f t="shared" si="46"/>
        <v>0.64119090237038734</v>
      </c>
      <c r="ED16" s="2">
        <f t="shared" si="47"/>
        <v>0.47000013773752236</v>
      </c>
      <c r="EE16" s="58">
        <f t="shared" si="48"/>
        <v>-9.9149805212294218E-2</v>
      </c>
      <c r="EF16" s="2" t="str">
        <f t="shared" si="49"/>
        <v xml:space="preserve"> </v>
      </c>
      <c r="EG16" s="58" t="str">
        <f t="shared" si="50"/>
        <v xml:space="preserve"> </v>
      </c>
      <c r="EI16" s="2">
        <f t="shared" si="51"/>
        <v>0.64119090237038734</v>
      </c>
      <c r="EJ16" s="2" t="str">
        <f t="shared" si="52"/>
        <v xml:space="preserve"> </v>
      </c>
      <c r="EK16" s="2"/>
      <c r="EL16" s="2">
        <f t="array" ref="EL16:EM16">LINEST($AB16:$AH16,$AB$6:$AH$6,TRUE,FALSE)</f>
        <v>64.321428571428555</v>
      </c>
      <c r="EM16" s="2">
        <v>1581.5714285714287</v>
      </c>
      <c r="EN16" s="58">
        <f t="shared" si="53"/>
        <v>3.4979024238657543E-2</v>
      </c>
      <c r="EO16" s="2">
        <f t="array" ref="EO16:EP16">LINEST($AH16:$AQ16,$AH$6:$AQ$6,TRUE,FALSE)</f>
        <v>-295.27878787878797</v>
      </c>
      <c r="EP16" s="2">
        <v>4419.2060606060622</v>
      </c>
      <c r="EQ16" s="58">
        <f t="shared" si="54"/>
        <v>-0.28849905996950448</v>
      </c>
      <c r="ES16" s="3">
        <f t="shared" si="55"/>
        <v>65481.154336734791</v>
      </c>
      <c r="ET16" s="3">
        <f t="shared" si="19"/>
        <v>3574.3316326530535</v>
      </c>
      <c r="EU16" s="3">
        <f t="shared" si="19"/>
        <v>2648.5727040816391</v>
      </c>
      <c r="EV16" s="3">
        <f t="shared" si="19"/>
        <v>261267.02040816323</v>
      </c>
      <c r="EW16" s="3">
        <f t="shared" si="19"/>
        <v>22854.960459183712</v>
      </c>
      <c r="EX16" s="3">
        <f t="shared" si="19"/>
        <v>40200.25</v>
      </c>
      <c r="EY16" s="3">
        <f t="shared" si="19"/>
        <v>219.67474489795532</v>
      </c>
      <c r="EZ16" s="3">
        <f t="shared" si="56"/>
        <v>82957.964224058233</v>
      </c>
      <c r="FA16" s="3">
        <f t="shared" si="72"/>
        <v>83696.243342515649</v>
      </c>
      <c r="FB16" s="29">
        <f t="shared" si="72"/>
        <v>15479.88396694228</v>
      </c>
      <c r="FC16" s="3">
        <f t="shared" si="72"/>
        <v>86942.777006427452</v>
      </c>
      <c r="FD16" s="3">
        <f t="shared" si="72"/>
        <v>47.067915518832592</v>
      </c>
      <c r="FE16" s="3">
        <f t="shared" si="72"/>
        <v>337075.24760330626</v>
      </c>
      <c r="FF16" s="3">
        <f t="shared" si="72"/>
        <v>19684.940312213217</v>
      </c>
      <c r="FG16" s="29">
        <f t="shared" si="72"/>
        <v>99.515739210285105</v>
      </c>
      <c r="FH16" s="3">
        <f t="shared" si="73"/>
        <v>93180.337520661022</v>
      </c>
      <c r="FI16" s="3">
        <f t="shared" si="73"/>
        <v>360640.28444444388</v>
      </c>
      <c r="FQ16" s="4">
        <f>SQRT(AVERAGE(ES16:FI16))/AVERAGE(AB16:AR16)</f>
        <v>0.22354734182136832</v>
      </c>
      <c r="FR16" s="160">
        <v>0.05</v>
      </c>
      <c r="FS16" s="161">
        <f t="shared" si="21"/>
        <v>0.22366626949182819</v>
      </c>
      <c r="FV16" s="4">
        <f t="shared" si="58"/>
        <v>0.12938544234167085</v>
      </c>
      <c r="FW16" s="161">
        <f t="shared" si="59"/>
        <v>0.38644223874865269</v>
      </c>
      <c r="FY16">
        <f t="shared" si="66"/>
        <v>21</v>
      </c>
      <c r="FZ16">
        <f t="shared" si="60"/>
        <v>0</v>
      </c>
      <c r="GA16">
        <f t="shared" si="61"/>
        <v>0</v>
      </c>
      <c r="GB16">
        <f t="shared" si="62"/>
        <v>0</v>
      </c>
    </row>
    <row r="17" spans="1:184" x14ac:dyDescent="0.3">
      <c r="A17">
        <f t="shared" si="22"/>
        <v>11</v>
      </c>
      <c r="B17" s="6">
        <v>56993</v>
      </c>
      <c r="C17" s="6" t="s">
        <v>82</v>
      </c>
      <c r="D17" s="6">
        <v>2009</v>
      </c>
      <c r="E17" s="6">
        <v>2009</v>
      </c>
      <c r="F17" s="6" t="s">
        <v>252</v>
      </c>
      <c r="G17" s="17" t="s">
        <v>636</v>
      </c>
      <c r="H17" s="17" t="s">
        <v>638</v>
      </c>
      <c r="I17" s="6" t="s">
        <v>35</v>
      </c>
      <c r="J17" s="17">
        <v>30</v>
      </c>
      <c r="K17" s="6" t="s">
        <v>83</v>
      </c>
      <c r="L17" s="12">
        <v>40.15</v>
      </c>
      <c r="M17" s="12">
        <v>-74.78</v>
      </c>
      <c r="N17" s="14">
        <v>3.1</v>
      </c>
      <c r="O17" s="6">
        <v>3</v>
      </c>
      <c r="P17" s="94">
        <f>365.25*4.5</f>
        <v>1643.625</v>
      </c>
      <c r="Q17" s="15" t="s">
        <v>551</v>
      </c>
      <c r="R17" s="14">
        <v>12.4</v>
      </c>
      <c r="S17" s="3">
        <f t="shared" si="23"/>
        <v>36.0655</v>
      </c>
      <c r="T17" s="128" t="str">
        <f t="shared" si="24"/>
        <v>C</v>
      </c>
      <c r="U17" s="154">
        <v>1455</v>
      </c>
      <c r="V17" s="154">
        <v>671.5</v>
      </c>
      <c r="W17" s="156">
        <v>0.501</v>
      </c>
      <c r="X17" s="1">
        <f t="shared" si="63"/>
        <v>0.46151202749140896</v>
      </c>
      <c r="Y17" s="59">
        <f t="shared" si="25"/>
        <v>0</v>
      </c>
      <c r="Z17" s="1">
        <f t="shared" si="26"/>
        <v>1</v>
      </c>
      <c r="AA17" s="3">
        <f t="shared" si="64"/>
        <v>4163.9760996599052</v>
      </c>
      <c r="AB17" s="6">
        <v>3562</v>
      </c>
      <c r="AC17" s="6">
        <v>4053</v>
      </c>
      <c r="AD17" s="6">
        <v>3867</v>
      </c>
      <c r="AE17" s="6">
        <v>3991</v>
      </c>
      <c r="AF17" s="93">
        <v>3900</v>
      </c>
      <c r="AG17" s="6">
        <v>3699</v>
      </c>
      <c r="AH17" s="6">
        <v>3878</v>
      </c>
      <c r="AI17" s="6">
        <v>4021</v>
      </c>
      <c r="AJ17" s="6">
        <v>3598</v>
      </c>
      <c r="AK17" s="93">
        <v>3223</v>
      </c>
      <c r="AL17" s="6">
        <v>3729</v>
      </c>
      <c r="AM17" s="6">
        <v>3527</v>
      </c>
      <c r="AN17" s="6">
        <v>3568</v>
      </c>
      <c r="AO17" s="6">
        <v>3458</v>
      </c>
      <c r="AP17" s="93">
        <v>3079</v>
      </c>
      <c r="AQ17" s="6">
        <v>3402</v>
      </c>
      <c r="AU17" s="23"/>
      <c r="AY17" s="32">
        <v>16</v>
      </c>
      <c r="AZ17" s="1">
        <f t="shared" si="27"/>
        <v>0.71825650914211558</v>
      </c>
      <c r="BA17" s="24">
        <f t="shared" si="8"/>
        <v>11</v>
      </c>
      <c r="BB17" s="2">
        <f t="shared" si="71"/>
        <v>0.85543238355545026</v>
      </c>
      <c r="BC17" s="2">
        <f t="shared" si="71"/>
        <v>0.97823972488784183</v>
      </c>
      <c r="BD17" s="2">
        <f t="shared" si="71"/>
        <v>0.93803659703434117</v>
      </c>
      <c r="BE17" s="2">
        <f t="shared" si="71"/>
        <v>0.9729807711336762</v>
      </c>
      <c r="BF17" s="20">
        <f t="shared" si="71"/>
        <v>0.95557340886878306</v>
      </c>
      <c r="BG17" s="2">
        <f t="shared" si="71"/>
        <v>0.91087902059158066</v>
      </c>
      <c r="BH17" s="2">
        <f t="shared" si="71"/>
        <v>0.95975656651849395</v>
      </c>
      <c r="BI17" s="2">
        <f t="shared" si="71"/>
        <v>1.0001480206527387</v>
      </c>
      <c r="BJ17" s="2">
        <f t="shared" si="71"/>
        <v>0.89943189669025403</v>
      </c>
      <c r="BK17" s="20">
        <f t="shared" si="71"/>
        <v>0.80973768314409422</v>
      </c>
      <c r="BL17" s="2">
        <f t="shared" si="71"/>
        <v>0.94157159375666022</v>
      </c>
      <c r="BM17" s="2">
        <f t="shared" si="71"/>
        <v>0.89504185210842113</v>
      </c>
      <c r="BN17" s="2">
        <f t="shared" si="71"/>
        <v>0.90999634643955418</v>
      </c>
      <c r="BO17" s="2">
        <f t="shared" si="71"/>
        <v>0.88637339330846454</v>
      </c>
      <c r="BP17" s="20">
        <f t="shared" si="71"/>
        <v>0.79319200920646094</v>
      </c>
      <c r="BQ17" s="2">
        <f>IF(ISNUMBER(AQ17),MIN(1.15,AQ17/($AA17*(1-$K$3)^(BQ$6-1))),"")</f>
        <v>0.88080520018748498</v>
      </c>
      <c r="BU17" s="23"/>
      <c r="BY17" s="25">
        <f t="shared" si="10"/>
        <v>11</v>
      </c>
      <c r="BZ17" s="3">
        <f t="shared" si="11"/>
        <v>64182.591559786393</v>
      </c>
      <c r="CA17" s="3">
        <f t="shared" si="30"/>
        <v>58555</v>
      </c>
      <c r="CB17" s="2">
        <f t="shared" si="31"/>
        <v>0.91231903506818879</v>
      </c>
      <c r="CC17" s="85">
        <f t="shared" si="32"/>
        <v>34</v>
      </c>
      <c r="CD17" s="3" t="str">
        <f t="shared" si="12"/>
        <v>Fixed</v>
      </c>
      <c r="CE17" s="58">
        <f t="shared" si="33"/>
        <v>-1.1274641426685463E-2</v>
      </c>
      <c r="CF17" s="2">
        <f t="array" ref="CF17:CG17">LINEST(AB17:AQ17,AB$6:AQ$6,TRUE,FALSE)</f>
        <v>-41.495588235294122</v>
      </c>
      <c r="CG17" s="2">
        <v>4012.4</v>
      </c>
      <c r="CH17" s="1">
        <f t="shared" si="34"/>
        <v>1.021536312011929</v>
      </c>
      <c r="CI17" s="128" t="s">
        <v>73</v>
      </c>
      <c r="CJ17">
        <f t="shared" si="13"/>
        <v>2</v>
      </c>
      <c r="CK17" s="2">
        <f t="shared" si="14"/>
        <v>0.75757659339332295</v>
      </c>
      <c r="CL17" s="58">
        <f t="shared" si="15"/>
        <v>-5.6396597406899528E-2</v>
      </c>
      <c r="CN17" s="3"/>
      <c r="CO17" s="3"/>
      <c r="CP17" s="3"/>
      <c r="CQ17" s="3"/>
      <c r="CR17" s="3"/>
      <c r="CS17" s="3"/>
      <c r="CT17" s="3"/>
      <c r="CU17" s="3"/>
      <c r="CV17" s="3"/>
      <c r="DC17" s="2">
        <f t="shared" si="36"/>
        <v>1.0333333333333334</v>
      </c>
      <c r="DD17">
        <f t="shared" si="16"/>
        <v>0</v>
      </c>
      <c r="DE17">
        <f t="shared" si="37"/>
        <v>16</v>
      </c>
      <c r="DJ17" s="6" t="s">
        <v>628</v>
      </c>
      <c r="DK17">
        <f t="shared" si="17"/>
        <v>4</v>
      </c>
      <c r="DL17" s="72">
        <f t="shared" si="65"/>
        <v>26.778400000000001</v>
      </c>
      <c r="DM17" s="2">
        <f t="shared" si="69"/>
        <v>0.77111215763931917</v>
      </c>
      <c r="DN17" s="58">
        <f t="shared" si="70"/>
        <v>-5.8589217086919554E-2</v>
      </c>
      <c r="DT17">
        <f t="shared" si="38"/>
        <v>26950</v>
      </c>
      <c r="DU17" s="3">
        <f t="shared" si="39"/>
        <v>4163.9760996599052</v>
      </c>
      <c r="DV17" s="3">
        <f t="shared" si="40"/>
        <v>4143.1562191616058</v>
      </c>
      <c r="DW17" s="3">
        <f t="shared" si="41"/>
        <v>4122.4404380657979</v>
      </c>
      <c r="DX17" s="3">
        <f t="shared" si="42"/>
        <v>4101.8282358754686</v>
      </c>
      <c r="DY17" s="3">
        <f t="shared" si="43"/>
        <v>4081.3190946960917</v>
      </c>
      <c r="DZ17" s="3">
        <f t="shared" si="44"/>
        <v>4060.9124992226111</v>
      </c>
      <c r="EA17" s="3">
        <f t="shared" si="45"/>
        <v>4040.6079367264983</v>
      </c>
      <c r="EB17" s="2">
        <f t="shared" si="46"/>
        <v>0.93855869104496215</v>
      </c>
      <c r="ED17" s="2" t="str">
        <f t="shared" si="47"/>
        <v xml:space="preserve"> </v>
      </c>
      <c r="EE17" s="58" t="str">
        <f t="shared" si="48"/>
        <v xml:space="preserve"> </v>
      </c>
      <c r="EF17" s="2">
        <f t="shared" si="49"/>
        <v>0.91231903506818879</v>
      </c>
      <c r="EG17" s="58">
        <f t="shared" si="50"/>
        <v>-1.1274641426685463E-2</v>
      </c>
      <c r="EI17" s="2" t="str">
        <f t="shared" si="51"/>
        <v xml:space="preserve"> </v>
      </c>
      <c r="EJ17" s="2">
        <f t="shared" si="52"/>
        <v>0.93855869104496215</v>
      </c>
      <c r="EK17" s="2"/>
      <c r="EL17" s="2">
        <f t="array" ref="EL17:EM17">LINEST($AB17:$AH17,$AB$6:$AH$6,TRUE,FALSE)</f>
        <v>9.7499999999999982</v>
      </c>
      <c r="EM17" s="2">
        <v>3811</v>
      </c>
      <c r="EN17" s="58">
        <f t="shared" si="53"/>
        <v>2.5324675324675319E-3</v>
      </c>
      <c r="EO17" s="2">
        <f t="array" ref="EO17:EP17">LINEST($AH17:$AQ17,$AH$6:$AQ$6,TRUE,FALSE)</f>
        <v>-65.121212121212153</v>
      </c>
      <c r="EP17" s="2">
        <v>4297.1939393939401</v>
      </c>
      <c r="EQ17" s="58">
        <f t="shared" si="54"/>
        <v>-1.8352792075419819E-2</v>
      </c>
      <c r="ES17" s="3">
        <f t="shared" si="55"/>
        <v>66951.5625</v>
      </c>
      <c r="ET17" s="3">
        <f t="shared" si="19"/>
        <v>49506.25</v>
      </c>
      <c r="EU17" s="3">
        <f t="shared" si="19"/>
        <v>715.5625</v>
      </c>
      <c r="EV17" s="3">
        <f t="shared" si="19"/>
        <v>19881</v>
      </c>
      <c r="EW17" s="3">
        <f t="shared" si="19"/>
        <v>1620.0625</v>
      </c>
      <c r="EX17" s="3">
        <f t="shared" si="19"/>
        <v>29070.25</v>
      </c>
      <c r="EY17" s="3">
        <f t="shared" si="19"/>
        <v>1.5625</v>
      </c>
      <c r="EZ17" s="3">
        <f t="shared" si="56"/>
        <v>59915.171496785697</v>
      </c>
      <c r="FA17" s="3">
        <f t="shared" si="72"/>
        <v>12792.295463728273</v>
      </c>
      <c r="FB17" s="29">
        <f t="shared" si="72"/>
        <v>178913.61851239708</v>
      </c>
      <c r="FC17" s="3">
        <f t="shared" si="72"/>
        <v>21945.28003673091</v>
      </c>
      <c r="FD17" s="3">
        <f t="shared" si="72"/>
        <v>126.80124885215261</v>
      </c>
      <c r="FE17" s="3">
        <f t="shared" si="72"/>
        <v>13778.49123966934</v>
      </c>
      <c r="FF17" s="3">
        <f t="shared" si="72"/>
        <v>5256.6894031220645</v>
      </c>
      <c r="FG17" s="29">
        <f t="shared" si="72"/>
        <v>58262.256345270944</v>
      </c>
      <c r="FH17" s="3">
        <f t="shared" si="73"/>
        <v>21534.228429752002</v>
      </c>
      <c r="FI17" s="3">
        <f t="shared" si="73"/>
        <v>10176950.684444444</v>
      </c>
      <c r="FQ17" s="4">
        <f>SQRT(AVERAGE(ES17:FI17))/AVERAGE(AB17:AR17)</f>
        <v>0.21695648965767103</v>
      </c>
      <c r="FR17" s="160">
        <v>3.3000000000000002E-2</v>
      </c>
      <c r="FS17" s="161">
        <f t="shared" si="21"/>
        <v>0.15210423090855538</v>
      </c>
      <c r="FV17" s="4">
        <f t="shared" si="58"/>
        <v>4.0208387860952495E-2</v>
      </c>
      <c r="FW17" s="161">
        <f t="shared" si="59"/>
        <v>0.82072427559442729</v>
      </c>
      <c r="FY17">
        <f t="shared" si="66"/>
        <v>22</v>
      </c>
      <c r="FZ17">
        <f t="shared" si="60"/>
        <v>0</v>
      </c>
      <c r="GA17">
        <f t="shared" si="61"/>
        <v>0</v>
      </c>
      <c r="GB17">
        <f t="shared" si="62"/>
        <v>0</v>
      </c>
    </row>
    <row r="18" spans="1:184" x14ac:dyDescent="0.3">
      <c r="A18">
        <f t="shared" si="22"/>
        <v>12</v>
      </c>
      <c r="B18" s="6">
        <v>56883</v>
      </c>
      <c r="C18" s="6" t="s">
        <v>84</v>
      </c>
      <c r="D18" s="6">
        <v>2008</v>
      </c>
      <c r="E18" s="6">
        <v>2008</v>
      </c>
      <c r="F18" s="6" t="s">
        <v>252</v>
      </c>
      <c r="G18" s="17" t="s">
        <v>636</v>
      </c>
      <c r="H18" s="17" t="s">
        <v>638</v>
      </c>
      <c r="I18" s="6" t="s">
        <v>35</v>
      </c>
      <c r="J18" s="17">
        <v>25</v>
      </c>
      <c r="K18" s="6" t="s">
        <v>52</v>
      </c>
      <c r="L18" s="12">
        <v>39.989400000000003</v>
      </c>
      <c r="M18" s="12">
        <v>-75.040000000000006</v>
      </c>
      <c r="N18" s="14">
        <v>2.4</v>
      </c>
      <c r="O18" s="6">
        <v>1.5</v>
      </c>
      <c r="P18" s="94">
        <f>365.25*4.5</f>
        <v>1643.625</v>
      </c>
      <c r="Q18" s="15" t="s">
        <v>551</v>
      </c>
      <c r="R18" s="14">
        <v>12.4</v>
      </c>
      <c r="S18" s="3">
        <f t="shared" si="23"/>
        <v>36.0655</v>
      </c>
      <c r="T18" s="128" t="str">
        <f t="shared" si="24"/>
        <v>C</v>
      </c>
      <c r="U18" s="154">
        <v>1455</v>
      </c>
      <c r="V18" s="154">
        <v>671.5</v>
      </c>
      <c r="W18" s="156">
        <v>0.501</v>
      </c>
      <c r="X18" s="1">
        <f t="shared" si="63"/>
        <v>0.46151202749140896</v>
      </c>
      <c r="Y18" s="59">
        <f t="shared" si="25"/>
        <v>5.4962669828178656E-2</v>
      </c>
      <c r="Z18" s="1">
        <f t="shared" si="26"/>
        <v>0.49212701227111838</v>
      </c>
      <c r="AA18" s="3">
        <f t="shared" si="64"/>
        <v>3223.7234319947652</v>
      </c>
      <c r="AB18" s="6">
        <v>2660</v>
      </c>
      <c r="AC18" s="6">
        <v>3018</v>
      </c>
      <c r="AD18" s="6">
        <v>2592</v>
      </c>
      <c r="AE18" s="6">
        <v>2454</v>
      </c>
      <c r="AF18" s="93">
        <v>2490</v>
      </c>
      <c r="AG18" s="6">
        <v>2523</v>
      </c>
      <c r="AH18" s="6">
        <v>2402</v>
      </c>
      <c r="AI18" s="6">
        <v>2352</v>
      </c>
      <c r="AJ18" s="6">
        <v>2308</v>
      </c>
      <c r="AK18" s="93">
        <v>2369</v>
      </c>
      <c r="AL18" s="6">
        <v>2041</v>
      </c>
      <c r="AM18" s="6">
        <v>2292</v>
      </c>
      <c r="AN18" s="6">
        <v>2188</v>
      </c>
      <c r="AO18" s="6">
        <v>2086</v>
      </c>
      <c r="AP18" s="93">
        <v>2156</v>
      </c>
      <c r="AQ18" s="6">
        <v>1851</v>
      </c>
      <c r="AU18" s="23"/>
      <c r="AY18" s="32">
        <v>16</v>
      </c>
      <c r="AZ18" s="1">
        <f t="shared" si="27"/>
        <v>0.59861966689482093</v>
      </c>
      <c r="BA18" s="24">
        <f t="shared" si="8"/>
        <v>12</v>
      </c>
      <c r="BB18" s="2">
        <f t="shared" si="71"/>
        <v>0.82513281803273486</v>
      </c>
      <c r="BC18" s="2">
        <f t="shared" si="71"/>
        <v>0.940888972993839</v>
      </c>
      <c r="BD18" s="2">
        <f t="shared" si="71"/>
        <v>0.81214029657899522</v>
      </c>
      <c r="BE18" s="2">
        <f t="shared" si="71"/>
        <v>0.77276517146102985</v>
      </c>
      <c r="BF18" s="20">
        <f t="shared" si="71"/>
        <v>0.78804178878826248</v>
      </c>
      <c r="BG18" s="2">
        <f t="shared" si="71"/>
        <v>0.80249820714527909</v>
      </c>
      <c r="BH18" s="2">
        <f t="shared" si="71"/>
        <v>0.76785062592509135</v>
      </c>
      <c r="BI18" s="2">
        <f t="shared" si="71"/>
        <v>0.7556452839450436</v>
      </c>
      <c r="BJ18" s="2">
        <f t="shared" si="71"/>
        <v>0.74523523884095677</v>
      </c>
      <c r="BK18" s="20">
        <f t="shared" si="71"/>
        <v>0.76877554184014818</v>
      </c>
      <c r="BL18" s="2">
        <f t="shared" si="71"/>
        <v>0.66566300514634902</v>
      </c>
      <c r="BM18" s="2">
        <f t="shared" si="71"/>
        <v>0.75128194022313033</v>
      </c>
      <c r="BN18" s="2">
        <f t="shared" si="71"/>
        <v>0.72079633999325121</v>
      </c>
      <c r="BO18" s="2">
        <f t="shared" si="71"/>
        <v>0.6906475546038795</v>
      </c>
      <c r="BP18" s="20">
        <f t="shared" si="71"/>
        <v>0.71741070054296618</v>
      </c>
      <c r="BQ18" s="2">
        <f>IF(ISNUMBER(AQ18),MIN(1.15,AQ18/($AA18*(1-$K$3)^(BQ$6-1))),"")</f>
        <v>0.61901679394422493</v>
      </c>
      <c r="BU18" s="23"/>
      <c r="BY18" s="25">
        <f t="shared" si="10"/>
        <v>12</v>
      </c>
      <c r="BZ18" s="3">
        <f t="shared" si="11"/>
        <v>49689.748304350753</v>
      </c>
      <c r="CA18" s="3">
        <f t="shared" si="30"/>
        <v>37782</v>
      </c>
      <c r="CB18" s="2">
        <f t="shared" si="31"/>
        <v>0.7603580474705659</v>
      </c>
      <c r="CC18" s="85">
        <f t="shared" si="32"/>
        <v>76</v>
      </c>
      <c r="CD18" s="3" t="str">
        <f t="shared" si="12"/>
        <v>Fixed</v>
      </c>
      <c r="CE18" s="58">
        <f t="shared" si="33"/>
        <v>-2.170812915228031E-2</v>
      </c>
      <c r="CF18" s="2">
        <f t="array" ref="CF18:CG18">LINEST(AB18:AQ18,AB$6:AQ$6,TRUE,FALSE)</f>
        <v>-51.82352941176471</v>
      </c>
      <c r="CG18" s="2">
        <v>2801.875</v>
      </c>
      <c r="CH18" s="1">
        <f t="shared" si="34"/>
        <v>1.021536312011929</v>
      </c>
      <c r="CI18" s="128" t="s">
        <v>138</v>
      </c>
      <c r="CJ18">
        <f t="shared" si="13"/>
        <v>2</v>
      </c>
      <c r="CK18" s="2">
        <f t="shared" si="14"/>
        <v>0.92779017987646595</v>
      </c>
      <c r="CL18" s="58">
        <f t="shared" si="15"/>
        <v>-1.2720021465541843E-2</v>
      </c>
      <c r="CN18" s="3"/>
      <c r="CO18" s="3"/>
      <c r="CP18" s="3"/>
      <c r="CQ18" s="3"/>
      <c r="CR18" s="3"/>
      <c r="CS18" s="3"/>
      <c r="CT18" s="3"/>
      <c r="CU18" s="3"/>
      <c r="CV18" s="3"/>
      <c r="DC18" s="2">
        <f t="shared" si="36"/>
        <v>1.5999999999999999</v>
      </c>
      <c r="DD18">
        <f t="shared" si="16"/>
        <v>0</v>
      </c>
      <c r="DE18">
        <f t="shared" si="37"/>
        <v>16</v>
      </c>
      <c r="DJ18" s="63" t="s">
        <v>638</v>
      </c>
      <c r="DK18" s="33">
        <f t="shared" si="17"/>
        <v>51</v>
      </c>
      <c r="DL18" s="71">
        <f t="shared" si="65"/>
        <v>255.77</v>
      </c>
      <c r="DM18" s="21">
        <f t="shared" si="69"/>
        <v>0.8517993440743673</v>
      </c>
      <c r="DN18" s="60">
        <f t="shared" si="70"/>
        <v>-2.6662245407956798E-2</v>
      </c>
      <c r="DT18">
        <f t="shared" si="38"/>
        <v>18139</v>
      </c>
      <c r="DU18" s="3">
        <f t="shared" si="39"/>
        <v>3223.7234319947652</v>
      </c>
      <c r="DV18" s="3">
        <f t="shared" si="40"/>
        <v>3207.6048148347913</v>
      </c>
      <c r="DW18" s="3">
        <f t="shared" si="41"/>
        <v>3191.5667907606176</v>
      </c>
      <c r="DX18" s="3">
        <f t="shared" si="42"/>
        <v>3175.6089568068141</v>
      </c>
      <c r="DY18" s="3">
        <f t="shared" si="43"/>
        <v>3159.7309120227806</v>
      </c>
      <c r="DZ18" s="3">
        <f t="shared" si="44"/>
        <v>3143.9322574626667</v>
      </c>
      <c r="EA18" s="3">
        <f t="shared" si="45"/>
        <v>3128.2125961753532</v>
      </c>
      <c r="EB18" s="2">
        <f t="shared" si="46"/>
        <v>0.81595547155658887</v>
      </c>
      <c r="ED18" s="2" t="str">
        <f t="shared" si="47"/>
        <v xml:space="preserve"> </v>
      </c>
      <c r="EE18" s="58" t="str">
        <f t="shared" si="48"/>
        <v xml:space="preserve"> </v>
      </c>
      <c r="EF18" s="2">
        <f t="shared" si="49"/>
        <v>0.7603580474705659</v>
      </c>
      <c r="EG18" s="58">
        <f t="shared" si="50"/>
        <v>-2.170812915228031E-2</v>
      </c>
      <c r="EI18" s="2" t="str">
        <f t="shared" si="51"/>
        <v xml:space="preserve"> </v>
      </c>
      <c r="EJ18" s="2">
        <f t="shared" si="52"/>
        <v>0.81595547155658887</v>
      </c>
      <c r="EK18" s="2"/>
      <c r="EL18" s="2">
        <f t="array" ref="EL18:EM18">LINEST($AB18:$AH18,$AB$6:$AH$6,TRUE,FALSE)</f>
        <v>-66.642857142857125</v>
      </c>
      <c r="EM18" s="2">
        <v>2857.8571428571427</v>
      </c>
      <c r="EN18" s="58">
        <f t="shared" si="53"/>
        <v>-2.5718066045537235E-2</v>
      </c>
      <c r="EO18" s="2">
        <f t="array" ref="EO18:EP18">LINEST($AH18:$AQ18,$AH$6:$AQ$6,TRUE,FALSE)</f>
        <v>-46.866666666666653</v>
      </c>
      <c r="EP18" s="2">
        <v>2743.4666666666662</v>
      </c>
      <c r="EQ18" s="58">
        <f t="shared" si="54"/>
        <v>-2.1259544870340964E-2</v>
      </c>
      <c r="ES18" s="3">
        <f t="shared" si="55"/>
        <v>17217.188775510102</v>
      </c>
      <c r="ET18" s="3">
        <f t="shared" si="19"/>
        <v>86100.326530612321</v>
      </c>
      <c r="EU18" s="3">
        <f t="shared" si="19"/>
        <v>4346.5765306122021</v>
      </c>
      <c r="EV18" s="3">
        <f t="shared" si="19"/>
        <v>18847.367346938758</v>
      </c>
      <c r="EW18" s="3">
        <f t="shared" si="19"/>
        <v>1200.1275510203902</v>
      </c>
      <c r="EX18" s="3">
        <f t="shared" si="19"/>
        <v>4225</v>
      </c>
      <c r="EY18" s="3">
        <f t="shared" si="19"/>
        <v>113.27040816326945</v>
      </c>
      <c r="EZ18" s="3">
        <f t="shared" si="56"/>
        <v>273.35111111109507</v>
      </c>
      <c r="FA18" s="3">
        <f t="shared" si="72"/>
        <v>186.77777777777362</v>
      </c>
      <c r="FB18" s="29">
        <f t="shared" si="72"/>
        <v>8873.6400000000522</v>
      </c>
      <c r="FC18" s="3">
        <f t="shared" si="72"/>
        <v>34944.071111110963</v>
      </c>
      <c r="FD18" s="3">
        <f t="shared" si="72"/>
        <v>12306.204444444458</v>
      </c>
      <c r="FE18" s="3">
        <f t="shared" si="72"/>
        <v>2894.4400000000196</v>
      </c>
      <c r="FF18" s="3">
        <f t="shared" si="72"/>
        <v>1.7777777777769694</v>
      </c>
      <c r="FG18" s="29">
        <f t="shared" si="72"/>
        <v>13347.951111111157</v>
      </c>
      <c r="FH18" s="3">
        <f t="shared" si="73"/>
        <v>20334.759999999973</v>
      </c>
      <c r="FI18" s="3">
        <f t="shared" si="73"/>
        <v>3789770.6711111101</v>
      </c>
      <c r="FQ18" s="4">
        <f>SQRT(AVERAGE(ES18:FI18))/AVERAGE(AB18:AR18)</f>
        <v>0.20580335995063936</v>
      </c>
      <c r="FR18" s="160">
        <v>3.3000000000000002E-2</v>
      </c>
      <c r="FS18" s="161">
        <f t="shared" si="21"/>
        <v>0.16034723635180126</v>
      </c>
      <c r="FV18" s="4">
        <f t="shared" si="58"/>
        <v>5.3003512031051053E-2</v>
      </c>
      <c r="FW18" s="161">
        <f t="shared" si="59"/>
        <v>0.62260025299205846</v>
      </c>
      <c r="FY18" s="33">
        <f t="shared" si="66"/>
        <v>23</v>
      </c>
      <c r="FZ18" s="33">
        <f t="shared" si="60"/>
        <v>1</v>
      </c>
      <c r="GA18" s="33">
        <f t="shared" si="61"/>
        <v>0</v>
      </c>
      <c r="GB18" s="33">
        <f t="shared" si="62"/>
        <v>1</v>
      </c>
    </row>
    <row r="19" spans="1:184" x14ac:dyDescent="0.3">
      <c r="A19">
        <f t="shared" si="22"/>
        <v>13</v>
      </c>
      <c r="B19" s="6">
        <v>56915</v>
      </c>
      <c r="C19" s="6" t="s">
        <v>88</v>
      </c>
      <c r="D19" s="6">
        <v>2009</v>
      </c>
      <c r="E19" s="6">
        <v>2008</v>
      </c>
      <c r="F19" s="6" t="s">
        <v>252</v>
      </c>
      <c r="G19" s="17" t="s">
        <v>636</v>
      </c>
      <c r="H19" s="17" t="s">
        <v>638</v>
      </c>
      <c r="I19" s="6" t="s">
        <v>36</v>
      </c>
      <c r="J19" s="17">
        <v>0</v>
      </c>
      <c r="K19" s="6" t="s">
        <v>86</v>
      </c>
      <c r="L19" s="12">
        <v>35.81</v>
      </c>
      <c r="M19" s="12">
        <v>-78.75</v>
      </c>
      <c r="N19" s="14">
        <v>2.4</v>
      </c>
      <c r="O19" s="6">
        <v>2</v>
      </c>
      <c r="P19" s="94">
        <f>365.25*5.7</f>
        <v>2081.9250000000002</v>
      </c>
      <c r="Q19" s="15" t="s">
        <v>552</v>
      </c>
      <c r="R19" s="14">
        <v>15.2</v>
      </c>
      <c r="S19" s="3">
        <f t="shared" si="23"/>
        <v>41.349724999999999</v>
      </c>
      <c r="T19" s="128" t="str">
        <f t="shared" si="24"/>
        <v>M</v>
      </c>
      <c r="U19" s="154">
        <v>1626</v>
      </c>
      <c r="V19" s="154">
        <v>728</v>
      </c>
      <c r="W19" s="156">
        <v>0.53400000000000003</v>
      </c>
      <c r="X19" s="1">
        <f t="shared" si="63"/>
        <v>0.44772447724477243</v>
      </c>
      <c r="Y19" s="59">
        <f t="shared" si="25"/>
        <v>2.494813162718329E-2</v>
      </c>
      <c r="Z19" s="1">
        <f t="shared" si="26"/>
        <v>0.72482074861218337</v>
      </c>
      <c r="AA19" s="3">
        <f t="shared" si="64"/>
        <v>3798.9479396357533</v>
      </c>
      <c r="AB19" s="6">
        <v>1539</v>
      </c>
      <c r="AC19" s="6">
        <v>2435</v>
      </c>
      <c r="AD19" s="6">
        <v>3579</v>
      </c>
      <c r="AE19" s="6">
        <v>3500</v>
      </c>
      <c r="AF19" s="93">
        <v>3134</v>
      </c>
      <c r="AG19" s="6">
        <v>3375</v>
      </c>
      <c r="AH19" s="6">
        <v>3250</v>
      </c>
      <c r="AI19" s="6">
        <v>3290</v>
      </c>
      <c r="AJ19" s="6">
        <v>3049</v>
      </c>
      <c r="AK19" s="93">
        <v>2540</v>
      </c>
      <c r="AL19" s="6">
        <v>1837</v>
      </c>
      <c r="AM19" s="6">
        <v>1977</v>
      </c>
      <c r="AN19" s="6">
        <v>1820</v>
      </c>
      <c r="AO19" s="6">
        <v>1928</v>
      </c>
      <c r="AP19" s="93">
        <v>1735</v>
      </c>
      <c r="AQ19" s="6">
        <v>1692</v>
      </c>
      <c r="AU19" s="23"/>
      <c r="AY19" s="32">
        <v>16</v>
      </c>
      <c r="AZ19" s="1">
        <f t="shared" si="27"/>
        <v>0.50884397852948593</v>
      </c>
      <c r="BA19" s="24">
        <f t="shared" si="8"/>
        <v>13</v>
      </c>
      <c r="BB19" s="2">
        <f t="shared" si="71"/>
        <v>0.40511215853817695</v>
      </c>
      <c r="BC19" s="2">
        <f t="shared" si="71"/>
        <v>0.64418786984987375</v>
      </c>
      <c r="BD19" s="2">
        <f t="shared" si="71"/>
        <v>0.95159509506163176</v>
      </c>
      <c r="BE19" s="2">
        <f t="shared" si="71"/>
        <v>0.93526667501118654</v>
      </c>
      <c r="BF19" s="20">
        <f t="shared" si="71"/>
        <v>0.84167286704524291</v>
      </c>
      <c r="BG19" s="2">
        <f t="shared" si="71"/>
        <v>0.9109510302879088</v>
      </c>
      <c r="BH19" s="2">
        <f t="shared" si="71"/>
        <v>0.88162020426151599</v>
      </c>
      <c r="BI19" s="2">
        <f t="shared" si="71"/>
        <v>0.89695569293247401</v>
      </c>
      <c r="BJ19" s="2">
        <f t="shared" si="71"/>
        <v>0.83542878763150508</v>
      </c>
      <c r="BK19" s="20">
        <f t="shared" si="71"/>
        <v>0.69945962036618736</v>
      </c>
      <c r="BL19" s="2">
        <f t="shared" si="71"/>
        <v>0.50841108005091851</v>
      </c>
      <c r="BM19" s="2">
        <f t="shared" si="71"/>
        <v>0.54990724184923845</v>
      </c>
      <c r="BN19" s="2">
        <f t="shared" si="71"/>
        <v>0.50878122538113635</v>
      </c>
      <c r="BO19" s="2">
        <f t="shared" si="71"/>
        <v>0.54168104397527794</v>
      </c>
      <c r="BP19" s="20">
        <f t="shared" si="71"/>
        <v>0.48990627999807496</v>
      </c>
      <c r="BQ19" s="2">
        <f>IF(ISNUMBER(AQ19),MIN(1.15,AQ19/($AA19*(1-$K$3)^(BQ$6-1))),"")</f>
        <v>0.48016533720866172</v>
      </c>
      <c r="BU19" s="23"/>
      <c r="BY19" s="25">
        <f t="shared" si="10"/>
        <v>13</v>
      </c>
      <c r="BZ19" s="3">
        <f t="shared" si="11"/>
        <v>58556.129557623601</v>
      </c>
      <c r="CA19" s="3">
        <f t="shared" si="30"/>
        <v>40680</v>
      </c>
      <c r="CB19" s="2">
        <f t="shared" si="31"/>
        <v>0.69471804757805666</v>
      </c>
      <c r="CC19" s="85">
        <f t="shared" si="32"/>
        <v>87</v>
      </c>
      <c r="CD19" s="3" t="str">
        <f t="shared" si="12"/>
        <v>Tracker</v>
      </c>
      <c r="CE19" s="58">
        <f t="shared" si="33"/>
        <v>-3.3131534684130985E-2</v>
      </c>
      <c r="CF19" s="2">
        <f t="array" ref="CF19:CG19">LINEST(AB19:AQ19,AB$6:AQ$6,TRUE,FALSE)</f>
        <v>-85.655882352941191</v>
      </c>
      <c r="CG19" s="2">
        <v>3270.5750000000003</v>
      </c>
      <c r="CH19" s="1">
        <f t="shared" si="34"/>
        <v>1.0003994120119288</v>
      </c>
      <c r="CI19" s="128" t="s">
        <v>386</v>
      </c>
      <c r="CJ19">
        <f t="shared" si="13"/>
        <v>1</v>
      </c>
      <c r="CK19" s="2">
        <f t="shared" si="14"/>
        <v>1.0049579563391708</v>
      </c>
      <c r="CL19" s="58">
        <f t="shared" si="15"/>
        <v>-2.2192404433244342E-2</v>
      </c>
      <c r="CN19" s="3"/>
      <c r="CO19" s="3"/>
      <c r="CP19" s="3"/>
      <c r="CQ19" s="3"/>
      <c r="CR19" s="3"/>
      <c r="CS19" s="3"/>
      <c r="CT19" s="3"/>
      <c r="CU19" s="3"/>
      <c r="CV19" s="3"/>
      <c r="DC19" s="2">
        <f t="shared" si="36"/>
        <v>1.2</v>
      </c>
      <c r="DD19">
        <f t="shared" si="16"/>
        <v>1</v>
      </c>
      <c r="DE19">
        <f t="shared" si="37"/>
        <v>17</v>
      </c>
      <c r="DJ19" s="129" t="s">
        <v>645</v>
      </c>
      <c r="DK19">
        <f>SUM(DK7:DK18)</f>
        <v>100</v>
      </c>
      <c r="DL19" s="3">
        <f>SUM(DL7:DL18)</f>
        <v>639.94948399999998</v>
      </c>
      <c r="DM19" s="2">
        <f>AVERAGE($CB$7:$CB$106)</f>
        <v>0.83956393094067594</v>
      </c>
      <c r="DN19" s="58">
        <f>AVERAGE($CE$7:$CE$106)</f>
        <v>-3.1107463962614244E-2</v>
      </c>
      <c r="DT19">
        <f t="shared" si="38"/>
        <v>20812</v>
      </c>
      <c r="DU19" s="3">
        <f t="shared" si="39"/>
        <v>3798.9479396357533</v>
      </c>
      <c r="DV19" s="3">
        <f t="shared" si="40"/>
        <v>3779.9531999375745</v>
      </c>
      <c r="DW19" s="3">
        <f t="shared" si="41"/>
        <v>3761.0534339378869</v>
      </c>
      <c r="DX19" s="3">
        <f t="shared" si="42"/>
        <v>3742.2481667681973</v>
      </c>
      <c r="DY19" s="3">
        <f t="shared" si="43"/>
        <v>3723.5369259343565</v>
      </c>
      <c r="DZ19" s="3">
        <f t="shared" si="44"/>
        <v>3704.9192413046849</v>
      </c>
      <c r="EA19" s="3">
        <f t="shared" si="45"/>
        <v>3686.3946450981616</v>
      </c>
      <c r="EB19" s="2">
        <f t="shared" si="46"/>
        <v>0.7944404876754263</v>
      </c>
      <c r="ED19" s="2" t="str">
        <f t="shared" si="47"/>
        <v xml:space="preserve"> </v>
      </c>
      <c r="EE19" s="58" t="str">
        <f t="shared" si="48"/>
        <v xml:space="preserve"> </v>
      </c>
      <c r="EF19" s="2" t="str">
        <f t="shared" si="49"/>
        <v xml:space="preserve"> </v>
      </c>
      <c r="EG19" s="58" t="str">
        <f t="shared" si="50"/>
        <v xml:space="preserve"> </v>
      </c>
      <c r="EI19" s="2" t="str">
        <f t="shared" si="51"/>
        <v xml:space="preserve"> </v>
      </c>
      <c r="EJ19" s="2" t="str">
        <f t="shared" si="52"/>
        <v xml:space="preserve"> </v>
      </c>
      <c r="EK19" s="2"/>
      <c r="EL19" s="2">
        <f t="array" ref="EL19:EM19">LINEST($AB19:$AH19,$AB$6:$AH$6,TRUE,FALSE)</f>
        <v>234.57142857142853</v>
      </c>
      <c r="EM19" s="2">
        <v>2034.8571428571431</v>
      </c>
      <c r="EN19" s="58">
        <f t="shared" si="53"/>
        <v>7.8896790313280785E-2</v>
      </c>
      <c r="EO19" s="2">
        <f t="array" ref="EO19:EP19">LINEST($AH19:$AQ19,$AH$6:$AQ$6,TRUE,FALSE)</f>
        <v>-197.16363636363644</v>
      </c>
      <c r="EP19" s="2">
        <v>4579.1818181818198</v>
      </c>
      <c r="EQ19" s="58">
        <f t="shared" si="54"/>
        <v>-8.5285767092151743E-2</v>
      </c>
      <c r="ES19" s="3">
        <f t="shared" si="55"/>
        <v>533525.8979591839</v>
      </c>
      <c r="ET19" s="3">
        <f t="shared" si="19"/>
        <v>4761</v>
      </c>
      <c r="EU19" s="3">
        <f t="shared" si="19"/>
        <v>706320.18367346958</v>
      </c>
      <c r="EV19" s="3">
        <f t="shared" si="19"/>
        <v>277578.44897959166</v>
      </c>
      <c r="EW19" s="3">
        <f t="shared" si="19"/>
        <v>5433.7959183673565</v>
      </c>
      <c r="EX19" s="3">
        <f t="shared" si="19"/>
        <v>4527.3673469387668</v>
      </c>
      <c r="EY19" s="3">
        <f t="shared" si="19"/>
        <v>182207.02040816349</v>
      </c>
      <c r="EZ19" s="3">
        <f t="shared" si="56"/>
        <v>83017.325289255605</v>
      </c>
      <c r="FA19" s="3">
        <f t="shared" si="72"/>
        <v>59678.048264462239</v>
      </c>
      <c r="FB19" s="29">
        <f t="shared" si="72"/>
        <v>4562.3884297521836</v>
      </c>
      <c r="FC19" s="3">
        <f t="shared" si="72"/>
        <v>328766.70942148822</v>
      </c>
      <c r="FD19" s="3">
        <f t="shared" si="72"/>
        <v>55799.02942148794</v>
      </c>
      <c r="FE19" s="3">
        <f t="shared" si="72"/>
        <v>38437.384793388766</v>
      </c>
      <c r="FF19" s="3">
        <f t="shared" si="72"/>
        <v>11904.793719008143</v>
      </c>
      <c r="FG19" s="29">
        <f t="shared" si="72"/>
        <v>12830.710743801597</v>
      </c>
      <c r="FH19" s="3">
        <f t="shared" si="73"/>
        <v>71522.208595041113</v>
      </c>
      <c r="FI19" s="3">
        <f t="shared" si="73"/>
        <v>1506510.7600000014</v>
      </c>
      <c r="FQ19" s="4">
        <f>SQRT(AVERAGE(ES19:FI19))/AVERAGE(AB19:AR19)</f>
        <v>0.18808027336714181</v>
      </c>
      <c r="FR19" s="160">
        <v>3.5000000000000003E-2</v>
      </c>
      <c r="FS19" s="161">
        <f t="shared" si="21"/>
        <v>0.18609075461985483</v>
      </c>
      <c r="FV19" s="4">
        <f t="shared" si="58"/>
        <v>0.16645062075429948</v>
      </c>
      <c r="FW19" s="161">
        <f t="shared" si="59"/>
        <v>0.21027257117691428</v>
      </c>
      <c r="FZ19">
        <f>SUM(FZ7:FZ18)</f>
        <v>100</v>
      </c>
      <c r="GA19">
        <f t="shared" ref="GA19:GB19" si="74">SUM(GA7:GA18)</f>
        <v>66</v>
      </c>
      <c r="GB19">
        <f t="shared" si="74"/>
        <v>34</v>
      </c>
    </row>
    <row r="20" spans="1:184" x14ac:dyDescent="0.3">
      <c r="A20">
        <f t="shared" si="22"/>
        <v>14</v>
      </c>
      <c r="B20" s="6">
        <v>56875</v>
      </c>
      <c r="C20" s="6" t="s">
        <v>89</v>
      </c>
      <c r="D20" s="6">
        <v>2009</v>
      </c>
      <c r="E20" s="6">
        <v>2008</v>
      </c>
      <c r="F20" s="6" t="s">
        <v>252</v>
      </c>
      <c r="G20" s="17" t="s">
        <v>634</v>
      </c>
      <c r="H20" s="17" t="s">
        <v>630</v>
      </c>
      <c r="I20" s="6" t="s">
        <v>35</v>
      </c>
      <c r="J20" s="17">
        <v>45</v>
      </c>
      <c r="K20" s="6" t="s">
        <v>24</v>
      </c>
      <c r="L20" s="12">
        <v>38.449800000000003</v>
      </c>
      <c r="M20" s="12">
        <v>-121.1647</v>
      </c>
      <c r="N20" s="14">
        <f>17172*72/1000000</f>
        <v>1.2363839999999999</v>
      </c>
      <c r="O20" s="6">
        <v>1</v>
      </c>
      <c r="P20" s="94">
        <f>365.25*5.5*0.99</f>
        <v>1988.7862499999999</v>
      </c>
      <c r="Q20" s="15" t="s">
        <v>507</v>
      </c>
      <c r="R20" s="14">
        <v>16</v>
      </c>
      <c r="S20" s="3">
        <f t="shared" si="23"/>
        <v>42.231175</v>
      </c>
      <c r="T20" s="128" t="str">
        <f t="shared" si="24"/>
        <v>M</v>
      </c>
      <c r="U20" s="154">
        <v>1793</v>
      </c>
      <c r="V20" s="154">
        <v>572</v>
      </c>
      <c r="W20" s="156">
        <v>0.60799999999999998</v>
      </c>
      <c r="X20" s="1">
        <f t="shared" si="63"/>
        <v>0.31901840490797545</v>
      </c>
      <c r="Y20" s="59">
        <f t="shared" si="25"/>
        <v>0</v>
      </c>
      <c r="Z20" s="1">
        <f t="shared" si="26"/>
        <v>1</v>
      </c>
      <c r="AA20" s="3">
        <f t="shared" si="64"/>
        <v>1963.2790559545749</v>
      </c>
      <c r="AB20" s="6">
        <v>1686</v>
      </c>
      <c r="AC20" s="6">
        <v>1744</v>
      </c>
      <c r="AD20" s="6">
        <v>1780</v>
      </c>
      <c r="AE20" s="6">
        <v>1709</v>
      </c>
      <c r="AF20" s="93">
        <v>1778</v>
      </c>
      <c r="AG20" s="6">
        <v>1692</v>
      </c>
      <c r="AH20" s="6">
        <v>1730</v>
      </c>
      <c r="AI20" s="6">
        <v>1683</v>
      </c>
      <c r="AJ20" s="6">
        <v>1710</v>
      </c>
      <c r="AK20" s="93">
        <v>1537</v>
      </c>
      <c r="AL20" s="6">
        <v>1446</v>
      </c>
      <c r="AM20" s="6">
        <v>1360</v>
      </c>
      <c r="AP20" s="23"/>
      <c r="AU20" s="23"/>
      <c r="AY20" s="32">
        <v>12</v>
      </c>
      <c r="AZ20" s="1">
        <f t="shared" si="27"/>
        <v>0.67289478178385598</v>
      </c>
      <c r="BA20" s="24">
        <f t="shared" si="8"/>
        <v>14</v>
      </c>
      <c r="BB20" s="2">
        <f t="shared" ref="BB20:BB51" si="75">IF(ISNUMBER(AB20),MIN(1.15,AB20/($AA20*(1-$K$3)^(BB$6-1))),"")</f>
        <v>0.85876737435078587</v>
      </c>
      <c r="BC20" s="2">
        <f t="shared" ref="BC20:BC51" si="76">IF(ISNUMBER(AC20),MIN(1.15,AC20/($AA20*(1-$K$3)^(BC$6-1))),"")</f>
        <v>0.89277365526789976</v>
      </c>
      <c r="BD20" s="2">
        <f t="shared" ref="BD20:BD51" si="77">IF(ISNUMBER(AD20),MIN(1.15,AD20/($AA20*(1-$K$3)^(BD$6-1))),"")</f>
        <v>0.91578137613345478</v>
      </c>
      <c r="BE20" s="2">
        <f t="shared" ref="BE20:BE51" si="78">IF(ISNUMBER(AE20),MIN(1.15,AE20/($AA20*(1-$K$3)^(BE$6-1))),"")</f>
        <v>0.88367137474568025</v>
      </c>
      <c r="BF20" s="20">
        <f t="shared" ref="BF20:BF51" si="79">IF(ISNUMBER(AF20),MIN(1.15,AF20/($AA20*(1-$K$3)^(BF$6-1))),"")</f>
        <v>0.92396899906073349</v>
      </c>
      <c r="BG20" s="2">
        <f t="shared" ref="BG20:BG51" si="80">IF(ISNUMBER(AG20),MIN(1.15,AG20/($AA20*(1-$K$3)^(BG$6-1))),"")</f>
        <v>0.88369606548533497</v>
      </c>
      <c r="BH20" s="2">
        <f t="shared" ref="BH20:BH51" si="81">IF(ISNUMBER(AH20),MIN(1.15,AH20/($AA20*(1-$K$3)^(BH$6-1))),"")</f>
        <v>0.90808308284307437</v>
      </c>
      <c r="BI20" s="2">
        <f t="shared" ref="BI20:BI51" si="82">IF(ISNUMBER(AI20),MIN(1.15,AI20/($AA20*(1-$K$3)^(BI$6-1))),"")</f>
        <v>0.88785187697150159</v>
      </c>
      <c r="BJ20" s="2">
        <f t="shared" ref="BJ20:BJ51" si="83">IF(ISNUMBER(AJ20),MIN(1.15,AJ20/($AA20*(1-$K$3)^(BJ$6-1))),"")</f>
        <v>0.90662863313672803</v>
      </c>
      <c r="BK20" s="20">
        <f t="shared" ref="BK20:BK51" si="84">IF(ISNUMBER(AK20),MIN(1.15,AK20/($AA20*(1-$K$3)^(BK$6-1))),"")</f>
        <v>0.81900038739378245</v>
      </c>
      <c r="BL20" s="2">
        <f t="shared" ref="BL20:BL51" si="85">IF(ISNUMBER(AL20),MIN(1.15,AL20/($AA20*(1-$K$3)^(BL$6-1))),"")</f>
        <v>0.77438236084221312</v>
      </c>
      <c r="BM20" s="2">
        <f t="shared" ref="BM20:BM51" si="86">IF(ISNUMBER(AM20),MIN(1.15,AM20/($AA20*(1-$K$3)^(BM$6-1))),"")</f>
        <v>0.73198635691973701</v>
      </c>
      <c r="BP20" s="23"/>
      <c r="BU20" s="23"/>
      <c r="BY20" s="25">
        <f t="shared" si="10"/>
        <v>14</v>
      </c>
      <c r="BZ20" s="3">
        <f t="shared" si="11"/>
        <v>22922.144106084386</v>
      </c>
      <c r="CA20" s="3">
        <f t="shared" si="30"/>
        <v>19855</v>
      </c>
      <c r="CB20" s="2">
        <f t="shared" si="31"/>
        <v>0.86619296642192156</v>
      </c>
      <c r="CC20" s="85">
        <f t="shared" si="32"/>
        <v>51</v>
      </c>
      <c r="CD20" s="3" t="str">
        <f t="shared" si="12"/>
        <v>Fixed</v>
      </c>
      <c r="CE20" s="58">
        <f t="shared" si="33"/>
        <v>-1.7202428298773213E-2</v>
      </c>
      <c r="CF20" s="2">
        <f t="array" ref="CF20:CG20">LINEST(AB20:AM20,AB$6:AM$6,TRUE,FALSE)</f>
        <v>-28.70979020979021</v>
      </c>
      <c r="CG20" s="2">
        <v>1841.1969696969695</v>
      </c>
      <c r="CH20" s="1">
        <f t="shared" si="34"/>
        <v>0.99804600750745553</v>
      </c>
      <c r="CI20" s="128" t="s">
        <v>112</v>
      </c>
      <c r="CJ20">
        <f t="shared" si="13"/>
        <v>1</v>
      </c>
      <c r="CK20" s="2">
        <f t="shared" si="14"/>
        <v>0.97945964878553882</v>
      </c>
      <c r="CL20" s="58">
        <f t="shared" si="15"/>
        <v>-1.0239890104034663E-2</v>
      </c>
      <c r="CN20" s="3"/>
      <c r="CO20" s="3"/>
      <c r="CP20" s="3"/>
      <c r="CQ20" s="3"/>
      <c r="CR20" s="3"/>
      <c r="CS20" s="3"/>
      <c r="CT20" s="3"/>
      <c r="CU20" s="3"/>
      <c r="CV20" s="3"/>
      <c r="DC20" s="2">
        <f t="shared" si="36"/>
        <v>1.2363839999999999</v>
      </c>
      <c r="DD20">
        <f t="shared" si="16"/>
        <v>1</v>
      </c>
      <c r="DE20">
        <f t="shared" si="37"/>
        <v>13</v>
      </c>
      <c r="DJ20" s="129" t="s">
        <v>646</v>
      </c>
      <c r="DM20" s="2">
        <f>MEDIAN($CB$7:$CB$106)</f>
        <v>0.86694532997956797</v>
      </c>
      <c r="DN20" s="58">
        <f>MEDIAN($CE$7:$CE$106)</f>
        <v>-2.3304756373798266E-2</v>
      </c>
      <c r="DT20">
        <f t="shared" si="38"/>
        <v>12119</v>
      </c>
      <c r="DU20" s="3">
        <f t="shared" si="39"/>
        <v>1963.2790559545749</v>
      </c>
      <c r="DV20" s="3">
        <f t="shared" si="40"/>
        <v>1953.462660674802</v>
      </c>
      <c r="DW20" s="3">
        <f t="shared" si="41"/>
        <v>1943.6953473714282</v>
      </c>
      <c r="DX20" s="3">
        <f t="shared" si="42"/>
        <v>1933.976870634571</v>
      </c>
      <c r="DY20" s="3">
        <f t="shared" si="43"/>
        <v>1924.3069862813982</v>
      </c>
      <c r="DZ20" s="3">
        <f t="shared" si="44"/>
        <v>1914.6854513499911</v>
      </c>
      <c r="EA20" s="3">
        <f t="shared" si="45"/>
        <v>1905.1120240932414</v>
      </c>
      <c r="EB20" s="2">
        <f t="shared" si="46"/>
        <v>0.89514964970305311</v>
      </c>
      <c r="ED20" s="2" t="str">
        <f t="shared" si="47"/>
        <v xml:space="preserve"> </v>
      </c>
      <c r="EE20" s="58" t="str">
        <f t="shared" si="48"/>
        <v xml:space="preserve"> </v>
      </c>
      <c r="EF20" s="2" t="str">
        <f t="shared" si="49"/>
        <v xml:space="preserve"> </v>
      </c>
      <c r="EG20" s="58" t="str">
        <f t="shared" si="50"/>
        <v xml:space="preserve"> </v>
      </c>
      <c r="EI20" s="2" t="str">
        <f t="shared" si="51"/>
        <v xml:space="preserve"> </v>
      </c>
      <c r="EJ20" s="2" t="str">
        <f t="shared" si="52"/>
        <v xml:space="preserve"> </v>
      </c>
      <c r="EK20" s="2"/>
      <c r="EL20" s="2">
        <f t="array" ref="EL20:EM20">LINEST($AB20:$AH20,$AB$6:$AH$6,TRUE,FALSE)</f>
        <v>0.92857142857142794</v>
      </c>
      <c r="EM20" s="2">
        <v>1727.5714285714284</v>
      </c>
      <c r="EN20" s="58">
        <f t="shared" si="53"/>
        <v>5.3634788348873633E-4</v>
      </c>
      <c r="EO20" s="2">
        <f t="array" ref="EO20:EP20">LINEST($AH20:$AM20,$AH$6:$AM$6,TRUE,FALSE)</f>
        <v>-78.114285714285714</v>
      </c>
      <c r="EP20" s="2">
        <v>2319.7523809523809</v>
      </c>
      <c r="EQ20" s="58">
        <f t="shared" si="54"/>
        <v>-4.951254112462649E-2</v>
      </c>
      <c r="ES20" s="3">
        <f t="shared" si="55"/>
        <v>1806.2499999999807</v>
      </c>
      <c r="ET20" s="3">
        <f t="shared" si="19"/>
        <v>212.32653061224775</v>
      </c>
      <c r="EU20" s="3">
        <f t="shared" si="19"/>
        <v>2464.413265306142</v>
      </c>
      <c r="EV20" s="3">
        <f t="shared" si="19"/>
        <v>496.65306122448692</v>
      </c>
      <c r="EW20" s="3">
        <f t="shared" si="19"/>
        <v>2096.3316326530762</v>
      </c>
      <c r="EX20" s="3">
        <f t="shared" si="19"/>
        <v>1692.7346938775484</v>
      </c>
      <c r="EY20" s="3">
        <f t="shared" si="19"/>
        <v>16.57653061224384</v>
      </c>
      <c r="EZ20" s="3">
        <f t="shared" si="56"/>
        <v>140.1404988662151</v>
      </c>
      <c r="FA20" s="3">
        <f t="shared" ref="FA20:FD22" si="87">($EP20+$EO20*FA$6-AJ20)^2</f>
        <v>8700.4477097505805</v>
      </c>
      <c r="FB20" s="29">
        <f t="shared" si="87"/>
        <v>2.5905668934240293</v>
      </c>
      <c r="FC20" s="3">
        <f t="shared" si="87"/>
        <v>210.11192743764374</v>
      </c>
      <c r="FD20" s="3">
        <f t="shared" si="87"/>
        <v>500.90702947845415</v>
      </c>
      <c r="FE20" s="3"/>
      <c r="FF20" s="3"/>
      <c r="FG20" s="29"/>
      <c r="FH20" s="3"/>
      <c r="FI20" s="3"/>
      <c r="FQ20" s="4">
        <f>SQRT(AVERAGE(ES20:FD20))/AVERAGE(AB20:AM20)</f>
        <v>2.3627310093187873E-2</v>
      </c>
      <c r="FR20" s="160">
        <v>3.4000000000000002E-2</v>
      </c>
      <c r="FS20" s="161">
        <f t="shared" si="21"/>
        <v>1.4390127300103766</v>
      </c>
      <c r="FV20" s="4">
        <f t="shared" si="58"/>
        <v>2.0462570071391281E-2</v>
      </c>
      <c r="FW20" s="161">
        <f t="shared" si="59"/>
        <v>1.6615703639072885</v>
      </c>
    </row>
    <row r="21" spans="1:184" x14ac:dyDescent="0.3">
      <c r="A21">
        <f t="shared" si="22"/>
        <v>15</v>
      </c>
      <c r="B21" s="6">
        <v>56500</v>
      </c>
      <c r="C21" s="6" t="s">
        <v>92</v>
      </c>
      <c r="D21" s="6">
        <v>2010</v>
      </c>
      <c r="E21" s="6">
        <v>2010</v>
      </c>
      <c r="F21" s="6" t="s">
        <v>297</v>
      </c>
      <c r="G21" s="17" t="s">
        <v>636</v>
      </c>
      <c r="H21" s="17" t="s">
        <v>638</v>
      </c>
      <c r="I21" s="6" t="s">
        <v>35</v>
      </c>
      <c r="J21" s="17">
        <v>21</v>
      </c>
      <c r="K21" s="6" t="s">
        <v>47</v>
      </c>
      <c r="L21" s="12">
        <v>39.560299999999998</v>
      </c>
      <c r="M21" s="12">
        <v>-119.5108</v>
      </c>
      <c r="N21" s="14">
        <f>7875*200/1000000</f>
        <v>1.575</v>
      </c>
      <c r="O21" s="6">
        <v>1</v>
      </c>
      <c r="P21" s="94">
        <f>365.25*5.8</f>
        <v>2118.4499999999998</v>
      </c>
      <c r="Q21" s="15" t="s">
        <v>553</v>
      </c>
      <c r="R21" s="14">
        <v>10.4</v>
      </c>
      <c r="S21" s="3">
        <f t="shared" si="23"/>
        <v>37.594999999999999</v>
      </c>
      <c r="T21" s="128" t="str">
        <f t="shared" si="24"/>
        <v>C</v>
      </c>
      <c r="U21" s="154">
        <v>1848</v>
      </c>
      <c r="V21" s="154">
        <v>511</v>
      </c>
      <c r="W21" s="156">
        <v>0.63300000000000001</v>
      </c>
      <c r="X21" s="1">
        <f t="shared" si="63"/>
        <v>0.27651515151515149</v>
      </c>
      <c r="Y21" s="59">
        <f t="shared" si="25"/>
        <v>6.4461515507575728E-2</v>
      </c>
      <c r="Z21" s="1">
        <f t="shared" si="26"/>
        <v>0.4353723878659157</v>
      </c>
      <c r="AA21" s="3">
        <f t="shared" si="64"/>
        <v>2710.4022830829049</v>
      </c>
      <c r="AB21" s="6">
        <v>1694</v>
      </c>
      <c r="AC21" s="6">
        <v>1247</v>
      </c>
      <c r="AD21" s="6">
        <v>2770</v>
      </c>
      <c r="AE21" s="6">
        <v>2647</v>
      </c>
      <c r="AF21" s="93">
        <v>2560</v>
      </c>
      <c r="AG21" s="6">
        <v>2501</v>
      </c>
      <c r="AH21" s="6">
        <v>2546</v>
      </c>
      <c r="AI21" s="6">
        <v>2515</v>
      </c>
      <c r="AJ21" s="6">
        <v>2508</v>
      </c>
      <c r="AK21" s="93">
        <v>2443</v>
      </c>
      <c r="AL21" s="6">
        <v>2572</v>
      </c>
      <c r="AM21" s="6">
        <v>2209</v>
      </c>
      <c r="AN21" s="6">
        <v>1452</v>
      </c>
      <c r="AO21" s="6">
        <v>1373</v>
      </c>
      <c r="AP21" s="93">
        <v>1261</v>
      </c>
      <c r="AQ21" s="6">
        <v>1337</v>
      </c>
      <c r="AU21" s="23"/>
      <c r="AY21" s="32">
        <v>16</v>
      </c>
      <c r="AZ21" s="1">
        <f t="shared" si="27"/>
        <v>0.63004660115755495</v>
      </c>
      <c r="BA21" s="24">
        <f t="shared" si="8"/>
        <v>15</v>
      </c>
      <c r="BB21" s="2">
        <f t="shared" si="75"/>
        <v>0.62499947353688989</v>
      </c>
      <c r="BC21" s="2">
        <f t="shared" si="76"/>
        <v>0.46239126179925705</v>
      </c>
      <c r="BD21" s="2">
        <f t="shared" si="77"/>
        <v>1.0322855618783104</v>
      </c>
      <c r="BE21" s="2">
        <f t="shared" si="78"/>
        <v>0.99140463410623081</v>
      </c>
      <c r="BF21" s="20">
        <f t="shared" si="79"/>
        <v>0.96363793402674525</v>
      </c>
      <c r="BG21" s="2">
        <f t="shared" si="80"/>
        <v>0.94615989046831406</v>
      </c>
      <c r="BH21" s="2">
        <f t="shared" si="81"/>
        <v>0.96802407926571199</v>
      </c>
      <c r="BI21" s="2">
        <f t="shared" si="82"/>
        <v>0.96104266791667115</v>
      </c>
      <c r="BJ21" s="2">
        <f t="shared" si="83"/>
        <v>0.96318371624924271</v>
      </c>
      <c r="BK21" s="20">
        <f t="shared" si="84"/>
        <v>0.94293549838382507</v>
      </c>
      <c r="BL21" s="2">
        <f t="shared" si="85"/>
        <v>0.99771477191244717</v>
      </c>
      <c r="BM21" s="2">
        <f t="shared" si="86"/>
        <v>0.86120803518158295</v>
      </c>
      <c r="BN21" s="2">
        <f>IF(ISNUMBER(AN21),MIN(1.15,AN21/($AA21*(1-$K$3)^(BN$6-1))),"")</f>
        <v>0.56892614593276847</v>
      </c>
      <c r="BO21" s="2">
        <f>IF(ISNUMBER(AO21),MIN(1.15,AO21/($AA21*(1-$K$3)^(BO$6-1))),"")</f>
        <v>0.54067555294772152</v>
      </c>
      <c r="BP21" s="20">
        <f>IF(ISNUMBER(AP21),MIN(1.15,AP21/($AA21*(1-$K$3)^(BP$6-1))),"")</f>
        <v>0.49906625060266868</v>
      </c>
      <c r="BQ21" s="2">
        <f>IF(ISNUMBER(AQ21),MIN(1.15,AQ21/($AA21*(1-$K$3)^(BQ$6-1))),"")</f>
        <v>0.53180380654722303</v>
      </c>
      <c r="BU21" s="23"/>
      <c r="BY21" s="25">
        <f t="shared" si="10"/>
        <v>15</v>
      </c>
      <c r="BZ21" s="3">
        <f t="shared" si="11"/>
        <v>41777.531506972613</v>
      </c>
      <c r="CA21" s="3">
        <f t="shared" si="30"/>
        <v>33635</v>
      </c>
      <c r="CB21" s="2">
        <f t="shared" si="31"/>
        <v>0.80509783098090337</v>
      </c>
      <c r="CC21" s="85">
        <f t="shared" si="32"/>
        <v>66</v>
      </c>
      <c r="CD21" s="3" t="str">
        <f t="shared" si="12"/>
        <v>Fixed</v>
      </c>
      <c r="CE21" s="58">
        <f t="shared" si="33"/>
        <v>-2.3309115950285685E-2</v>
      </c>
      <c r="CF21" s="2">
        <f t="array" ref="CF21:CG21">LINEST(AB21:AQ21,AB$6:AQ$6,TRUE,FALSE)</f>
        <v>-49.577941176470588</v>
      </c>
      <c r="CG21" s="2">
        <v>2523.6</v>
      </c>
      <c r="CH21" s="1">
        <f t="shared" si="34"/>
        <v>1.0154183120119289</v>
      </c>
      <c r="CI21" s="128" t="s">
        <v>389</v>
      </c>
      <c r="CJ21">
        <f t="shared" si="13"/>
        <v>1</v>
      </c>
      <c r="CK21" s="2">
        <f t="shared" si="14"/>
        <v>0.82322810520926371</v>
      </c>
      <c r="CL21" s="58">
        <f t="shared" si="15"/>
        <v>-4.1487042470536181E-2</v>
      </c>
      <c r="CN21" s="3"/>
      <c r="CO21" s="3"/>
      <c r="CP21" s="3"/>
      <c r="CQ21" s="3"/>
      <c r="CR21" s="3"/>
      <c r="CS21" s="3"/>
      <c r="CT21" s="3"/>
      <c r="CU21" s="3"/>
      <c r="CV21" s="3"/>
      <c r="DC21" s="2">
        <f t="shared" si="36"/>
        <v>1.575</v>
      </c>
      <c r="DD21">
        <f t="shared" si="16"/>
        <v>0</v>
      </c>
      <c r="DE21">
        <f t="shared" si="37"/>
        <v>16</v>
      </c>
      <c r="DT21">
        <f t="shared" si="38"/>
        <v>15965</v>
      </c>
      <c r="DU21" s="3">
        <f t="shared" si="39"/>
        <v>2710.4022830829049</v>
      </c>
      <c r="DV21" s="3">
        <f t="shared" si="40"/>
        <v>2696.8502716674902</v>
      </c>
      <c r="DW21" s="3">
        <f t="shared" si="41"/>
        <v>2683.3660203091531</v>
      </c>
      <c r="DX21" s="3">
        <f t="shared" si="42"/>
        <v>2669.949190207607</v>
      </c>
      <c r="DY21" s="3">
        <f t="shared" si="43"/>
        <v>2656.5994442565693</v>
      </c>
      <c r="DZ21" s="3">
        <f t="shared" si="44"/>
        <v>2643.3164470352867</v>
      </c>
      <c r="EA21" s="3">
        <f t="shared" si="45"/>
        <v>2630.09986480011</v>
      </c>
      <c r="EB21" s="2">
        <f t="shared" si="46"/>
        <v>0.8541734388204415</v>
      </c>
      <c r="ED21" s="2" t="str">
        <f t="shared" si="47"/>
        <v xml:space="preserve"> </v>
      </c>
      <c r="EE21" s="58" t="str">
        <f t="shared" si="48"/>
        <v xml:space="preserve"> </v>
      </c>
      <c r="EF21" s="2">
        <f t="shared" si="49"/>
        <v>0.80509783098090337</v>
      </c>
      <c r="EG21" s="58">
        <f t="shared" si="50"/>
        <v>-2.3309115950285685E-2</v>
      </c>
      <c r="EI21" s="2" t="str">
        <f t="shared" si="51"/>
        <v xml:space="preserve"> </v>
      </c>
      <c r="EJ21" s="2">
        <f t="shared" si="52"/>
        <v>0.8541734388204415</v>
      </c>
      <c r="EK21" s="2"/>
      <c r="EL21" s="2">
        <f t="array" ref="EL21:EM21">LINEST($AB21:$AH21,$AB$6:$AH$6,TRUE,FALSE)</f>
        <v>173.35714285714289</v>
      </c>
      <c r="EM21" s="2">
        <v>1587.2857142857142</v>
      </c>
      <c r="EN21" s="58">
        <f t="shared" si="53"/>
        <v>7.6010021922956486E-2</v>
      </c>
      <c r="EO21" s="2">
        <f t="array" ref="EO21:EP21">LINEST($AH21:$AQ21,$AH$6:$AQ$6,TRUE,FALSE)</f>
        <v>-173.75757575757578</v>
      </c>
      <c r="EP21" s="2">
        <v>4019.8121212121214</v>
      </c>
      <c r="EQ21" s="58">
        <f t="shared" si="54"/>
        <v>-8.5950522238610896E-2</v>
      </c>
      <c r="ES21" s="3">
        <f t="shared" si="55"/>
        <v>4441.270408163261</v>
      </c>
      <c r="ET21" s="3">
        <f t="shared" si="19"/>
        <v>471969</v>
      </c>
      <c r="EU21" s="3">
        <f t="shared" si="19"/>
        <v>439095.55612244864</v>
      </c>
      <c r="EV21" s="3">
        <f t="shared" si="19"/>
        <v>134165.22448979586</v>
      </c>
      <c r="EW21" s="3">
        <f t="shared" si="19"/>
        <v>11220.862244897986</v>
      </c>
      <c r="EX21" s="3">
        <f t="shared" si="19"/>
        <v>15984.183673469421</v>
      </c>
      <c r="EY21" s="3">
        <f t="shared" si="19"/>
        <v>64915.760204081831</v>
      </c>
      <c r="EZ21" s="3">
        <f t="shared" si="56"/>
        <v>13167.910229568462</v>
      </c>
      <c r="FA21" s="3">
        <f t="shared" si="87"/>
        <v>2704.6303397612483</v>
      </c>
      <c r="FB21" s="29">
        <f t="shared" si="87"/>
        <v>25844.946776859575</v>
      </c>
      <c r="FC21" s="3">
        <f t="shared" si="87"/>
        <v>214851.9140863177</v>
      </c>
      <c r="FD21" s="3">
        <f t="shared" si="87"/>
        <v>75228.853480257225</v>
      </c>
      <c r="FE21" s="3">
        <f t="shared" ref="FE21:FE53" si="88">($EP21+$EO21*FE$6-AN21)^2</f>
        <v>95458.528595041338</v>
      </c>
      <c r="FF21" s="3">
        <f t="shared" ref="FF21:FF50" si="89">($EP21+$EO21*FF$6-AO21)^2</f>
        <v>45884.236400367226</v>
      </c>
      <c r="FG21" s="29">
        <f>($EP21+$EO21*FG$6-AP21)^2</f>
        <v>23240.54053259873</v>
      </c>
      <c r="FH21" s="3">
        <f>($EP21+$EO21*FH$6-AQ21)^2</f>
        <v>9469.0591735537528</v>
      </c>
      <c r="FI21" s="3"/>
      <c r="FQ21" s="4">
        <f>SQRT(AVERAGE(ES21:FH21))/AVERAGE(AB21:AQ21)</f>
        <v>0.15265113901164512</v>
      </c>
      <c r="FR21" s="160">
        <v>3.3000000000000002E-2</v>
      </c>
      <c r="FS21" s="161">
        <f t="shared" si="21"/>
        <v>0.21617919272441569</v>
      </c>
      <c r="FV21" s="4">
        <f t="shared" si="58"/>
        <v>0.17708165321633365</v>
      </c>
      <c r="FW21" s="161">
        <f t="shared" si="59"/>
        <v>0.18635470925768469</v>
      </c>
    </row>
    <row r="22" spans="1:184" x14ac:dyDescent="0.3">
      <c r="A22">
        <f t="shared" si="22"/>
        <v>16</v>
      </c>
      <c r="B22" s="6">
        <v>56322</v>
      </c>
      <c r="C22" s="6" t="s">
        <v>95</v>
      </c>
      <c r="D22" s="6">
        <v>2011</v>
      </c>
      <c r="E22" s="6">
        <v>2011</v>
      </c>
      <c r="F22" s="6" t="s">
        <v>248</v>
      </c>
      <c r="G22" s="17" t="s">
        <v>636</v>
      </c>
      <c r="H22" s="17" t="s">
        <v>638</v>
      </c>
      <c r="I22" s="6" t="s">
        <v>35</v>
      </c>
      <c r="J22" s="17">
        <v>37</v>
      </c>
      <c r="K22" s="6" t="s">
        <v>96</v>
      </c>
      <c r="L22" s="12">
        <v>47.036000000000001</v>
      </c>
      <c r="M22" s="12">
        <v>-120.206</v>
      </c>
      <c r="N22" s="14">
        <v>0.5</v>
      </c>
      <c r="O22" s="6">
        <v>0.5</v>
      </c>
      <c r="P22" s="94">
        <f>365.25*4.8</f>
        <v>1753.2</v>
      </c>
      <c r="Q22" s="15" t="s">
        <v>554</v>
      </c>
      <c r="R22" s="14">
        <v>9.9</v>
      </c>
      <c r="S22" s="3">
        <f t="shared" si="23"/>
        <v>34.379999999999995</v>
      </c>
      <c r="T22" s="128" t="str">
        <f t="shared" si="24"/>
        <v>C</v>
      </c>
      <c r="U22" s="154">
        <v>1501.5</v>
      </c>
      <c r="V22" s="154">
        <v>554</v>
      </c>
      <c r="W22" s="156">
        <v>0.56699999999999995</v>
      </c>
      <c r="X22" s="1">
        <f t="shared" si="63"/>
        <v>0.36896436896436896</v>
      </c>
      <c r="Y22" s="59">
        <f t="shared" si="25"/>
        <v>0</v>
      </c>
      <c r="Z22" s="1">
        <f t="shared" si="26"/>
        <v>1</v>
      </c>
      <c r="AA22" s="3">
        <f t="shared" si="64"/>
        <v>721.1110146477256</v>
      </c>
      <c r="AB22" s="6">
        <v>840</v>
      </c>
      <c r="AC22" s="6">
        <v>794</v>
      </c>
      <c r="AD22" s="6">
        <v>762</v>
      </c>
      <c r="AE22" s="6">
        <v>729</v>
      </c>
      <c r="AF22" s="93">
        <v>790</v>
      </c>
      <c r="AG22" s="6">
        <v>727</v>
      </c>
      <c r="AH22" s="6">
        <v>481</v>
      </c>
      <c r="AI22" s="6">
        <v>488</v>
      </c>
      <c r="AJ22" s="6">
        <v>389</v>
      </c>
      <c r="AK22" s="93">
        <v>95</v>
      </c>
      <c r="AL22" s="6">
        <v>484</v>
      </c>
      <c r="AM22" s="6">
        <v>556</v>
      </c>
      <c r="AN22" s="6">
        <v>637</v>
      </c>
      <c r="AO22" s="6">
        <v>666</v>
      </c>
      <c r="AP22" s="93">
        <v>676</v>
      </c>
      <c r="AU22" s="23"/>
      <c r="AY22" s="32">
        <v>15</v>
      </c>
      <c r="AZ22" s="1">
        <f t="shared" si="27"/>
        <v>0.69313255760894366</v>
      </c>
      <c r="BA22" s="24">
        <f t="shared" si="8"/>
        <v>16</v>
      </c>
      <c r="BB22" s="2">
        <f t="shared" si="75"/>
        <v>1.1499999999999999</v>
      </c>
      <c r="BC22" s="2">
        <f t="shared" si="76"/>
        <v>1.1066117886697027</v>
      </c>
      <c r="BD22" s="2">
        <f t="shared" si="77"/>
        <v>1.067349572758393</v>
      </c>
      <c r="BE22" s="2">
        <f t="shared" si="78"/>
        <v>1.0262570576516028</v>
      </c>
      <c r="BF22" s="20">
        <f t="shared" si="79"/>
        <v>1.1177190141996209</v>
      </c>
      <c r="BG22" s="2">
        <f t="shared" si="80"/>
        <v>1.0337532260328532</v>
      </c>
      <c r="BH22" s="2">
        <f t="shared" si="81"/>
        <v>0.68739198291568215</v>
      </c>
      <c r="BI22" s="2">
        <f t="shared" si="82"/>
        <v>0.7009001089916379</v>
      </c>
      <c r="BJ22" s="2">
        <f t="shared" si="83"/>
        <v>0.56151689265538174</v>
      </c>
      <c r="BK22" s="20">
        <f t="shared" si="84"/>
        <v>0.13782047719900598</v>
      </c>
      <c r="BL22" s="2">
        <f t="shared" si="85"/>
        <v>0.70568750028372274</v>
      </c>
      <c r="BM22" s="2">
        <f t="shared" si="86"/>
        <v>0.81473950362919945</v>
      </c>
      <c r="BN22" s="2">
        <f>IF(ISNUMBER(AN22),MIN(1.15,AN22/($AA22*(1-$K$3)^(BN$6-1))),"")</f>
        <v>0.93812418895159255</v>
      </c>
      <c r="BO22" s="2">
        <f>IF(ISNUMBER(AO22),MIN(1.15,AO22/($AA22*(1-$K$3)^(BO$6-1))),"")</f>
        <v>0.98576194921508731</v>
      </c>
      <c r="BP22" s="20">
        <f>IF(ISNUMBER(AP22),MIN(1.15,AP22/($AA22*(1-$K$3)^(BP$6-1))),"")</f>
        <v>1.0055911353605851</v>
      </c>
      <c r="BU22" s="23"/>
      <c r="BY22" s="25">
        <f t="shared" si="10"/>
        <v>16</v>
      </c>
      <c r="BZ22" s="3">
        <f t="shared" si="11"/>
        <v>10446.162877479299</v>
      </c>
      <c r="CA22" s="3">
        <f t="shared" si="30"/>
        <v>9114</v>
      </c>
      <c r="CB22" s="2">
        <f t="shared" si="31"/>
        <v>0.87247347249856833</v>
      </c>
      <c r="CC22" s="85">
        <f t="shared" si="32"/>
        <v>48</v>
      </c>
      <c r="CD22" s="3" t="str">
        <f t="shared" si="12"/>
        <v>Fixed</v>
      </c>
      <c r="CE22" s="58">
        <f t="shared" si="33"/>
        <v>-3.1854189141116887E-2</v>
      </c>
      <c r="CF22" s="2">
        <f t="array" ref="CF22:CG22">LINEST(AB22:AP22,AB$6:AP$6,TRUE,FALSE)</f>
        <v>-19.667857142857141</v>
      </c>
      <c r="CG22" s="2">
        <v>764.94285714285718</v>
      </c>
      <c r="CH22" s="1">
        <f t="shared" si="34"/>
        <v>1.028278312011929</v>
      </c>
      <c r="CI22" s="128" t="s">
        <v>233</v>
      </c>
      <c r="CJ22">
        <f t="shared" si="13"/>
        <v>1</v>
      </c>
      <c r="CK22" s="2">
        <f t="shared" si="14"/>
        <v>0.90331368903344955</v>
      </c>
      <c r="CL22" s="58">
        <f t="shared" si="15"/>
        <v>-2.330039679731085E-2</v>
      </c>
      <c r="CN22" s="3"/>
      <c r="CO22" s="3"/>
      <c r="CP22" s="3"/>
      <c r="CQ22" s="3"/>
      <c r="CR22" s="3"/>
      <c r="CS22" s="3"/>
      <c r="CT22" s="3"/>
      <c r="CU22" s="3"/>
      <c r="CV22" s="3"/>
      <c r="DC22" s="2">
        <f t="shared" si="36"/>
        <v>1</v>
      </c>
      <c r="DD22">
        <f t="shared" si="16"/>
        <v>0</v>
      </c>
      <c r="DE22">
        <f t="shared" si="37"/>
        <v>15</v>
      </c>
      <c r="DT22">
        <f t="shared" si="38"/>
        <v>5123</v>
      </c>
      <c r="DU22" s="3">
        <f t="shared" si="39"/>
        <v>730.43478260869574</v>
      </c>
      <c r="DV22" s="3">
        <f t="shared" si="40"/>
        <v>717.50545957448696</v>
      </c>
      <c r="DW22" s="3">
        <f t="shared" si="41"/>
        <v>713.91793227661458</v>
      </c>
      <c r="DX22" s="3">
        <f t="shared" si="42"/>
        <v>710.34834261523133</v>
      </c>
      <c r="DY22" s="3">
        <f t="shared" si="43"/>
        <v>706.79660090215532</v>
      </c>
      <c r="DZ22" s="3">
        <f t="shared" si="44"/>
        <v>703.26261789764465</v>
      </c>
      <c r="EA22" s="3">
        <f t="shared" si="45"/>
        <v>699.74630480815642</v>
      </c>
      <c r="EB22" s="2">
        <f t="shared" si="46"/>
        <v>1.0282994015601952</v>
      </c>
      <c r="ED22" s="2" t="str">
        <f t="shared" si="47"/>
        <v xml:space="preserve"> </v>
      </c>
      <c r="EE22" s="58" t="str">
        <f t="shared" si="48"/>
        <v xml:space="preserve"> </v>
      </c>
      <c r="EF22" s="2">
        <f t="shared" si="49"/>
        <v>0.87247347249856833</v>
      </c>
      <c r="EG22" s="58">
        <f t="shared" si="50"/>
        <v>-3.1854189141116887E-2</v>
      </c>
      <c r="EI22" s="2" t="str">
        <f t="shared" si="51"/>
        <v xml:space="preserve"> </v>
      </c>
      <c r="EJ22" s="2">
        <f t="shared" si="52"/>
        <v>1.0282994015601952</v>
      </c>
      <c r="EK22" s="2"/>
      <c r="EL22" s="2">
        <f t="array" ref="EL22:EM22">LINEST($AB22:$AH22,$AB$6:$AH$6,TRUE,FALSE)</f>
        <v>-42.249999999999993</v>
      </c>
      <c r="EM22" s="2">
        <v>900.85714285714289</v>
      </c>
      <c r="EN22" s="58">
        <f t="shared" si="53"/>
        <v>-5.7729845793480374E-2</v>
      </c>
      <c r="EO22" s="2">
        <f t="array" ref="EO22:EP22">LINEST($AH22:$AP22,$AH$6:$AP$6,TRUE,FALSE)</f>
        <v>37.849999999999994</v>
      </c>
      <c r="EP22" s="2">
        <v>80.538888888889005</v>
      </c>
      <c r="EQ22" s="58">
        <f t="shared" si="54"/>
        <v>7.6173971377459737E-2</v>
      </c>
      <c r="ES22" s="3">
        <f t="shared" si="55"/>
        <v>346.22576530612366</v>
      </c>
      <c r="ET22" s="3">
        <f t="shared" si="19"/>
        <v>499.84183673469533</v>
      </c>
      <c r="EU22" s="3">
        <f t="shared" si="19"/>
        <v>146.5829081632661</v>
      </c>
      <c r="EV22" s="3">
        <f t="shared" si="19"/>
        <v>8.1632653061226339</v>
      </c>
      <c r="EW22" s="3">
        <f t="shared" si="19"/>
        <v>10078.725765306115</v>
      </c>
      <c r="EX22" s="3">
        <f t="shared" si="19"/>
        <v>6342.9846938775454</v>
      </c>
      <c r="EY22" s="3">
        <f t="shared" si="19"/>
        <v>15402.582908163273</v>
      </c>
      <c r="EZ22" s="3">
        <f t="shared" si="56"/>
        <v>10953.94817901233</v>
      </c>
      <c r="FA22" s="3">
        <f t="shared" si="87"/>
        <v>1036.1245679012407</v>
      </c>
      <c r="FB22" s="29">
        <f t="shared" si="87"/>
        <v>132524.31262345682</v>
      </c>
      <c r="FC22" s="3">
        <f t="shared" si="87"/>
        <v>166.1234567901241</v>
      </c>
      <c r="FD22" s="3">
        <f t="shared" si="87"/>
        <v>452.03484567901029</v>
      </c>
      <c r="FE22" s="3">
        <f t="shared" si="88"/>
        <v>4148.7912345678924</v>
      </c>
      <c r="FF22" s="3">
        <f t="shared" si="89"/>
        <v>3087.0370679012367</v>
      </c>
      <c r="FG22" s="29">
        <f>($EP22+$EO22*FG$6-AP22)^2</f>
        <v>767.90567901234556</v>
      </c>
      <c r="FH22" s="3"/>
      <c r="FI22" s="3"/>
      <c r="FQ22" s="4">
        <f>SQRT(AVERAGE(ES22:FG22))/AVERAGE(AB22:AP22)</f>
        <v>0.18325169107633887</v>
      </c>
      <c r="FR22" s="160">
        <v>2.3E-2</v>
      </c>
      <c r="FS22" s="161">
        <f t="shared" si="21"/>
        <v>0.12551043793870734</v>
      </c>
      <c r="FV22" s="4">
        <f t="shared" si="58"/>
        <v>9.3568084819196776E-2</v>
      </c>
      <c r="FW22" s="161">
        <f t="shared" si="59"/>
        <v>0.24581031068919809</v>
      </c>
    </row>
    <row r="23" spans="1:184" x14ac:dyDescent="0.3">
      <c r="A23">
        <f t="shared" si="22"/>
        <v>17</v>
      </c>
      <c r="B23" s="6">
        <v>57280</v>
      </c>
      <c r="C23" s="6" t="s">
        <v>97</v>
      </c>
      <c r="D23" s="6">
        <v>2010</v>
      </c>
      <c r="E23" s="6">
        <v>2010</v>
      </c>
      <c r="F23" s="6" t="s">
        <v>252</v>
      </c>
      <c r="G23" s="17" t="s">
        <v>636</v>
      </c>
      <c r="H23" s="17" t="s">
        <v>638</v>
      </c>
      <c r="I23" s="6" t="s">
        <v>35</v>
      </c>
      <c r="J23" s="17">
        <v>20</v>
      </c>
      <c r="K23" s="6" t="s">
        <v>83</v>
      </c>
      <c r="L23" s="12">
        <v>39.965000000000003</v>
      </c>
      <c r="M23" s="12">
        <v>-75.658000000000001</v>
      </c>
      <c r="N23" s="14">
        <v>1.2</v>
      </c>
      <c r="O23" s="6">
        <v>1</v>
      </c>
      <c r="P23" s="94">
        <f>365.25*4.5</f>
        <v>1643.625</v>
      </c>
      <c r="Q23" s="15" t="s">
        <v>551</v>
      </c>
      <c r="R23" s="14">
        <v>12.4</v>
      </c>
      <c r="S23" s="3">
        <f t="shared" si="23"/>
        <v>36.0655</v>
      </c>
      <c r="T23" s="128" t="str">
        <f t="shared" si="24"/>
        <v>C</v>
      </c>
      <c r="U23" s="154">
        <v>1455</v>
      </c>
      <c r="V23" s="154">
        <v>671.5</v>
      </c>
      <c r="W23" s="156">
        <v>0.501</v>
      </c>
      <c r="X23" s="1">
        <f t="shared" si="63"/>
        <v>0.46151202749140896</v>
      </c>
      <c r="Y23" s="59">
        <f t="shared" si="25"/>
        <v>0</v>
      </c>
      <c r="Z23" s="1">
        <f t="shared" si="26"/>
        <v>1</v>
      </c>
      <c r="AA23" s="3">
        <f t="shared" si="64"/>
        <v>1611.8617159973826</v>
      </c>
      <c r="AB23" s="6">
        <v>1369</v>
      </c>
      <c r="AC23" s="6">
        <v>1314</v>
      </c>
      <c r="AD23" s="6">
        <v>0</v>
      </c>
      <c r="AE23" s="6">
        <v>1343</v>
      </c>
      <c r="AF23" s="93">
        <v>1266</v>
      </c>
      <c r="AG23" s="6">
        <v>1257</v>
      </c>
      <c r="AH23" s="6">
        <v>1079</v>
      </c>
      <c r="AI23" s="6">
        <v>1231</v>
      </c>
      <c r="AJ23" s="6">
        <v>1153</v>
      </c>
      <c r="AK23" s="93">
        <v>1346</v>
      </c>
      <c r="AL23" s="6">
        <v>1110</v>
      </c>
      <c r="AM23" s="6">
        <v>1345</v>
      </c>
      <c r="AN23" s="6">
        <v>818</v>
      </c>
      <c r="AO23" s="6">
        <v>769</v>
      </c>
      <c r="AP23" s="23"/>
      <c r="AU23" s="23"/>
      <c r="AY23" s="32">
        <v>14</v>
      </c>
      <c r="AZ23" s="1">
        <f t="shared" si="27"/>
        <v>0.55771034552690957</v>
      </c>
      <c r="BA23" s="24">
        <f t="shared" si="8"/>
        <v>17</v>
      </c>
      <c r="BB23" s="2">
        <f t="shared" si="75"/>
        <v>0.84932844202016089</v>
      </c>
      <c r="BC23" s="2">
        <f t="shared" si="76"/>
        <v>0.81930292280576833</v>
      </c>
      <c r="BD23" s="2">
        <f t="shared" si="77"/>
        <v>0</v>
      </c>
      <c r="BE23" s="2">
        <f t="shared" si="78"/>
        <v>0.8458220254866855</v>
      </c>
      <c r="BF23" s="20">
        <f t="shared" si="79"/>
        <v>0.80133405992445006</v>
      </c>
      <c r="BG23" s="2">
        <f t="shared" si="80"/>
        <v>0.79963555004487974</v>
      </c>
      <c r="BH23" s="2">
        <f t="shared" si="81"/>
        <v>0.68985081213419952</v>
      </c>
      <c r="BI23" s="2">
        <f t="shared" si="82"/>
        <v>0.79098583719077264</v>
      </c>
      <c r="BJ23" s="2">
        <f t="shared" si="83"/>
        <v>0.7445894544052194</v>
      </c>
      <c r="BK23" s="20">
        <f t="shared" si="84"/>
        <v>0.87359381960053983</v>
      </c>
      <c r="BL23" s="2">
        <f t="shared" si="85"/>
        <v>0.72404305312341743</v>
      </c>
      <c r="BM23" s="2">
        <f t="shared" si="86"/>
        <v>0.88174014799311551</v>
      </c>
      <c r="BN23" s="2">
        <f t="shared" ref="BN23:BN50" si="90">IF(ISNUMBER(AN23),MIN(1.15,AN23/($AA23*(1-$K$3)^(BN$6-1))),"")</f>
        <v>0.53895009699678198</v>
      </c>
      <c r="BO23" s="2">
        <f t="shared" ref="BO23:BO50" si="91">IF(ISNUMBER(AO23),MIN(1.15,AO23/($AA23*(1-$K$3)^(BO$6-1))),"")</f>
        <v>0.50921185953056891</v>
      </c>
      <c r="BP23" s="23"/>
      <c r="BU23" s="23"/>
      <c r="BY23" s="25">
        <f t="shared" si="10"/>
        <v>17</v>
      </c>
      <c r="BZ23" s="3">
        <f t="shared" si="11"/>
        <v>21847.135202404559</v>
      </c>
      <c r="CA23" s="3">
        <f t="shared" si="30"/>
        <v>15400</v>
      </c>
      <c r="CB23" s="2">
        <f t="shared" si="31"/>
        <v>0.70489791257871792</v>
      </c>
      <c r="CC23" s="85">
        <f t="shared" si="32"/>
        <v>86</v>
      </c>
      <c r="CD23" s="3" t="str">
        <f t="shared" si="12"/>
        <v>Fixed</v>
      </c>
      <c r="CE23" s="58">
        <f t="shared" si="33"/>
        <v>-5.0660560295433567E-3</v>
      </c>
      <c r="CF23" s="2">
        <f t="array" ref="CF23:CG23">LINEST(AB23:AO23,AB$6:AO$6,TRUE,FALSE)</f>
        <v>-5.5868131868131865</v>
      </c>
      <c r="CG23" s="2">
        <v>1141.901098901099</v>
      </c>
      <c r="CH23" s="1">
        <f t="shared" si="34"/>
        <v>1.021536312011929</v>
      </c>
      <c r="CI23" s="128" t="s">
        <v>377</v>
      </c>
      <c r="CJ23">
        <f t="shared" si="13"/>
        <v>1</v>
      </c>
      <c r="CK23" s="2">
        <f t="shared" si="14"/>
        <v>0.91253477593530907</v>
      </c>
      <c r="CL23" s="58">
        <f t="shared" si="15"/>
        <v>-1.0982608543967069E-2</v>
      </c>
      <c r="CN23" s="3"/>
      <c r="CO23" s="3"/>
      <c r="CP23" s="3"/>
      <c r="CQ23" s="3"/>
      <c r="CR23" s="3"/>
      <c r="CS23" s="3"/>
      <c r="CT23" s="3"/>
      <c r="CU23" s="3"/>
      <c r="CV23" s="3"/>
      <c r="DC23" s="2">
        <f t="shared" si="36"/>
        <v>1.2</v>
      </c>
      <c r="DD23">
        <f t="shared" si="16"/>
        <v>0</v>
      </c>
      <c r="DE23">
        <f t="shared" si="37"/>
        <v>14</v>
      </c>
      <c r="DT23">
        <f t="shared" si="38"/>
        <v>7628</v>
      </c>
      <c r="DU23" s="3">
        <f t="shared" si="39"/>
        <v>1611.8617159973826</v>
      </c>
      <c r="DV23" s="3">
        <f t="shared" si="40"/>
        <v>1603.8024074173957</v>
      </c>
      <c r="DW23" s="3">
        <f t="shared" si="41"/>
        <v>1611.8617159973826</v>
      </c>
      <c r="DX23" s="3">
        <f t="shared" si="42"/>
        <v>1587.8044784034071</v>
      </c>
      <c r="DY23" s="3">
        <f t="shared" si="43"/>
        <v>1579.8654560113903</v>
      </c>
      <c r="DZ23" s="3">
        <f t="shared" si="44"/>
        <v>1571.9661287313334</v>
      </c>
      <c r="EA23" s="3">
        <f t="shared" si="45"/>
        <v>1564.1062980876766</v>
      </c>
      <c r="EB23" s="2">
        <f t="shared" si="46"/>
        <v>0.68527681325271939</v>
      </c>
      <c r="ED23" s="2" t="str">
        <f t="shared" si="47"/>
        <v xml:space="preserve"> </v>
      </c>
      <c r="EE23" s="58" t="str">
        <f t="shared" si="48"/>
        <v xml:space="preserve"> </v>
      </c>
      <c r="EF23" s="2">
        <f t="shared" si="49"/>
        <v>0.70489791257871792</v>
      </c>
      <c r="EG23" s="58">
        <f t="shared" si="50"/>
        <v>-5.0660560295433567E-3</v>
      </c>
      <c r="EI23" s="2" t="str">
        <f t="shared" si="51"/>
        <v xml:space="preserve"> </v>
      </c>
      <c r="EJ23" s="2">
        <f t="shared" si="52"/>
        <v>0.68527681325271939</v>
      </c>
      <c r="EK23" s="2"/>
      <c r="EL23" s="2">
        <f t="array" ref="EL23:EM23">LINEST($AB23:$AH23,$AB$6:$AH$6,TRUE,FALSE)</f>
        <v>10.071428571428561</v>
      </c>
      <c r="EM23" s="2">
        <v>1049.4285714285716</v>
      </c>
      <c r="EN23" s="58">
        <f t="shared" si="53"/>
        <v>9.2422653382275722E-3</v>
      </c>
      <c r="EO23" s="2">
        <f t="array" ref="EO23:EP23">LINEST($AH23:$AO23,$AH$6:$AO$6,TRUE,FALSE)</f>
        <v>-46.369047619047613</v>
      </c>
      <c r="EP23" s="2">
        <v>1593.25</v>
      </c>
      <c r="EQ23" s="58">
        <f t="shared" si="54"/>
        <v>-4.1910787589241993E-2</v>
      </c>
      <c r="ES23" s="3">
        <f t="shared" si="55"/>
        <v>95790.249999999854</v>
      </c>
      <c r="ET23" s="3">
        <f t="shared" ref="ET23:ET86" si="92">($EM23+$EL23*ET$6-AC23)^2</f>
        <v>59745.326530612198</v>
      </c>
      <c r="EU23" s="3">
        <f t="shared" ref="EU23:EU86" si="93">($EM23+$EL23*EU$6-AD23)^2</f>
        <v>1165628.6989795922</v>
      </c>
      <c r="EV23" s="3">
        <f t="shared" ref="EV23:EV86" si="94">($EM23+$EL23*EV$6-AE23)^2</f>
        <v>64153.653061224453</v>
      </c>
      <c r="EW23" s="3">
        <f t="shared" ref="EW23:EW86" si="95">($EM23+$EL23*EW$6-AF23)^2</f>
        <v>27627.188775510149</v>
      </c>
      <c r="EX23" s="3">
        <f t="shared" ref="EX23:EX86" si="96">($EM23+$EL23*EX$6-AG23)^2</f>
        <v>21651.020408163255</v>
      </c>
      <c r="EY23" s="3">
        <f t="shared" ref="EY23:EY86" si="97">($EM23+$EL23*EY$6-AH23)^2</f>
        <v>1675.1479591836842</v>
      </c>
      <c r="EZ23" s="3">
        <f t="shared" si="56"/>
        <v>75.731434240363001</v>
      </c>
      <c r="FA23" s="3">
        <f t="shared" ref="FA23:FA86" si="98">($EP23+$EO23*FA$6-AJ23)^2</f>
        <v>525.71938775510796</v>
      </c>
      <c r="FB23" s="29">
        <f t="shared" ref="FB23:FB86" si="99">($EP23+$EO23*FB$6-AK23)^2</f>
        <v>46846.479733560074</v>
      </c>
      <c r="FC23" s="3">
        <f t="shared" ref="FC23:FC86" si="100">($EP23+$EO23*FC$6-AL23)^2</f>
        <v>718.75056689342637</v>
      </c>
      <c r="FD23" s="3">
        <f t="shared" ref="FD23:FD86" si="101">($EP23+$EO23*FD$6-AM23)^2</f>
        <v>94974.031887755045</v>
      </c>
      <c r="FE23" s="3">
        <f t="shared" si="88"/>
        <v>29739.823696145169</v>
      </c>
      <c r="FF23" s="3">
        <f t="shared" si="89"/>
        <v>30654.173611111124</v>
      </c>
      <c r="FG23" s="29"/>
      <c r="FH23" s="3"/>
      <c r="FI23" s="3"/>
      <c r="FQ23" s="4">
        <f>SQRT(AVERAGE(ES23:FF23))/AVERAGE(AB23:AO23)</f>
        <v>0.31112831149226439</v>
      </c>
      <c r="FR23" s="160">
        <v>3.3000000000000002E-2</v>
      </c>
      <c r="FS23" s="161">
        <f t="shared" si="21"/>
        <v>0.10606556453098767</v>
      </c>
      <c r="FV23" s="4">
        <f t="shared" si="58"/>
        <v>0.41567755476760709</v>
      </c>
      <c r="FW23" s="161">
        <f t="shared" si="59"/>
        <v>7.9388457763733031E-2</v>
      </c>
    </row>
    <row r="24" spans="1:184" x14ac:dyDescent="0.3">
      <c r="A24">
        <f t="shared" si="22"/>
        <v>18</v>
      </c>
      <c r="B24" s="6">
        <v>57081</v>
      </c>
      <c r="C24" s="6" t="s">
        <v>100</v>
      </c>
      <c r="D24" s="6">
        <v>2010</v>
      </c>
      <c r="E24" s="6">
        <v>2009</v>
      </c>
      <c r="F24" s="6" t="s">
        <v>252</v>
      </c>
      <c r="G24" s="17" t="s">
        <v>636</v>
      </c>
      <c r="H24" s="17" t="s">
        <v>638</v>
      </c>
      <c r="I24" s="6" t="s">
        <v>35</v>
      </c>
      <c r="J24" s="17">
        <v>25</v>
      </c>
      <c r="K24" s="6" t="s">
        <v>52</v>
      </c>
      <c r="L24" s="12">
        <v>39.4636</v>
      </c>
      <c r="M24" s="12">
        <v>-75.066699999999997</v>
      </c>
      <c r="N24" s="14">
        <v>4.3</v>
      </c>
      <c r="O24" s="6">
        <v>4.0999999999999996</v>
      </c>
      <c r="P24" s="94">
        <f>365.25*4.6</f>
        <v>1680.1499999999999</v>
      </c>
      <c r="Q24" s="15" t="s">
        <v>529</v>
      </c>
      <c r="R24" s="14">
        <v>11.7</v>
      </c>
      <c r="S24" s="3">
        <f t="shared" si="23"/>
        <v>35.637</v>
      </c>
      <c r="T24" s="128" t="str">
        <f t="shared" si="24"/>
        <v>C</v>
      </c>
      <c r="U24" s="154">
        <v>1486</v>
      </c>
      <c r="V24" s="154">
        <v>672</v>
      </c>
      <c r="W24" s="156">
        <v>0.50900000000000001</v>
      </c>
      <c r="X24" s="1">
        <f t="shared" si="63"/>
        <v>0.45222072678331088</v>
      </c>
      <c r="Y24" s="59">
        <f t="shared" si="25"/>
        <v>0</v>
      </c>
      <c r="Z24" s="1">
        <f t="shared" si="26"/>
        <v>1</v>
      </c>
      <c r="AA24" s="3">
        <f t="shared" si="64"/>
        <v>5914.0962003403383</v>
      </c>
      <c r="AB24" s="6">
        <v>7567</v>
      </c>
      <c r="AC24" s="6">
        <v>5492</v>
      </c>
      <c r="AD24" s="6">
        <v>6862</v>
      </c>
      <c r="AE24" s="6">
        <v>5372</v>
      </c>
      <c r="AF24" s="93">
        <v>5514</v>
      </c>
      <c r="AG24" s="6">
        <v>5400</v>
      </c>
      <c r="AH24" s="6">
        <v>5605</v>
      </c>
      <c r="AI24" s="6">
        <v>5483</v>
      </c>
      <c r="AJ24" s="6">
        <v>5086</v>
      </c>
      <c r="AK24" s="93">
        <v>5214</v>
      </c>
      <c r="AL24" s="6">
        <v>4972</v>
      </c>
      <c r="AM24" s="6">
        <v>5490</v>
      </c>
      <c r="AN24" s="6">
        <v>5513</v>
      </c>
      <c r="AO24" s="6">
        <v>5640</v>
      </c>
      <c r="AP24" s="93">
        <v>5365</v>
      </c>
      <c r="AU24" s="23"/>
      <c r="AY24" s="32">
        <v>15</v>
      </c>
      <c r="AZ24" s="1">
        <f t="shared" si="27"/>
        <v>0.78043050327501673</v>
      </c>
      <c r="BA24" s="24">
        <f t="shared" si="8"/>
        <v>18</v>
      </c>
      <c r="BB24" s="2">
        <f t="shared" si="75"/>
        <v>1.1499999999999999</v>
      </c>
      <c r="BC24" s="2">
        <f t="shared" si="76"/>
        <v>0.93329526659240214</v>
      </c>
      <c r="BD24" s="2">
        <f t="shared" si="77"/>
        <v>1.1499999999999999</v>
      </c>
      <c r="BE24" s="2">
        <f t="shared" si="78"/>
        <v>0.92210075402621572</v>
      </c>
      <c r="BF24" s="20">
        <f t="shared" si="79"/>
        <v>0.95123112915668306</v>
      </c>
      <c r="BG24" s="2">
        <f t="shared" si="80"/>
        <v>0.93624599191935165</v>
      </c>
      <c r="BH24" s="2">
        <f t="shared" si="81"/>
        <v>0.97667202395458141</v>
      </c>
      <c r="BI24" s="2">
        <f t="shared" si="82"/>
        <v>0.96021458000851179</v>
      </c>
      <c r="BJ24" s="2">
        <f t="shared" si="83"/>
        <v>0.89516547793193413</v>
      </c>
      <c r="BK24" s="20">
        <f t="shared" si="84"/>
        <v>0.92230574854949232</v>
      </c>
      <c r="BL24" s="2">
        <f t="shared" si="85"/>
        <v>0.88391789823457056</v>
      </c>
      <c r="BM24" s="2">
        <f t="shared" si="86"/>
        <v>0.98091205450175101</v>
      </c>
      <c r="BN24" s="2">
        <f t="shared" si="90"/>
        <v>0.98997137902044896</v>
      </c>
      <c r="BO24" s="2">
        <f t="shared" si="91"/>
        <v>1.0178661451052344</v>
      </c>
      <c r="BP24" s="20">
        <f t="shared" ref="BP24:BP45" si="102">IF(ISNUMBER(AP24),MIN(1.15,AP24/($AA24*(1-$K$3)^(BP$6-1))),"")</f>
        <v>0.97310165517117186</v>
      </c>
      <c r="BU24" s="23"/>
      <c r="BY24" s="25">
        <f t="shared" si="10"/>
        <v>18</v>
      </c>
      <c r="BZ24" s="3">
        <f t="shared" si="11"/>
        <v>85672.817259651711</v>
      </c>
      <c r="CA24" s="3">
        <f t="shared" si="30"/>
        <v>84575</v>
      </c>
      <c r="CB24" s="2">
        <f t="shared" si="31"/>
        <v>0.98718593254235454</v>
      </c>
      <c r="CC24" s="85">
        <f t="shared" si="32"/>
        <v>11</v>
      </c>
      <c r="CD24" s="3" t="str">
        <f t="shared" si="12"/>
        <v>Fixed</v>
      </c>
      <c r="CE24" s="58">
        <f t="shared" si="33"/>
        <v>-1.4660542667276443E-2</v>
      </c>
      <c r="CF24" s="2">
        <f t="array" ref="CF24:CG24">LINEST(AB24:AP24,AB$6:AP$6,TRUE,FALSE)</f>
        <v>-83.271428571428586</v>
      </c>
      <c r="CG24" s="2">
        <v>6304.5047619047618</v>
      </c>
      <c r="CH24" s="1">
        <f t="shared" si="34"/>
        <v>1.023250312011929</v>
      </c>
      <c r="CI24" s="128" t="s">
        <v>96</v>
      </c>
      <c r="CJ24">
        <f t="shared" si="13"/>
        <v>1</v>
      </c>
      <c r="CK24" s="2">
        <f t="shared" si="14"/>
        <v>0.87247347249856833</v>
      </c>
      <c r="CL24" s="69">
        <f t="shared" si="15"/>
        <v>-3.1854189141116887E-2</v>
      </c>
      <c r="CN24" s="3"/>
      <c r="CO24" s="3"/>
      <c r="CP24" s="3"/>
      <c r="CQ24" s="3"/>
      <c r="CR24" s="3"/>
      <c r="CS24" s="3"/>
      <c r="CT24" s="3"/>
      <c r="CU24" s="3"/>
      <c r="CV24" s="3"/>
      <c r="DC24" s="2">
        <f t="shared" si="36"/>
        <v>1.0487804878048781</v>
      </c>
      <c r="DD24">
        <f t="shared" si="16"/>
        <v>1</v>
      </c>
      <c r="DE24">
        <f t="shared" si="37"/>
        <v>16</v>
      </c>
      <c r="DT24">
        <f t="shared" si="38"/>
        <v>41812</v>
      </c>
      <c r="DU24" s="3">
        <f t="shared" si="39"/>
        <v>6580.0000000000009</v>
      </c>
      <c r="DV24" s="3">
        <f t="shared" si="40"/>
        <v>5884.5257193386369</v>
      </c>
      <c r="DW24" s="3">
        <f t="shared" si="41"/>
        <v>5966.9565217391309</v>
      </c>
      <c r="DX24" s="3">
        <f t="shared" si="42"/>
        <v>5825.8275752882337</v>
      </c>
      <c r="DY24" s="3">
        <f t="shared" si="43"/>
        <v>5796.6984374117928</v>
      </c>
      <c r="DZ24" s="3">
        <f t="shared" si="44"/>
        <v>5767.714945224734</v>
      </c>
      <c r="EA24" s="3">
        <f t="shared" si="45"/>
        <v>5738.8763704986104</v>
      </c>
      <c r="EB24" s="2">
        <f t="shared" si="46"/>
        <v>1.0060490087511476</v>
      </c>
      <c r="ED24" s="2" t="str">
        <f t="shared" si="47"/>
        <v xml:space="preserve"> </v>
      </c>
      <c r="EE24" s="58" t="str">
        <f t="shared" si="48"/>
        <v xml:space="preserve"> </v>
      </c>
      <c r="EF24" s="2">
        <f t="shared" si="49"/>
        <v>0.98718593254235454</v>
      </c>
      <c r="EG24" s="58">
        <f t="shared" si="50"/>
        <v>-1.4660542667276443E-2</v>
      </c>
      <c r="EI24" s="2" t="str">
        <f t="shared" si="51"/>
        <v xml:space="preserve"> </v>
      </c>
      <c r="EJ24" s="2">
        <f t="shared" si="52"/>
        <v>1.0060490087511476</v>
      </c>
      <c r="EK24" s="2"/>
      <c r="EL24" s="2">
        <f t="array" ref="EL24:EM24">LINEST($AB24:$AH24,$AB$6:$AH$6,TRUE,FALSE)</f>
        <v>-264.92857142857139</v>
      </c>
      <c r="EM24" s="2">
        <v>7032.8571428571422</v>
      </c>
      <c r="EN24" s="58">
        <f t="shared" si="53"/>
        <v>-4.4353295704582414E-2</v>
      </c>
      <c r="EO24" s="2">
        <f t="array" ref="EO24:EP24">LINEST($AH24:$AP24,$AH$6:$AP$6,TRUE,FALSE)</f>
        <v>10.683333333333334</v>
      </c>
      <c r="EP24" s="2">
        <v>5256.7055555555562</v>
      </c>
      <c r="EQ24" s="58">
        <f t="shared" si="54"/>
        <v>1.987884551769765E-3</v>
      </c>
      <c r="ES24" s="3">
        <f t="shared" si="55"/>
        <v>638515.14795918495</v>
      </c>
      <c r="ET24" s="3">
        <f t="shared" si="92"/>
        <v>1022120.9999999981</v>
      </c>
      <c r="EU24" s="3">
        <f t="shared" si="93"/>
        <v>389286.86224489927</v>
      </c>
      <c r="EV24" s="3">
        <f t="shared" si="94"/>
        <v>361372.73469387722</v>
      </c>
      <c r="EW24" s="3">
        <f t="shared" si="95"/>
        <v>37719.188775510054</v>
      </c>
      <c r="EX24" s="3">
        <f t="shared" si="96"/>
        <v>1873.6530612244449</v>
      </c>
      <c r="EY24" s="3">
        <f t="shared" si="97"/>
        <v>182024.12755102097</v>
      </c>
      <c r="EZ24" s="3">
        <f t="shared" si="56"/>
        <v>19832.462993827099</v>
      </c>
      <c r="FA24" s="3">
        <f t="shared" si="98"/>
        <v>71211.887530864347</v>
      </c>
      <c r="FB24" s="29">
        <f t="shared" si="99"/>
        <v>22361.879290123561</v>
      </c>
      <c r="FC24" s="3">
        <f t="shared" si="100"/>
        <v>161782.71604938305</v>
      </c>
      <c r="FD24" s="3">
        <f t="shared" si="101"/>
        <v>11044.842253086323</v>
      </c>
      <c r="FE24" s="3">
        <f t="shared" si="88"/>
        <v>13785.369012345556</v>
      </c>
      <c r="FF24" s="3">
        <f t="shared" si="89"/>
        <v>54628.674104938</v>
      </c>
      <c r="FG24" s="29">
        <f t="shared" ref="FG24:FG45" si="103">($EP24+$EO24*FG$6-AP24)^2</f>
        <v>2699.3797530864867</v>
      </c>
      <c r="FH24" s="3"/>
      <c r="FI24" s="3"/>
      <c r="FQ24" s="4">
        <f>SQRT(AVERAGE(ES24:FG24))/AVERAGE(AB24:AP24)</f>
        <v>7.9187766415865932E-2</v>
      </c>
      <c r="FR24" s="160">
        <v>0.03</v>
      </c>
      <c r="FS24" s="161">
        <f t="shared" si="21"/>
        <v>0.37884639708677587</v>
      </c>
      <c r="FV24" s="4">
        <f t="shared" si="58"/>
        <v>0.10267537770546907</v>
      </c>
      <c r="FW24" s="161">
        <f t="shared" si="59"/>
        <v>0.29218300112863405</v>
      </c>
    </row>
    <row r="25" spans="1:184" x14ac:dyDescent="0.3">
      <c r="A25">
        <f t="shared" si="22"/>
        <v>19</v>
      </c>
      <c r="B25" s="6">
        <v>57011</v>
      </c>
      <c r="C25" s="6" t="s">
        <v>107</v>
      </c>
      <c r="D25" s="6">
        <v>2009</v>
      </c>
      <c r="E25" s="6">
        <v>2006</v>
      </c>
      <c r="F25" s="6" t="s">
        <v>252</v>
      </c>
      <c r="G25" s="17" t="s">
        <v>636</v>
      </c>
      <c r="H25" s="17" t="s">
        <v>625</v>
      </c>
      <c r="I25" s="6" t="s">
        <v>35</v>
      </c>
      <c r="J25" s="17">
        <v>20</v>
      </c>
      <c r="K25" s="6" t="s">
        <v>24</v>
      </c>
      <c r="L25" s="12">
        <v>33.564999999999998</v>
      </c>
      <c r="M25" s="12">
        <v>-114.904</v>
      </c>
      <c r="N25" s="14">
        <v>1.2</v>
      </c>
      <c r="O25" s="6">
        <v>1</v>
      </c>
      <c r="P25" s="94">
        <f>365.25*6.5</f>
        <v>2374.125</v>
      </c>
      <c r="Q25" s="15" t="s">
        <v>512</v>
      </c>
      <c r="R25" s="14">
        <v>19.8</v>
      </c>
      <c r="S25" s="3">
        <f t="shared" si="23"/>
        <v>48.895499999999998</v>
      </c>
      <c r="T25" s="128" t="str">
        <f t="shared" si="24"/>
        <v>M</v>
      </c>
      <c r="U25" s="154">
        <v>2138</v>
      </c>
      <c r="V25" s="154">
        <v>489</v>
      </c>
      <c r="W25" s="156">
        <v>0.69599999999999995</v>
      </c>
      <c r="X25" s="1">
        <f t="shared" si="63"/>
        <v>0.22871842843779233</v>
      </c>
      <c r="Y25" s="59">
        <f t="shared" si="25"/>
        <v>2.9676189897098748E-4</v>
      </c>
      <c r="Z25" s="1">
        <f t="shared" si="26"/>
        <v>0.99617908982826731</v>
      </c>
      <c r="AA25" s="3">
        <f t="shared" si="64"/>
        <v>2211.2782096851079</v>
      </c>
      <c r="AB25" s="6">
        <v>2078</v>
      </c>
      <c r="AC25" s="6">
        <v>2082</v>
      </c>
      <c r="AD25" s="6">
        <v>2134</v>
      </c>
      <c r="AE25" s="6">
        <v>1734</v>
      </c>
      <c r="AF25" s="93">
        <v>2062</v>
      </c>
      <c r="AG25" s="6">
        <v>2005</v>
      </c>
      <c r="AH25" s="6">
        <v>1909</v>
      </c>
      <c r="AI25" s="6">
        <v>3184</v>
      </c>
      <c r="AJ25" s="6">
        <v>1764</v>
      </c>
      <c r="AK25" s="93">
        <v>1529</v>
      </c>
      <c r="AL25" s="6">
        <v>1807</v>
      </c>
      <c r="AM25" s="6">
        <v>1653</v>
      </c>
      <c r="AN25" s="6">
        <v>1479</v>
      </c>
      <c r="AO25" s="6">
        <v>484</v>
      </c>
      <c r="AP25" s="93">
        <v>1152</v>
      </c>
      <c r="AQ25" s="6">
        <v>1389</v>
      </c>
      <c r="AU25" s="23"/>
      <c r="AY25" s="32">
        <v>16</v>
      </c>
      <c r="AZ25" s="1">
        <f t="shared" si="27"/>
        <v>0.62402376314080632</v>
      </c>
      <c r="BA25" s="24">
        <f t="shared" si="8"/>
        <v>19</v>
      </c>
      <c r="BB25" s="2">
        <f t="shared" si="75"/>
        <v>0.9397279776459756</v>
      </c>
      <c r="BC25" s="2">
        <f t="shared" si="76"/>
        <v>0.94626822730540161</v>
      </c>
      <c r="BD25" s="2">
        <f t="shared" si="77"/>
        <v>0.97477608844883712</v>
      </c>
      <c r="BE25" s="2">
        <f t="shared" si="78"/>
        <v>0.79604288422915137</v>
      </c>
      <c r="BF25" s="20">
        <f t="shared" si="79"/>
        <v>0.95137766530490397</v>
      </c>
      <c r="BG25" s="2">
        <f t="shared" si="80"/>
        <v>0.92972730721323993</v>
      </c>
      <c r="BH25" s="2">
        <f t="shared" si="81"/>
        <v>0.88965998544847691</v>
      </c>
      <c r="BI25" s="2">
        <f t="shared" si="82"/>
        <v>1.1499999999999999</v>
      </c>
      <c r="BJ25" s="2">
        <f t="shared" si="83"/>
        <v>0.83036789319248561</v>
      </c>
      <c r="BK25" s="20">
        <f t="shared" si="84"/>
        <v>0.72336313579878453</v>
      </c>
      <c r="BL25" s="2">
        <f t="shared" si="85"/>
        <v>0.85917960396383719</v>
      </c>
      <c r="BM25" s="2">
        <f t="shared" si="86"/>
        <v>0.78990630259889538</v>
      </c>
      <c r="BN25" s="2">
        <f t="shared" si="90"/>
        <v>0.71030981984560804</v>
      </c>
      <c r="BO25" s="2">
        <f t="shared" si="91"/>
        <v>0.23361564604990759</v>
      </c>
      <c r="BP25" s="20">
        <f t="shared" si="102"/>
        <v>0.55883804196497677</v>
      </c>
      <c r="BQ25" s="2">
        <f>IF(ISNUMBER(AQ25),MIN(1.15,AQ25/($AA25*(1-$K$3)^(BQ$6-1))),"")</f>
        <v>0.67719329310559118</v>
      </c>
      <c r="BU25" s="23"/>
      <c r="BY25" s="25">
        <f t="shared" si="10"/>
        <v>19</v>
      </c>
      <c r="BZ25" s="3">
        <f t="shared" si="11"/>
        <v>34084.145240138823</v>
      </c>
      <c r="CA25" s="3">
        <f t="shared" si="30"/>
        <v>28445</v>
      </c>
      <c r="CB25" s="2">
        <f t="shared" si="31"/>
        <v>0.83455224708120468</v>
      </c>
      <c r="CC25" s="85">
        <f t="shared" si="32"/>
        <v>59</v>
      </c>
      <c r="CD25" s="3" t="str">
        <f t="shared" si="12"/>
        <v>Fixed</v>
      </c>
      <c r="CE25" s="58">
        <f t="shared" si="33"/>
        <v>-3.9952041013202502E-2</v>
      </c>
      <c r="CF25" s="2">
        <f t="array" ref="CF25:CG25">LINEST(AB25:AQ25,AB$6:AQ$6,TRUE,FALSE)</f>
        <v>-72.474999999999994</v>
      </c>
      <c r="CG25" s="2">
        <v>2393.85</v>
      </c>
      <c r="CH25" s="1">
        <f t="shared" si="34"/>
        <v>0.97021631201192893</v>
      </c>
      <c r="CI25" s="128" t="s">
        <v>411</v>
      </c>
      <c r="CJ25">
        <f t="shared" si="13"/>
        <v>1</v>
      </c>
      <c r="CK25" s="2">
        <f t="shared" si="14"/>
        <v>1.0256170186128266</v>
      </c>
      <c r="CL25" s="96">
        <f t="shared" si="15"/>
        <v>-1.0895507138732602E-2</v>
      </c>
      <c r="CN25" s="3"/>
      <c r="CO25" s="3"/>
      <c r="CP25" s="3"/>
      <c r="CQ25" s="3"/>
      <c r="CR25" s="3"/>
      <c r="CS25" s="3"/>
      <c r="CT25" s="3"/>
      <c r="CU25" s="3"/>
      <c r="CV25" s="3"/>
      <c r="DC25" s="2">
        <f t="shared" si="36"/>
        <v>1.2</v>
      </c>
      <c r="DD25">
        <f t="shared" si="16"/>
        <v>3</v>
      </c>
      <c r="DE25">
        <f t="shared" si="37"/>
        <v>19</v>
      </c>
      <c r="DT25">
        <f t="shared" si="38"/>
        <v>14004</v>
      </c>
      <c r="DU25" s="3">
        <f t="shared" si="39"/>
        <v>2211.2782096851079</v>
      </c>
      <c r="DV25" s="3">
        <f t="shared" si="40"/>
        <v>2200.2218186366822</v>
      </c>
      <c r="DW25" s="3">
        <f t="shared" si="41"/>
        <v>2189.2207095434992</v>
      </c>
      <c r="DX25" s="3">
        <f t="shared" si="42"/>
        <v>2178.2746059957813</v>
      </c>
      <c r="DY25" s="3">
        <f t="shared" si="43"/>
        <v>2167.3832329658026</v>
      </c>
      <c r="DZ25" s="3">
        <f t="shared" si="44"/>
        <v>2156.5463168009737</v>
      </c>
      <c r="EA25" s="3">
        <f t="shared" si="45"/>
        <v>2145.7635852169687</v>
      </c>
      <c r="EB25" s="2">
        <f t="shared" si="46"/>
        <v>0.91837406341065808</v>
      </c>
      <c r="ED25" s="2" t="str">
        <f t="shared" si="47"/>
        <v xml:space="preserve"> </v>
      </c>
      <c r="EE25" s="58" t="str">
        <f t="shared" si="48"/>
        <v xml:space="preserve"> </v>
      </c>
      <c r="EF25" s="2" t="str">
        <f t="shared" si="49"/>
        <v xml:space="preserve"> </v>
      </c>
      <c r="EG25" s="58" t="str">
        <f t="shared" si="50"/>
        <v xml:space="preserve"> </v>
      </c>
      <c r="EI25" s="2" t="str">
        <f t="shared" si="51"/>
        <v xml:space="preserve"> </v>
      </c>
      <c r="EJ25" s="2" t="str">
        <f t="shared" si="52"/>
        <v xml:space="preserve"> </v>
      </c>
      <c r="EK25" s="2"/>
      <c r="EL25" s="2">
        <f t="array" ref="EL25:EM25">LINEST($AB25:$AH25,$AB$6:$AH$6,TRUE,FALSE)</f>
        <v>-26.178571428571438</v>
      </c>
      <c r="EM25" s="2">
        <v>2105.2857142857142</v>
      </c>
      <c r="EN25" s="58">
        <f t="shared" si="53"/>
        <v>-1.3085546986575269E-2</v>
      </c>
      <c r="EO25" s="2">
        <f t="array" ref="EO25:EP25">LINEST($AH25:$AQ25,$AH$6:$AQ$6,TRUE,FALSE)</f>
        <v>-155.20000000000005</v>
      </c>
      <c r="EP25" s="2">
        <v>3419.8000000000006</v>
      </c>
      <c r="EQ25" s="58">
        <f t="shared" si="54"/>
        <v>-9.4923547400611652E-2</v>
      </c>
      <c r="ES25" s="3">
        <f t="shared" si="55"/>
        <v>1.2257653061220175</v>
      </c>
      <c r="ET25" s="3">
        <f t="shared" si="92"/>
        <v>845.14795918366588</v>
      </c>
      <c r="EU25" s="3">
        <f t="shared" si="93"/>
        <v>11502.5625</v>
      </c>
      <c r="EV25" s="3">
        <f t="shared" si="94"/>
        <v>71060.326530612176</v>
      </c>
      <c r="EW25" s="3">
        <f t="shared" si="95"/>
        <v>7675.0114795918425</v>
      </c>
      <c r="EX25" s="3">
        <f t="shared" si="96"/>
        <v>3224.6173469387941</v>
      </c>
      <c r="EY25" s="3">
        <f t="shared" si="97"/>
        <v>169.92984693877381</v>
      </c>
      <c r="EZ25" s="3">
        <f t="shared" si="56"/>
        <v>1011633.6399999994</v>
      </c>
      <c r="FA25" s="3">
        <f t="shared" si="98"/>
        <v>67081.000000000116</v>
      </c>
      <c r="FB25" s="29">
        <f t="shared" si="99"/>
        <v>114785.44000000012</v>
      </c>
      <c r="FC25" s="3">
        <f t="shared" si="100"/>
        <v>8911.3599999999751</v>
      </c>
      <c r="FD25" s="3">
        <f t="shared" si="101"/>
        <v>9139.3599999999824</v>
      </c>
      <c r="FE25" s="3">
        <f t="shared" si="88"/>
        <v>5898.2399999999934</v>
      </c>
      <c r="FF25" s="3">
        <f t="shared" si="89"/>
        <v>582169</v>
      </c>
      <c r="FG25" s="29">
        <f t="shared" si="103"/>
        <v>3624.0400000000327</v>
      </c>
      <c r="FH25" s="3">
        <f>($EP25+$EO25*FH$6-AQ25)^2</f>
        <v>204665.7600000001</v>
      </c>
      <c r="FI25" s="3"/>
      <c r="FQ25" s="4">
        <f>SQRT(AVERAGE(ES25:FH25))/AVERAGE(AB25:AQ25)</f>
        <v>0.20389677162345271</v>
      </c>
      <c r="FR25" s="160">
        <v>2.1999999999999999E-2</v>
      </c>
      <c r="FS25" s="161">
        <f t="shared" si="21"/>
        <v>0.1078977358240306</v>
      </c>
      <c r="FV25" s="4">
        <f t="shared" si="58"/>
        <v>5.8071648067424785E-2</v>
      </c>
      <c r="FW25" s="161">
        <f t="shared" si="59"/>
        <v>0.3788423565051337</v>
      </c>
    </row>
    <row r="26" spans="1:184" x14ac:dyDescent="0.3">
      <c r="A26">
        <f t="shared" si="22"/>
        <v>20</v>
      </c>
      <c r="B26" s="6">
        <v>56929</v>
      </c>
      <c r="C26" s="6" t="s">
        <v>108</v>
      </c>
      <c r="D26" s="6">
        <v>2010</v>
      </c>
      <c r="E26" s="6">
        <v>2009</v>
      </c>
      <c r="F26" s="6" t="s">
        <v>248</v>
      </c>
      <c r="G26" s="17" t="s">
        <v>636</v>
      </c>
      <c r="H26" s="17" t="s">
        <v>638</v>
      </c>
      <c r="I26" s="6" t="s">
        <v>36</v>
      </c>
      <c r="J26" s="17">
        <v>0</v>
      </c>
      <c r="K26" s="6" t="s">
        <v>109</v>
      </c>
      <c r="L26" s="12">
        <v>27.32</v>
      </c>
      <c r="M26" s="12">
        <v>-81.802000000000007</v>
      </c>
      <c r="N26" s="14">
        <v>27.6</v>
      </c>
      <c r="O26" s="6">
        <v>25</v>
      </c>
      <c r="P26" s="94">
        <f>365.25*6.3</f>
        <v>2301.0749999999998</v>
      </c>
      <c r="Q26" s="15" t="s">
        <v>555</v>
      </c>
      <c r="R26" s="14">
        <v>22.4</v>
      </c>
      <c r="S26" s="3">
        <f t="shared" si="23"/>
        <v>50.097274999999996</v>
      </c>
      <c r="T26" s="128" t="str">
        <f t="shared" si="24"/>
        <v>H</v>
      </c>
      <c r="U26" s="154">
        <v>1791.5</v>
      </c>
      <c r="V26" s="154">
        <v>717</v>
      </c>
      <c r="W26" s="156">
        <v>0.54600000000000004</v>
      </c>
      <c r="X26" s="1">
        <f t="shared" si="63"/>
        <v>0.40022327658386825</v>
      </c>
      <c r="Y26" s="59">
        <f t="shared" si="25"/>
        <v>1.3322049554142401E-2</v>
      </c>
      <c r="Z26" s="1">
        <f t="shared" si="26"/>
        <v>0.84210174121007841</v>
      </c>
      <c r="AA26" s="3">
        <f t="shared" si="64"/>
        <v>46597.74355707661</v>
      </c>
      <c r="AB26" s="6">
        <v>53341</v>
      </c>
      <c r="AC26" s="6">
        <v>51845</v>
      </c>
      <c r="AD26" s="6">
        <v>52048</v>
      </c>
      <c r="AE26" s="6">
        <v>49827</v>
      </c>
      <c r="AF26" s="93">
        <v>47421</v>
      </c>
      <c r="AG26" s="6">
        <v>50036</v>
      </c>
      <c r="AH26" s="6">
        <v>48650</v>
      </c>
      <c r="AI26" s="6">
        <v>48200</v>
      </c>
      <c r="AJ26" s="6">
        <v>46882</v>
      </c>
      <c r="AK26" s="93">
        <v>45754</v>
      </c>
      <c r="AL26" s="6">
        <v>40585</v>
      </c>
      <c r="AM26" s="6">
        <v>43742</v>
      </c>
      <c r="AN26" s="6">
        <v>37524</v>
      </c>
      <c r="AO26" s="6">
        <v>33459</v>
      </c>
      <c r="AP26" s="93">
        <v>28061</v>
      </c>
      <c r="AU26" s="23"/>
      <c r="AY26" s="32">
        <v>15</v>
      </c>
      <c r="AZ26" s="1">
        <f t="shared" si="27"/>
        <v>0.7110465750071342</v>
      </c>
      <c r="BA26" s="24">
        <f t="shared" si="8"/>
        <v>20</v>
      </c>
      <c r="BB26" s="2">
        <f t="shared" si="75"/>
        <v>1.1447120810616873</v>
      </c>
      <c r="BC26" s="2">
        <f t="shared" si="76"/>
        <v>1.1181985147922018</v>
      </c>
      <c r="BD26" s="2">
        <f t="shared" si="77"/>
        <v>1.1282179301930526</v>
      </c>
      <c r="BE26" s="2">
        <f t="shared" si="78"/>
        <v>1.0855019565960997</v>
      </c>
      <c r="BF26" s="20">
        <f t="shared" si="79"/>
        <v>1.0382776322405904</v>
      </c>
      <c r="BG26" s="2">
        <f t="shared" si="80"/>
        <v>1.1010379623553797</v>
      </c>
      <c r="BH26" s="2">
        <f t="shared" si="81"/>
        <v>1.0759187428988659</v>
      </c>
      <c r="BI26" s="2">
        <f t="shared" si="82"/>
        <v>1.0713233879102675</v>
      </c>
      <c r="BJ26" s="2">
        <f t="shared" si="83"/>
        <v>1.0472650195377127</v>
      </c>
      <c r="BK26" s="20">
        <f t="shared" si="84"/>
        <v>1.0272034140226431</v>
      </c>
      <c r="BL26" s="2">
        <f t="shared" si="85"/>
        <v>0.91573508927047642</v>
      </c>
      <c r="BM26" s="2">
        <f t="shared" si="86"/>
        <v>0.99192734090234791</v>
      </c>
      <c r="BN26" s="2">
        <f t="shared" si="90"/>
        <v>0.85519917129471823</v>
      </c>
      <c r="BO26" s="2">
        <f t="shared" si="91"/>
        <v>0.7663868075145468</v>
      </c>
      <c r="BP26" s="20">
        <f t="shared" si="102"/>
        <v>0.6459741309634246</v>
      </c>
      <c r="BU26" s="23"/>
      <c r="BY26" s="25">
        <f t="shared" si="10"/>
        <v>20</v>
      </c>
      <c r="BZ26" s="3">
        <f t="shared" si="11"/>
        <v>675024.52331563365</v>
      </c>
      <c r="CA26" s="3">
        <f t="shared" si="30"/>
        <v>677375</v>
      </c>
      <c r="CB26" s="2">
        <f t="shared" si="31"/>
        <v>1.0034820611743425</v>
      </c>
      <c r="CC26" s="85">
        <f t="shared" si="32"/>
        <v>8</v>
      </c>
      <c r="CD26" s="3" t="str">
        <f t="shared" si="12"/>
        <v>Tracker</v>
      </c>
      <c r="CE26" s="58">
        <f t="shared" si="33"/>
        <v>-3.2296930869782012E-2</v>
      </c>
      <c r="CF26" s="2">
        <f t="array" ref="CF26:CG26">LINEST(AB26:AP26,AB$6:AP$6,TRUE,FALSE)</f>
        <v>-1482.4142857142854</v>
      </c>
      <c r="CG26" s="2">
        <v>57017.647619047617</v>
      </c>
      <c r="CH26" s="1">
        <f t="shared" si="34"/>
        <v>0.96540921201192897</v>
      </c>
      <c r="CI26" s="138" t="s">
        <v>370</v>
      </c>
      <c r="CJ26" s="33">
        <f t="shared" si="13"/>
        <v>1</v>
      </c>
      <c r="CK26" s="21">
        <f t="shared" si="14"/>
        <v>0.71664216108131984</v>
      </c>
      <c r="CL26" s="60">
        <f t="shared" si="15"/>
        <v>-4.0123653759263196E-2</v>
      </c>
      <c r="CN26" s="3"/>
      <c r="CO26" s="3"/>
      <c r="CP26" s="3"/>
      <c r="CQ26" s="3"/>
      <c r="CR26" s="3"/>
      <c r="CS26" s="3"/>
      <c r="CT26" s="3"/>
      <c r="CU26" s="3"/>
      <c r="CV26" s="3"/>
      <c r="DC26" s="2">
        <f t="shared" si="36"/>
        <v>1.1040000000000001</v>
      </c>
      <c r="DD26">
        <f t="shared" si="16"/>
        <v>1</v>
      </c>
      <c r="DE26">
        <f t="shared" si="37"/>
        <v>16</v>
      </c>
      <c r="DT26">
        <f t="shared" si="38"/>
        <v>353168</v>
      </c>
      <c r="DU26" s="3">
        <f t="shared" si="39"/>
        <v>46597.74355707661</v>
      </c>
      <c r="DV26" s="3">
        <f t="shared" si="40"/>
        <v>46364.754839291229</v>
      </c>
      <c r="DW26" s="3">
        <f t="shared" si="41"/>
        <v>46132.931065094774</v>
      </c>
      <c r="DX26" s="3">
        <f t="shared" si="42"/>
        <v>45902.266409769298</v>
      </c>
      <c r="DY26" s="3">
        <f t="shared" si="43"/>
        <v>45672.75507772046</v>
      </c>
      <c r="DZ26" s="3">
        <f t="shared" si="44"/>
        <v>45444.391302331853</v>
      </c>
      <c r="EA26" s="3">
        <f t="shared" si="45"/>
        <v>45217.169345820199</v>
      </c>
      <c r="EB26" s="2">
        <f t="shared" si="46"/>
        <v>1.0990750602302657</v>
      </c>
      <c r="ED26" s="2">
        <f t="shared" si="47"/>
        <v>1.0034820611743425</v>
      </c>
      <c r="EE26" s="58">
        <f t="shared" si="48"/>
        <v>-3.2296930869782012E-2</v>
      </c>
      <c r="EF26" s="2" t="str">
        <f t="shared" si="49"/>
        <v xml:space="preserve"> </v>
      </c>
      <c r="EG26" s="58" t="str">
        <f t="shared" si="50"/>
        <v xml:space="preserve"> </v>
      </c>
      <c r="EI26" s="2">
        <f t="shared" si="51"/>
        <v>1.0990750602302657</v>
      </c>
      <c r="EJ26" s="2" t="str">
        <f t="shared" si="52"/>
        <v xml:space="preserve"> </v>
      </c>
      <c r="EK26" s="2"/>
      <c r="EL26" s="2">
        <f t="array" ref="EL26:EM26">LINEST($AB26:$AH26,$AB$6:$AH$6,TRUE,FALSE)</f>
        <v>-797.07142857142844</v>
      </c>
      <c r="EM26" s="2">
        <v>53640.857142857145</v>
      </c>
      <c r="EN26" s="58">
        <f t="shared" si="53"/>
        <v>-1.5798430208852441E-2</v>
      </c>
      <c r="EO26" s="2">
        <f t="array" ref="EO26:EP26">LINEST($AH26:$AP26,$AH$6:$AP$6,TRUE,FALSE)</f>
        <v>-2455.1166666666668</v>
      </c>
      <c r="EP26" s="2">
        <v>68434.838888888888</v>
      </c>
      <c r="EQ26" s="58">
        <f t="shared" si="54"/>
        <v>-5.9261459487149233E-2</v>
      </c>
      <c r="ES26" s="3">
        <f t="shared" si="55"/>
        <v>247222.04591836425</v>
      </c>
      <c r="ET26" s="3">
        <f t="shared" si="92"/>
        <v>40688.65306122617</v>
      </c>
      <c r="EU26" s="3">
        <f t="shared" si="93"/>
        <v>637374.12755101209</v>
      </c>
      <c r="EV26" s="3">
        <f t="shared" si="94"/>
        <v>391339.61224490579</v>
      </c>
      <c r="EW26" s="3">
        <f t="shared" si="95"/>
        <v>4992990.25</v>
      </c>
      <c r="EX26" s="3">
        <f t="shared" si="96"/>
        <v>1386674.4693877527</v>
      </c>
      <c r="EY26" s="3">
        <f t="shared" si="97"/>
        <v>346500.41326530365</v>
      </c>
      <c r="EZ26" s="3">
        <f t="shared" si="56"/>
        <v>352723.80891975039</v>
      </c>
      <c r="FA26" s="3">
        <f t="shared" si="98"/>
        <v>295078.31123457249</v>
      </c>
      <c r="FB26" s="29">
        <f t="shared" si="99"/>
        <v>3498125.9963271837</v>
      </c>
      <c r="FC26" s="3">
        <f t="shared" si="100"/>
        <v>711585.97530864063</v>
      </c>
      <c r="FD26" s="3">
        <f t="shared" si="101"/>
        <v>22739175.070401262</v>
      </c>
      <c r="FE26" s="3">
        <f t="shared" si="88"/>
        <v>1011387.7927160588</v>
      </c>
      <c r="FF26" s="3">
        <f t="shared" si="89"/>
        <v>365064.35336419829</v>
      </c>
      <c r="FG26" s="29">
        <f t="shared" si="103"/>
        <v>12581839.585679004</v>
      </c>
      <c r="FH26" s="3"/>
      <c r="FI26" s="3"/>
      <c r="FQ26" s="4">
        <f>SQRT(AVERAGE(ES26:FG26))/AVERAGE(AB26:AP26)</f>
        <v>4.0266839412135103E-2</v>
      </c>
      <c r="FR26" s="160">
        <v>4.8000000000000001E-2</v>
      </c>
      <c r="FS26" s="161">
        <f t="shared" si="21"/>
        <v>1.1920478662036329</v>
      </c>
      <c r="FV26" s="4">
        <f t="shared" si="58"/>
        <v>2.1245699139014768E-2</v>
      </c>
      <c r="FW26" s="161">
        <f t="shared" si="59"/>
        <v>2.2592807930643564</v>
      </c>
    </row>
    <row r="27" spans="1:184" x14ac:dyDescent="0.3">
      <c r="A27">
        <f t="shared" si="22"/>
        <v>21</v>
      </c>
      <c r="B27" s="6">
        <v>57191</v>
      </c>
      <c r="C27" s="6" t="s">
        <v>111</v>
      </c>
      <c r="D27" s="6">
        <v>2010</v>
      </c>
      <c r="E27" s="6">
        <v>2009</v>
      </c>
      <c r="F27" s="6" t="s">
        <v>252</v>
      </c>
      <c r="G27" s="17" t="s">
        <v>982</v>
      </c>
      <c r="H27" s="17" t="s">
        <v>628</v>
      </c>
      <c r="I27" s="6" t="s">
        <v>36</v>
      </c>
      <c r="J27" s="17">
        <v>0</v>
      </c>
      <c r="K27" s="6" t="s">
        <v>112</v>
      </c>
      <c r="L27" s="12">
        <v>41.68</v>
      </c>
      <c r="M27" s="12">
        <v>-87.65</v>
      </c>
      <c r="N27" s="14">
        <v>10</v>
      </c>
      <c r="O27" s="6">
        <v>9</v>
      </c>
      <c r="P27" s="94">
        <f>365.25*5.1</f>
        <v>1862.7749999999999</v>
      </c>
      <c r="Q27" s="15" t="s">
        <v>515</v>
      </c>
      <c r="R27" s="14">
        <v>9.4</v>
      </c>
      <c r="S27" s="3">
        <f t="shared" si="23"/>
        <v>34.002174999999994</v>
      </c>
      <c r="T27" s="128" t="str">
        <f t="shared" si="24"/>
        <v>C</v>
      </c>
      <c r="U27" s="154">
        <v>1431.4</v>
      </c>
      <c r="V27" s="154">
        <v>665.5</v>
      </c>
      <c r="W27" s="156">
        <v>0.505</v>
      </c>
      <c r="X27" s="1">
        <f t="shared" si="63"/>
        <v>0.46492943970937539</v>
      </c>
      <c r="Y27" s="59">
        <f t="shared" si="25"/>
        <v>0</v>
      </c>
      <c r="Z27" s="1">
        <f t="shared" si="26"/>
        <v>1</v>
      </c>
      <c r="AA27" s="3">
        <f t="shared" si="64"/>
        <v>14578.824218317959</v>
      </c>
      <c r="AB27" s="6">
        <v>14145</v>
      </c>
      <c r="AC27" s="6">
        <v>14062</v>
      </c>
      <c r="AD27" s="6">
        <v>15080</v>
      </c>
      <c r="AE27" s="6">
        <v>14293</v>
      </c>
      <c r="AF27" s="93">
        <v>14527</v>
      </c>
      <c r="AG27" s="6">
        <v>14126</v>
      </c>
      <c r="AH27" s="6">
        <v>14102</v>
      </c>
      <c r="AI27" s="6">
        <v>14328</v>
      </c>
      <c r="AJ27" s="6">
        <v>13701</v>
      </c>
      <c r="AK27" s="93">
        <v>14091</v>
      </c>
      <c r="AL27" s="6">
        <v>13826</v>
      </c>
      <c r="AM27" s="6">
        <v>13176</v>
      </c>
      <c r="AN27" s="6">
        <v>13517</v>
      </c>
      <c r="AO27" s="6">
        <v>12586</v>
      </c>
      <c r="AP27" s="93">
        <v>11674</v>
      </c>
      <c r="AQ27" s="6">
        <v>12865</v>
      </c>
      <c r="AU27" s="23"/>
      <c r="AY27" s="32">
        <v>16</v>
      </c>
      <c r="AZ27" s="1">
        <f t="shared" si="27"/>
        <v>0.73847821127081914</v>
      </c>
      <c r="BA27" s="24">
        <f t="shared" si="8"/>
        <v>21</v>
      </c>
      <c r="BB27" s="2">
        <f t="shared" si="75"/>
        <v>0.97024285279653288</v>
      </c>
      <c r="BC27" s="2">
        <f t="shared" si="76"/>
        <v>0.96939664714700013</v>
      </c>
      <c r="BD27" s="2">
        <f t="shared" si="77"/>
        <v>1.0447988369508445</v>
      </c>
      <c r="BE27" s="2">
        <f t="shared" si="78"/>
        <v>0.99524877547808144</v>
      </c>
      <c r="BF27" s="20">
        <f t="shared" si="79"/>
        <v>1.0166257693962071</v>
      </c>
      <c r="BG27" s="2">
        <f t="shared" si="80"/>
        <v>0.99353071674133187</v>
      </c>
      <c r="BH27" s="2">
        <f t="shared" si="81"/>
        <v>0.99682684749574446</v>
      </c>
      <c r="BI27" s="2">
        <f t="shared" si="82"/>
        <v>1.0178915475775578</v>
      </c>
      <c r="BJ27" s="2">
        <f t="shared" si="83"/>
        <v>0.97823933271607333</v>
      </c>
      <c r="BK27" s="20">
        <f t="shared" si="84"/>
        <v>1.0111406926833415</v>
      </c>
      <c r="BL27" s="2">
        <f t="shared" si="85"/>
        <v>0.99711039884967956</v>
      </c>
      <c r="BM27" s="2">
        <f t="shared" si="86"/>
        <v>0.95500841508594458</v>
      </c>
      <c r="BN27" s="2">
        <f t="shared" si="90"/>
        <v>0.98464764218151402</v>
      </c>
      <c r="BO27" s="2">
        <f t="shared" si="91"/>
        <v>0.92143600479995114</v>
      </c>
      <c r="BP27" s="20">
        <f t="shared" si="102"/>
        <v>0.85896221294256359</v>
      </c>
      <c r="BQ27" s="2">
        <f>IF(ISNUMBER(AQ27),MIN(1.15,AQ27/($AA27*(1-$K$3)^(BQ$6-1))),"")</f>
        <v>0.95135165888600792</v>
      </c>
      <c r="BU27" s="23"/>
      <c r="BY27" s="25">
        <f t="shared" si="10"/>
        <v>21</v>
      </c>
      <c r="BZ27" s="3">
        <f t="shared" si="11"/>
        <v>224714.71925658939</v>
      </c>
      <c r="CA27" s="3">
        <f t="shared" si="30"/>
        <v>220099</v>
      </c>
      <c r="CB27" s="2">
        <f t="shared" si="31"/>
        <v>0.97945964878553882</v>
      </c>
      <c r="CC27" s="85">
        <f t="shared" si="32"/>
        <v>15</v>
      </c>
      <c r="CD27" s="3" t="str">
        <f t="shared" si="12"/>
        <v>Tracker</v>
      </c>
      <c r="CE27" s="58">
        <f t="shared" si="33"/>
        <v>-1.0239890104034663E-2</v>
      </c>
      <c r="CF27" s="2">
        <f t="array" ref="CF27:CG27">LINEST(AB27:AQ27,AB$6:AQ$6,TRUE,FALSE)</f>
        <v>-141.58676470588233</v>
      </c>
      <c r="CG27" s="2">
        <v>14959.674999999999</v>
      </c>
      <c r="CH27" s="1">
        <f t="shared" si="34"/>
        <v>1.029789612011929</v>
      </c>
      <c r="CI27" s="3" t="s">
        <v>537</v>
      </c>
      <c r="CJ27" s="3">
        <f>SUM(CJ7:CJ26)</f>
        <v>100</v>
      </c>
      <c r="CK27" s="2">
        <f>AVERAGE($CB$7:$CB$106)</f>
        <v>0.83956393094067594</v>
      </c>
      <c r="CL27" s="58">
        <f>$CE$110</f>
        <v>-3.1107463962614244E-2</v>
      </c>
      <c r="CM27" s="3" t="s">
        <v>578</v>
      </c>
      <c r="CN27" s="3"/>
      <c r="CO27" s="3"/>
      <c r="CP27" s="3"/>
      <c r="CQ27" s="3"/>
      <c r="CR27" s="3"/>
      <c r="CS27" s="3"/>
      <c r="CT27" s="3"/>
      <c r="CU27" s="3"/>
      <c r="CV27" s="3"/>
      <c r="DC27" s="2">
        <f t="shared" si="36"/>
        <v>1.1111111111111112</v>
      </c>
      <c r="DD27">
        <f t="shared" si="16"/>
        <v>1</v>
      </c>
      <c r="DE27">
        <f t="shared" si="37"/>
        <v>17</v>
      </c>
      <c r="DT27">
        <f t="shared" si="38"/>
        <v>100335</v>
      </c>
      <c r="DU27" s="3">
        <f t="shared" si="39"/>
        <v>14578.824218317959</v>
      </c>
      <c r="DV27" s="3">
        <f t="shared" si="40"/>
        <v>14505.93009722637</v>
      </c>
      <c r="DW27" s="3">
        <f t="shared" si="41"/>
        <v>14433.400446740237</v>
      </c>
      <c r="DX27" s="3">
        <f t="shared" si="42"/>
        <v>14361.233444506537</v>
      </c>
      <c r="DY27" s="3">
        <f t="shared" si="43"/>
        <v>14289.427277284005</v>
      </c>
      <c r="DZ27" s="3">
        <f t="shared" si="44"/>
        <v>14217.980140897585</v>
      </c>
      <c r="EA27" s="3">
        <f t="shared" si="45"/>
        <v>14146.890240193097</v>
      </c>
      <c r="EB27" s="2">
        <f t="shared" si="46"/>
        <v>0.99802368864270752</v>
      </c>
      <c r="ED27" s="2" t="str">
        <f t="shared" si="47"/>
        <v xml:space="preserve"> </v>
      </c>
      <c r="EE27" s="58" t="str">
        <f t="shared" si="48"/>
        <v xml:space="preserve"> </v>
      </c>
      <c r="EF27" s="2">
        <f t="shared" si="49"/>
        <v>0.97945964878553882</v>
      </c>
      <c r="EG27" s="58">
        <f t="shared" si="50"/>
        <v>-1.0239890104034663E-2</v>
      </c>
      <c r="EI27" s="2" t="str">
        <f t="shared" si="51"/>
        <v xml:space="preserve"> </v>
      </c>
      <c r="EJ27" s="2">
        <f t="shared" si="52"/>
        <v>0.99802368864270752</v>
      </c>
      <c r="EK27" s="2"/>
      <c r="EL27" s="2">
        <f t="array" ref="EL27:EM27">LINEST($AB27:$AH27,$AB$6:$AH$6,TRUE,FALSE)</f>
        <v>-19.785714285714278</v>
      </c>
      <c r="EM27" s="2">
        <v>14412.714285714286</v>
      </c>
      <c r="EN27" s="58">
        <f t="shared" si="53"/>
        <v>-1.3803757412667558E-3</v>
      </c>
      <c r="EO27" s="2">
        <f t="array" ref="EO27:EP27">LINEST($AH27:$AQ27,$AH$6:$AQ$6,TRUE,FALSE)</f>
        <v>-228.23030303030311</v>
      </c>
      <c r="EP27" s="2">
        <v>16011.248484848486</v>
      </c>
      <c r="EQ27" s="58">
        <f t="shared" si="54"/>
        <v>-1.7049161327768299E-2</v>
      </c>
      <c r="ES27" s="3">
        <f t="shared" si="55"/>
        <v>61468.576530612758</v>
      </c>
      <c r="ET27" s="3">
        <f t="shared" si="92"/>
        <v>96809.877551020239</v>
      </c>
      <c r="EU27" s="3">
        <f t="shared" si="93"/>
        <v>528009.84183673433</v>
      </c>
      <c r="EV27" s="3">
        <f t="shared" si="94"/>
        <v>1646.0408163265938</v>
      </c>
      <c r="EW27" s="3">
        <f t="shared" si="95"/>
        <v>45460.331632652509</v>
      </c>
      <c r="EX27" s="3">
        <f t="shared" si="96"/>
        <v>28224</v>
      </c>
      <c r="EY27" s="3">
        <f t="shared" si="97"/>
        <v>29657.760204081813</v>
      </c>
      <c r="EZ27" s="3">
        <f t="shared" si="56"/>
        <v>20333.031551882308</v>
      </c>
      <c r="FA27" s="3">
        <f t="shared" si="98"/>
        <v>65626.018769513699</v>
      </c>
      <c r="FB27" s="29">
        <f t="shared" si="99"/>
        <v>131083.49388429814</v>
      </c>
      <c r="FC27" s="3">
        <f t="shared" si="100"/>
        <v>105810.23265381125</v>
      </c>
      <c r="FD27" s="3">
        <f t="shared" si="101"/>
        <v>9309.3259871440841</v>
      </c>
      <c r="FE27" s="3">
        <f t="shared" si="88"/>
        <v>223488.26479338866</v>
      </c>
      <c r="FF27" s="3">
        <f t="shared" si="89"/>
        <v>52911.152102846638</v>
      </c>
      <c r="FG27" s="29">
        <f t="shared" si="103"/>
        <v>835019.36367309489</v>
      </c>
      <c r="FH27" s="3">
        <f>($EP27+$EO27*FH$6-AQ27)^2</f>
        <v>255465.91768595</v>
      </c>
      <c r="FI27" s="3"/>
      <c r="FQ27" s="4">
        <f>SQRT(AVERAGE(ES27:FH27))/AVERAGE(AB27:AQ27)</f>
        <v>2.867938154600657E-2</v>
      </c>
      <c r="FR27" s="160">
        <v>4.2999999999999997E-2</v>
      </c>
      <c r="FS27" s="161">
        <f t="shared" si="21"/>
        <v>1.4993349815100001</v>
      </c>
      <c r="FV27" s="4">
        <f t="shared" si="58"/>
        <v>2.3456363290405402E-2</v>
      </c>
      <c r="FW27" s="161">
        <f t="shared" si="59"/>
        <v>1.8331912525241596</v>
      </c>
    </row>
    <row r="28" spans="1:184" x14ac:dyDescent="0.3">
      <c r="A28">
        <f t="shared" si="22"/>
        <v>22</v>
      </c>
      <c r="B28" s="6">
        <v>56877</v>
      </c>
      <c r="C28" s="6" t="s">
        <v>113</v>
      </c>
      <c r="D28" s="6">
        <v>2009</v>
      </c>
      <c r="E28" s="6">
        <v>2009</v>
      </c>
      <c r="F28" s="6" t="s">
        <v>252</v>
      </c>
      <c r="G28" s="17" t="s">
        <v>634</v>
      </c>
      <c r="H28" s="17" t="s">
        <v>638</v>
      </c>
      <c r="I28" s="6" t="s">
        <v>35</v>
      </c>
      <c r="J28" s="17">
        <v>5</v>
      </c>
      <c r="K28" s="6" t="s">
        <v>52</v>
      </c>
      <c r="L28" s="12">
        <v>40.573709999999998</v>
      </c>
      <c r="M28" s="12">
        <v>-74.394409999999993</v>
      </c>
      <c r="N28" s="14">
        <v>1.8</v>
      </c>
      <c r="O28" s="6">
        <v>1.6</v>
      </c>
      <c r="P28" s="94">
        <f>365.25*(3.9+(5/12.5)*(4.15-3.9))</f>
        <v>1461</v>
      </c>
      <c r="Q28" s="15" t="s">
        <v>556</v>
      </c>
      <c r="R28" s="14">
        <v>12.7</v>
      </c>
      <c r="S28" s="3">
        <f t="shared" si="23"/>
        <v>35.007999999999996</v>
      </c>
      <c r="T28" s="128" t="str">
        <f t="shared" si="24"/>
        <v>C</v>
      </c>
      <c r="U28" s="154">
        <v>1412</v>
      </c>
      <c r="V28" s="154">
        <v>685</v>
      </c>
      <c r="W28" s="156">
        <v>0.49199999999999999</v>
      </c>
      <c r="X28" s="1">
        <f t="shared" si="63"/>
        <v>0.48512747875354106</v>
      </c>
      <c r="Y28" s="59">
        <f t="shared" si="25"/>
        <v>0</v>
      </c>
      <c r="Z28" s="1">
        <f t="shared" si="26"/>
        <v>1</v>
      </c>
      <c r="AA28" s="3">
        <f t="shared" si="64"/>
        <v>2137.7201236644855</v>
      </c>
      <c r="AB28" s="6">
        <v>1871</v>
      </c>
      <c r="AC28" s="6">
        <v>2079</v>
      </c>
      <c r="AD28" s="6">
        <v>1918</v>
      </c>
      <c r="AE28" s="6">
        <v>2040</v>
      </c>
      <c r="AF28" s="93">
        <v>1869</v>
      </c>
      <c r="AG28" s="6">
        <v>1280</v>
      </c>
      <c r="AH28" s="6">
        <v>1508</v>
      </c>
      <c r="AI28" s="6">
        <v>1456</v>
      </c>
      <c r="AJ28" s="6">
        <v>1782</v>
      </c>
      <c r="AK28" s="93">
        <v>1648</v>
      </c>
      <c r="AL28" s="6">
        <v>1557</v>
      </c>
      <c r="AM28" s="6">
        <v>1448</v>
      </c>
      <c r="AN28" s="6">
        <v>1358</v>
      </c>
      <c r="AO28" s="6">
        <v>1707</v>
      </c>
      <c r="AP28" s="93">
        <v>1594</v>
      </c>
      <c r="AQ28" s="6">
        <v>1428</v>
      </c>
      <c r="AU28" s="23"/>
      <c r="AY28" s="32">
        <v>16</v>
      </c>
      <c r="AZ28" s="1">
        <f t="shared" si="27"/>
        <v>0.63082268613582781</v>
      </c>
      <c r="BA28" s="24">
        <f t="shared" si="8"/>
        <v>22</v>
      </c>
      <c r="BB28" s="2">
        <f t="shared" si="75"/>
        <v>0.87523150448372389</v>
      </c>
      <c r="BC28" s="2">
        <f t="shared" si="76"/>
        <v>0.97741851847245964</v>
      </c>
      <c r="BD28" s="2">
        <f t="shared" si="77"/>
        <v>0.90625746260411122</v>
      </c>
      <c r="BE28" s="2">
        <f t="shared" si="78"/>
        <v>0.96874635100024997</v>
      </c>
      <c r="BF28" s="20">
        <f t="shared" si="79"/>
        <v>0.8920026258840611</v>
      </c>
      <c r="BG28" s="2">
        <f t="shared" si="80"/>
        <v>0.61396515005826247</v>
      </c>
      <c r="BH28" s="2">
        <f t="shared" si="81"/>
        <v>0.72696250493707582</v>
      </c>
      <c r="BI28" s="2">
        <f t="shared" si="82"/>
        <v>0.70542194206335551</v>
      </c>
      <c r="BJ28" s="2">
        <f t="shared" si="83"/>
        <v>0.86770521616109353</v>
      </c>
      <c r="BK28" s="20">
        <f t="shared" si="84"/>
        <v>0.80648934697814678</v>
      </c>
      <c r="BL28" s="2">
        <f t="shared" si="85"/>
        <v>0.76578518395678297</v>
      </c>
      <c r="BM28" s="2">
        <f t="shared" si="86"/>
        <v>0.71575407310762018</v>
      </c>
      <c r="BN28" s="2">
        <f t="shared" si="90"/>
        <v>0.67463979516376649</v>
      </c>
      <c r="BO28" s="2">
        <f t="shared" si="91"/>
        <v>0.85228064501043443</v>
      </c>
      <c r="BP28" s="20">
        <f t="shared" si="102"/>
        <v>0.79986066721812488</v>
      </c>
      <c r="BQ28" s="2">
        <f>IF(ISNUMBER(AQ28),MIN(1.15,AQ28/($AA28*(1-$K$3)^(BQ$6-1))),"")</f>
        <v>0.72016357369500106</v>
      </c>
      <c r="BU28" s="23"/>
      <c r="BY28" s="25">
        <f t="shared" si="10"/>
        <v>22</v>
      </c>
      <c r="BZ28" s="3">
        <f t="shared" si="11"/>
        <v>32950.337437695664</v>
      </c>
      <c r="CA28" s="3">
        <f t="shared" si="30"/>
        <v>26543</v>
      </c>
      <c r="CB28" s="2">
        <f t="shared" si="31"/>
        <v>0.80554561998610741</v>
      </c>
      <c r="CC28" s="85">
        <f t="shared" si="32"/>
        <v>65</v>
      </c>
      <c r="CD28" s="3" t="str">
        <f t="shared" si="12"/>
        <v>Fixed</v>
      </c>
      <c r="CE28" s="58">
        <f t="shared" si="33"/>
        <v>-1.9509476031215157E-2</v>
      </c>
      <c r="CF28" s="2">
        <f t="array" ref="CF28:CG28">LINEST(AB28:AQ28,AB$6:AQ$6,TRUE,FALSE)</f>
        <v>-32.683823529411754</v>
      </c>
      <c r="CG28" s="2">
        <v>1936.75</v>
      </c>
      <c r="CH28" s="1">
        <f t="shared" si="34"/>
        <v>1.0161039450074556</v>
      </c>
      <c r="CI28" s="3" t="s">
        <v>538</v>
      </c>
      <c r="CJ28" s="3">
        <f>COUNT(CJ7:CJ26)</f>
        <v>20</v>
      </c>
      <c r="CK28" s="3"/>
      <c r="CL28" s="58">
        <f>$CE$109</f>
        <v>-2.3304756373798266E-2</v>
      </c>
      <c r="CM28" s="3" t="s">
        <v>579</v>
      </c>
      <c r="CN28" s="3"/>
      <c r="CO28" s="3"/>
      <c r="CP28" s="3"/>
      <c r="CQ28" s="3"/>
      <c r="CR28" s="3"/>
      <c r="CS28" s="3"/>
      <c r="CT28" s="3"/>
      <c r="CU28" s="3"/>
      <c r="CV28" s="3"/>
      <c r="DC28" s="2">
        <f t="shared" si="36"/>
        <v>1.125</v>
      </c>
      <c r="DD28">
        <f t="shared" si="16"/>
        <v>0</v>
      </c>
      <c r="DE28">
        <f t="shared" si="37"/>
        <v>16</v>
      </c>
      <c r="DT28">
        <f t="shared" si="38"/>
        <v>12565</v>
      </c>
      <c r="DU28" s="3">
        <f t="shared" si="39"/>
        <v>2137.7201236644855</v>
      </c>
      <c r="DV28" s="3">
        <f t="shared" si="40"/>
        <v>2127.0315230461629</v>
      </c>
      <c r="DW28" s="3">
        <f t="shared" si="41"/>
        <v>2116.3963654309323</v>
      </c>
      <c r="DX28" s="3">
        <f t="shared" si="42"/>
        <v>2105.8143836037775</v>
      </c>
      <c r="DY28" s="3">
        <f t="shared" si="43"/>
        <v>2095.2853116857586</v>
      </c>
      <c r="DZ28" s="3">
        <f t="shared" si="44"/>
        <v>2084.8088851273301</v>
      </c>
      <c r="EA28" s="3">
        <f t="shared" si="45"/>
        <v>2074.3848407016935</v>
      </c>
      <c r="EB28" s="2">
        <f t="shared" si="46"/>
        <v>0.85235898110007213</v>
      </c>
      <c r="ED28" s="2" t="str">
        <f t="shared" si="47"/>
        <v xml:space="preserve"> </v>
      </c>
      <c r="EE28" s="58" t="str">
        <f t="shared" si="48"/>
        <v xml:space="preserve"> </v>
      </c>
      <c r="EF28" s="2">
        <f t="shared" si="49"/>
        <v>0.80554561998610741</v>
      </c>
      <c r="EG28" s="58">
        <f t="shared" si="50"/>
        <v>-1.9509476031215157E-2</v>
      </c>
      <c r="EI28" s="2" t="str">
        <f t="shared" si="51"/>
        <v xml:space="preserve"> </v>
      </c>
      <c r="EJ28" s="2">
        <f t="shared" si="52"/>
        <v>0.85235898110007213</v>
      </c>
      <c r="EK28" s="2"/>
      <c r="EL28" s="2">
        <f t="array" ref="EL28:EM28">LINEST($AB28:$AH28,$AB$6:$AH$6,TRUE,FALSE)</f>
        <v>-97.714285714285708</v>
      </c>
      <c r="EM28" s="2">
        <v>2185.8571428571427</v>
      </c>
      <c r="EN28" s="58">
        <f t="shared" si="53"/>
        <v>-5.4436927974532437E-2</v>
      </c>
      <c r="EO28" s="2">
        <f t="array" ref="EO28:EP28">LINEST($AH28:$AQ28,$AH$6:$AQ$6,TRUE,FALSE)</f>
        <v>-6.7151515151515149</v>
      </c>
      <c r="EP28" s="2">
        <v>1625.8242424242424</v>
      </c>
      <c r="EQ28" s="58">
        <f t="shared" si="54"/>
        <v>-4.3362724494068932E-3</v>
      </c>
      <c r="ES28" s="3">
        <f t="shared" si="55"/>
        <v>47151.020408163153</v>
      </c>
      <c r="ET28" s="3">
        <f t="shared" si="92"/>
        <v>7844.8979591836905</v>
      </c>
      <c r="EU28" s="3">
        <f t="shared" si="93"/>
        <v>639.36734693878373</v>
      </c>
      <c r="EV28" s="3">
        <f t="shared" si="94"/>
        <v>60025.000000000109</v>
      </c>
      <c r="EW28" s="3">
        <f t="shared" si="95"/>
        <v>29485.79591836737</v>
      </c>
      <c r="EX28" s="3">
        <f t="shared" si="96"/>
        <v>102125.8979591836</v>
      </c>
      <c r="EY28" s="3">
        <f t="shared" si="97"/>
        <v>37.734693877553411</v>
      </c>
      <c r="EZ28" s="3">
        <f t="shared" si="56"/>
        <v>13479.91364554635</v>
      </c>
      <c r="FA28" s="3">
        <f t="shared" si="98"/>
        <v>46920.811056014747</v>
      </c>
      <c r="FB28" s="29">
        <f t="shared" si="99"/>
        <v>7979.3616528925904</v>
      </c>
      <c r="FC28" s="3">
        <f t="shared" si="100"/>
        <v>25.426042240587307</v>
      </c>
      <c r="FD28" s="3">
        <f t="shared" si="101"/>
        <v>9456.0890725436202</v>
      </c>
      <c r="FE28" s="3">
        <f t="shared" si="88"/>
        <v>32590.096198347099</v>
      </c>
      <c r="FF28" s="3">
        <f t="shared" si="89"/>
        <v>30690.79287419653</v>
      </c>
      <c r="FG28" s="29">
        <f t="shared" si="103"/>
        <v>4747.6275849403246</v>
      </c>
      <c r="FH28" s="3">
        <f>($EP28+$EO28*FH$6-AQ28)^2</f>
        <v>8168.8730578512177</v>
      </c>
      <c r="FI28" s="3"/>
      <c r="FQ28" s="4">
        <f>SQRT(AVERAGE(ES28:FH28))/AVERAGE(AB28:AQ28)</f>
        <v>9.5473256928214151E-2</v>
      </c>
      <c r="FR28" s="160">
        <v>2.5999999999999999E-2</v>
      </c>
      <c r="FS28" s="161">
        <f t="shared" si="21"/>
        <v>0.27232756937944691</v>
      </c>
      <c r="FV28" s="4">
        <f t="shared" si="58"/>
        <v>0.10471457030303871</v>
      </c>
      <c r="FW28" s="161">
        <f t="shared" si="59"/>
        <v>0.24829400459513232</v>
      </c>
    </row>
    <row r="29" spans="1:184" x14ac:dyDescent="0.3">
      <c r="A29">
        <f t="shared" si="22"/>
        <v>23</v>
      </c>
      <c r="B29" s="6">
        <v>57009</v>
      </c>
      <c r="C29" s="6" t="s">
        <v>114</v>
      </c>
      <c r="D29" s="6">
        <v>2009</v>
      </c>
      <c r="E29" s="6">
        <v>2009</v>
      </c>
      <c r="F29" s="6" t="s">
        <v>252</v>
      </c>
      <c r="G29" s="17" t="s">
        <v>636</v>
      </c>
      <c r="H29" s="17" t="s">
        <v>625</v>
      </c>
      <c r="I29" s="6" t="s">
        <v>35</v>
      </c>
      <c r="J29" s="17">
        <v>10</v>
      </c>
      <c r="K29" s="6" t="s">
        <v>24</v>
      </c>
      <c r="L29" s="12">
        <v>34.094700000000003</v>
      </c>
      <c r="M29" s="12">
        <v>-117.26683</v>
      </c>
      <c r="N29" s="14">
        <v>1.2</v>
      </c>
      <c r="O29" s="6">
        <v>1</v>
      </c>
      <c r="P29" s="94">
        <f>365.25*5.87</f>
        <v>2144.0174999999999</v>
      </c>
      <c r="Q29" s="15" t="s">
        <v>659</v>
      </c>
      <c r="R29" s="14">
        <v>18.2</v>
      </c>
      <c r="S29" s="3">
        <f t="shared" si="23"/>
        <v>45.585049999999995</v>
      </c>
      <c r="T29" s="128" t="str">
        <f t="shared" si="24"/>
        <v>M</v>
      </c>
      <c r="U29" s="154">
        <v>1921.2</v>
      </c>
      <c r="V29" s="154">
        <v>600</v>
      </c>
      <c r="W29" s="156">
        <v>0.62</v>
      </c>
      <c r="X29" s="1">
        <f t="shared" si="63"/>
        <v>0.31230480949406619</v>
      </c>
      <c r="Y29" s="59">
        <f t="shared" si="25"/>
        <v>2.9930683785134304E-4</v>
      </c>
      <c r="Z29" s="1">
        <f t="shared" si="26"/>
        <v>0.9961463860929195</v>
      </c>
      <c r="AA29" s="3">
        <f t="shared" si="64"/>
        <v>2024.2093465637147</v>
      </c>
      <c r="AB29" s="6">
        <v>1832</v>
      </c>
      <c r="AC29" s="6">
        <v>1798</v>
      </c>
      <c r="AD29" s="6">
        <v>4049</v>
      </c>
      <c r="AE29" s="6">
        <v>1825</v>
      </c>
      <c r="AF29" s="93">
        <v>1762</v>
      </c>
      <c r="AG29" s="6">
        <v>1610</v>
      </c>
      <c r="AH29" s="6">
        <v>1918</v>
      </c>
      <c r="AI29" s="6">
        <v>859</v>
      </c>
      <c r="AJ29" s="6">
        <v>0</v>
      </c>
      <c r="AK29" s="93">
        <v>1014</v>
      </c>
      <c r="AL29" s="6">
        <v>1368</v>
      </c>
      <c r="AM29" s="6">
        <v>1455</v>
      </c>
      <c r="AN29" s="6">
        <v>1455</v>
      </c>
      <c r="AO29" s="6">
        <v>1626</v>
      </c>
      <c r="AP29" s="93">
        <v>1049</v>
      </c>
      <c r="AQ29" s="6">
        <v>944</v>
      </c>
      <c r="AU29" s="23"/>
      <c r="AY29" s="32">
        <v>16</v>
      </c>
      <c r="AZ29" s="1">
        <f t="shared" si="27"/>
        <v>0.59671854357532061</v>
      </c>
      <c r="BA29" s="24">
        <f t="shared" si="8"/>
        <v>23</v>
      </c>
      <c r="BB29" s="2">
        <f t="shared" si="75"/>
        <v>0.90504472924699808</v>
      </c>
      <c r="BC29" s="2">
        <f t="shared" si="76"/>
        <v>0.89271160561876106</v>
      </c>
      <c r="BD29" s="2">
        <f t="shared" si="77"/>
        <v>1.1499999999999999</v>
      </c>
      <c r="BE29" s="2">
        <f t="shared" si="78"/>
        <v>0.91524676122308857</v>
      </c>
      <c r="BF29" s="20">
        <f t="shared" si="79"/>
        <v>0.88809240353828423</v>
      </c>
      <c r="BG29" s="2">
        <f t="shared" si="80"/>
        <v>0.81555836486441147</v>
      </c>
      <c r="BH29" s="2">
        <f t="shared" si="81"/>
        <v>0.97646052861196742</v>
      </c>
      <c r="BI29" s="2">
        <f t="shared" si="82"/>
        <v>0.43951750099699755</v>
      </c>
      <c r="BJ29" s="2">
        <f t="shared" si="83"/>
        <v>0</v>
      </c>
      <c r="BK29" s="20">
        <f t="shared" si="84"/>
        <v>0.52405250641852774</v>
      </c>
      <c r="BL29" s="2">
        <f t="shared" si="85"/>
        <v>0.71055854100933258</v>
      </c>
      <c r="BM29" s="2">
        <f t="shared" si="86"/>
        <v>0.7595452975172492</v>
      </c>
      <c r="BN29" s="2">
        <f t="shared" si="90"/>
        <v>0.76336210805753679</v>
      </c>
      <c r="BO29" s="2">
        <f t="shared" si="91"/>
        <v>0.85736364827681688</v>
      </c>
      <c r="BP29" s="20">
        <f t="shared" si="102"/>
        <v>0.55590033008979767</v>
      </c>
      <c r="BQ29" s="2">
        <f>IF(ISNUMBER(AQ29),MIN(1.15,AQ29/($AA29*(1-$K$3)^(BQ$6-1))),"")</f>
        <v>0.50277115951997264</v>
      </c>
      <c r="BU29" s="23"/>
      <c r="BY29" s="25">
        <f t="shared" si="10"/>
        <v>23</v>
      </c>
      <c r="BZ29" s="3">
        <f t="shared" si="11"/>
        <v>31200.707836102185</v>
      </c>
      <c r="CA29" s="3">
        <f t="shared" si="30"/>
        <v>24564</v>
      </c>
      <c r="CB29" s="2">
        <f t="shared" si="31"/>
        <v>0.78728983102034367</v>
      </c>
      <c r="CC29" s="85">
        <f t="shared" si="32"/>
        <v>70</v>
      </c>
      <c r="CD29" s="3" t="str">
        <f t="shared" si="12"/>
        <v>Fixed</v>
      </c>
      <c r="CE29" s="58">
        <f t="shared" si="33"/>
        <v>-5.5840328505384312E-2</v>
      </c>
      <c r="CF29" s="2">
        <f t="array" ref="CF29:CG29">LINEST(AB29:AQ29,AB$6:AQ$6,TRUE,FALSE)</f>
        <v>-88.191176470588246</v>
      </c>
      <c r="CG29" s="2">
        <v>2284.875</v>
      </c>
      <c r="CH29" s="1">
        <f t="shared" si="34"/>
        <v>0.98345811201192901</v>
      </c>
      <c r="CI29" s="3"/>
      <c r="CJ29" s="3"/>
      <c r="CK29" s="3"/>
      <c r="CL29" s="3"/>
      <c r="CM29" s="3"/>
      <c r="CN29" s="3"/>
      <c r="CO29" s="3"/>
      <c r="CP29" s="3"/>
      <c r="CQ29" s="3"/>
      <c r="CR29" s="3"/>
      <c r="CS29" s="3"/>
      <c r="CT29" s="3"/>
      <c r="CU29" s="3"/>
      <c r="CV29" s="3"/>
      <c r="DC29" s="2">
        <f t="shared" si="36"/>
        <v>1.2</v>
      </c>
      <c r="DD29">
        <f t="shared" si="16"/>
        <v>0</v>
      </c>
      <c r="DE29">
        <f t="shared" si="37"/>
        <v>16</v>
      </c>
      <c r="DT29">
        <f t="shared" si="38"/>
        <v>14794</v>
      </c>
      <c r="DU29" s="3">
        <f t="shared" si="39"/>
        <v>2024.2093465637147</v>
      </c>
      <c r="DV29" s="3">
        <f t="shared" si="40"/>
        <v>2014.0882998308962</v>
      </c>
      <c r="DW29" s="3">
        <f t="shared" si="41"/>
        <v>3520.8695652173915</v>
      </c>
      <c r="DX29" s="3">
        <f t="shared" si="42"/>
        <v>1993.9977690400829</v>
      </c>
      <c r="DY29" s="3">
        <f t="shared" si="43"/>
        <v>1984.0277801948826</v>
      </c>
      <c r="DZ29" s="3">
        <f t="shared" si="44"/>
        <v>1974.1076412939083</v>
      </c>
      <c r="EA29" s="3">
        <f t="shared" si="45"/>
        <v>1964.2371030874388</v>
      </c>
      <c r="EB29" s="2">
        <f t="shared" si="46"/>
        <v>0.95596033384959567</v>
      </c>
      <c r="ED29" s="2" t="str">
        <f t="shared" si="47"/>
        <v xml:space="preserve"> </v>
      </c>
      <c r="EE29" s="58" t="str">
        <f t="shared" si="48"/>
        <v xml:space="preserve"> </v>
      </c>
      <c r="EF29" s="2" t="str">
        <f t="shared" si="49"/>
        <v xml:space="preserve"> </v>
      </c>
      <c r="EG29" s="58" t="str">
        <f t="shared" si="50"/>
        <v xml:space="preserve"> </v>
      </c>
      <c r="EI29" s="2" t="str">
        <f t="shared" si="51"/>
        <v xml:space="preserve"> </v>
      </c>
      <c r="EJ29" s="2" t="str">
        <f t="shared" si="52"/>
        <v xml:space="preserve"> </v>
      </c>
      <c r="EK29" s="2"/>
      <c r="EL29" s="2">
        <f t="array" ref="EL29:EM29">LINEST($AB29:$AH29,$AB$6:$AH$6,TRUE,FALSE)</f>
        <v>-85.892857142857125</v>
      </c>
      <c r="EM29" s="2">
        <v>2457</v>
      </c>
      <c r="EN29" s="58">
        <f t="shared" si="53"/>
        <v>-4.0641476274165193E-2</v>
      </c>
      <c r="EO29" s="2">
        <f t="array" ref="EO29:EP29">LINEST($AH29:$AQ29,$AH$6:$AQ$6,TRUE,FALSE)</f>
        <v>12.751515151515173</v>
      </c>
      <c r="EP29" s="2">
        <v>1022.1575757575755</v>
      </c>
      <c r="EQ29" s="58">
        <f t="shared" si="54"/>
        <v>1.0909920560844605E-2</v>
      </c>
      <c r="ES29" s="3">
        <f t="shared" si="55"/>
        <v>290636.5114795916</v>
      </c>
      <c r="ET29" s="3">
        <f t="shared" si="92"/>
        <v>237377.76020408169</v>
      </c>
      <c r="EU29" s="3">
        <f t="shared" si="93"/>
        <v>3421310.8176020412</v>
      </c>
      <c r="EV29" s="3">
        <f t="shared" si="94"/>
        <v>83191.040816326611</v>
      </c>
      <c r="EW29" s="3">
        <f t="shared" si="95"/>
        <v>70509.21556122457</v>
      </c>
      <c r="EX29" s="3">
        <f t="shared" si="96"/>
        <v>109986.98469387768</v>
      </c>
      <c r="EY29" s="3">
        <f t="shared" si="97"/>
        <v>3875.0625</v>
      </c>
      <c r="EZ29" s="3">
        <f t="shared" si="56"/>
        <v>70314.968191000837</v>
      </c>
      <c r="FA29" s="3">
        <f t="shared" si="98"/>
        <v>1292589.8425711659</v>
      </c>
      <c r="FB29" s="29">
        <f t="shared" si="99"/>
        <v>18407.088925619792</v>
      </c>
      <c r="FC29" s="3">
        <f t="shared" si="100"/>
        <v>42261.392102846621</v>
      </c>
      <c r="FD29" s="3">
        <f t="shared" si="101"/>
        <v>78301.606648301153</v>
      </c>
      <c r="FE29" s="3">
        <f t="shared" si="88"/>
        <v>71327.84165289253</v>
      </c>
      <c r="FF29" s="3">
        <f t="shared" si="89"/>
        <v>180898.13348025706</v>
      </c>
      <c r="FG29" s="29">
        <f t="shared" si="103"/>
        <v>27037.324554637304</v>
      </c>
      <c r="FH29" s="3">
        <f>($EP29+$EO29*FH$6-AQ29)^2</f>
        <v>79626.578512396736</v>
      </c>
      <c r="FI29" s="3"/>
      <c r="FQ29" s="4">
        <f>SQRT(AVERAGE(ES29:FH29))/AVERAGE(AB29:AQ29)</f>
        <v>0.40144756061174786</v>
      </c>
      <c r="FR29" s="160">
        <v>2.4E-2</v>
      </c>
      <c r="FS29" s="161">
        <f t="shared" si="21"/>
        <v>5.9783648861703086E-2</v>
      </c>
      <c r="FV29" s="4">
        <f t="shared" si="58"/>
        <v>0.36724797312489543</v>
      </c>
      <c r="FW29" s="161">
        <f t="shared" si="59"/>
        <v>6.5350939300726829E-2</v>
      </c>
    </row>
    <row r="30" spans="1:184" x14ac:dyDescent="0.3">
      <c r="A30">
        <f t="shared" si="22"/>
        <v>24</v>
      </c>
      <c r="B30" s="6">
        <v>57005</v>
      </c>
      <c r="C30" s="6" t="s">
        <v>585</v>
      </c>
      <c r="D30" s="6">
        <v>2009</v>
      </c>
      <c r="E30" s="6">
        <v>2009</v>
      </c>
      <c r="F30" s="6" t="s">
        <v>252</v>
      </c>
      <c r="G30" s="17" t="s">
        <v>636</v>
      </c>
      <c r="H30" s="17" t="s">
        <v>625</v>
      </c>
      <c r="I30" s="6" t="s">
        <v>36</v>
      </c>
      <c r="J30" s="17">
        <v>0</v>
      </c>
      <c r="K30" s="6" t="s">
        <v>24</v>
      </c>
      <c r="L30" s="12">
        <v>38.4</v>
      </c>
      <c r="M30" s="12">
        <v>-121.964</v>
      </c>
      <c r="N30" s="14">
        <v>1.1000000000000001</v>
      </c>
      <c r="O30" s="6">
        <v>1</v>
      </c>
      <c r="P30" s="94">
        <f>365.25*6.8</f>
        <v>2483.6999999999998</v>
      </c>
      <c r="Q30" s="15" t="s">
        <v>507</v>
      </c>
      <c r="R30" s="14">
        <v>16</v>
      </c>
      <c r="S30" s="3">
        <f t="shared" si="23"/>
        <v>44.986899999999999</v>
      </c>
      <c r="T30" s="128" t="str">
        <f t="shared" si="24"/>
        <v>M</v>
      </c>
      <c r="U30" s="154">
        <v>1793</v>
      </c>
      <c r="V30" s="154">
        <v>572</v>
      </c>
      <c r="W30" s="156">
        <v>0.60799999999999998</v>
      </c>
      <c r="X30" s="1">
        <f t="shared" si="63"/>
        <v>0.31901840490797545</v>
      </c>
      <c r="Y30" s="59">
        <f t="shared" si="25"/>
        <v>4.7550142717791566E-3</v>
      </c>
      <c r="Z30" s="1">
        <f t="shared" si="26"/>
        <v>0.94050371134738509</v>
      </c>
      <c r="AA30" s="3">
        <f t="shared" si="64"/>
        <v>2046.9939976224873</v>
      </c>
      <c r="AB30" s="6">
        <v>1996</v>
      </c>
      <c r="AC30" s="6">
        <v>1132</v>
      </c>
      <c r="AD30" s="6">
        <v>1986</v>
      </c>
      <c r="AE30" s="6">
        <v>2008</v>
      </c>
      <c r="AF30" s="93">
        <v>2142</v>
      </c>
      <c r="AG30" s="6">
        <v>1991</v>
      </c>
      <c r="AH30" s="6">
        <v>2010</v>
      </c>
      <c r="AI30" s="6">
        <v>1863</v>
      </c>
      <c r="AJ30" s="6">
        <v>1689</v>
      </c>
      <c r="AK30" s="93">
        <v>1386</v>
      </c>
      <c r="AL30" s="6">
        <v>1753</v>
      </c>
      <c r="AM30" s="6">
        <v>1767</v>
      </c>
      <c r="AN30" s="6">
        <v>1566</v>
      </c>
      <c r="AO30" s="6">
        <v>545</v>
      </c>
      <c r="AP30" s="93">
        <v>891</v>
      </c>
      <c r="AQ30" s="6">
        <v>1253</v>
      </c>
      <c r="AU30" s="23"/>
      <c r="AY30" s="32">
        <v>16</v>
      </c>
      <c r="AZ30" s="1">
        <f t="shared" si="27"/>
        <v>0.59428382142478053</v>
      </c>
      <c r="BA30" s="24">
        <f t="shared" si="8"/>
        <v>24</v>
      </c>
      <c r="BB30" s="2">
        <f t="shared" si="75"/>
        <v>0.97508835019461948</v>
      </c>
      <c r="BC30" s="2">
        <f t="shared" si="76"/>
        <v>0.5557849429614552</v>
      </c>
      <c r="BD30" s="2">
        <f t="shared" si="77"/>
        <v>0.97997842278659186</v>
      </c>
      <c r="BE30" s="2">
        <f t="shared" si="78"/>
        <v>0.9958132419172786</v>
      </c>
      <c r="BF30" s="20">
        <f t="shared" si="79"/>
        <v>1.0676049391313194</v>
      </c>
      <c r="BG30" s="2">
        <f t="shared" si="80"/>
        <v>0.99733092812824931</v>
      </c>
      <c r="BH30" s="2">
        <f t="shared" si="81"/>
        <v>1.0119079402728264</v>
      </c>
      <c r="BI30" s="2">
        <f t="shared" si="82"/>
        <v>0.94261581175943177</v>
      </c>
      <c r="BJ30" s="2">
        <f t="shared" si="83"/>
        <v>0.85887197990040387</v>
      </c>
      <c r="BK30" s="20">
        <f t="shared" si="84"/>
        <v>0.70833537976558925</v>
      </c>
      <c r="BL30" s="2">
        <f t="shared" si="85"/>
        <v>0.90039803688650888</v>
      </c>
      <c r="BM30" s="2">
        <f t="shared" si="86"/>
        <v>0.91214964220902661</v>
      </c>
      <c r="BN30" s="2">
        <f t="shared" si="90"/>
        <v>0.81245294935306722</v>
      </c>
      <c r="BO30" s="2">
        <f t="shared" si="91"/>
        <v>0.2841710836413367</v>
      </c>
      <c r="BP30" s="20">
        <f t="shared" si="102"/>
        <v>0.46691519159915357</v>
      </c>
      <c r="BQ30" s="2">
        <f>IF(ISNUMBER(AQ30),MIN(1.15,AQ30/($AA30*(1-$K$3)^(BQ$6-1))),"")</f>
        <v>0.65991544148772974</v>
      </c>
      <c r="BU30" s="23"/>
      <c r="BY30" s="25">
        <f t="shared" si="10"/>
        <v>24</v>
      </c>
      <c r="BZ30" s="3">
        <f t="shared" si="11"/>
        <v>31551.90532564995</v>
      </c>
      <c r="CA30" s="3">
        <f t="shared" si="30"/>
        <v>25978</v>
      </c>
      <c r="CB30" s="2">
        <f t="shared" si="31"/>
        <v>0.82334171999690065</v>
      </c>
      <c r="CC30" s="85">
        <f t="shared" si="32"/>
        <v>60</v>
      </c>
      <c r="CD30" s="3" t="str">
        <f t="shared" si="12"/>
        <v>Tracker</v>
      </c>
      <c r="CE30" s="58">
        <f t="shared" si="33"/>
        <v>-3.5557168771112299E-2</v>
      </c>
      <c r="CF30" s="2">
        <f t="array" ref="CF30:CG30">LINEST(AB30:AQ30,AB$6:AQ$6,TRUE,FALSE)</f>
        <v>-58.776470588235298</v>
      </c>
      <c r="CG30" s="2">
        <v>2123.2249999999999</v>
      </c>
      <c r="CH30" s="1">
        <f t="shared" si="34"/>
        <v>0.98585071201192898</v>
      </c>
      <c r="CI30" s="3"/>
      <c r="CJ30" s="3"/>
      <c r="CK30" s="3"/>
      <c r="CL30" s="3"/>
      <c r="CM30" s="3"/>
      <c r="CN30" s="3"/>
      <c r="CO30" s="3"/>
      <c r="CP30" s="3"/>
      <c r="CQ30" s="3"/>
      <c r="CR30" s="3"/>
      <c r="CS30" s="3"/>
      <c r="CT30" s="3"/>
      <c r="CU30" s="3"/>
      <c r="CV30" s="3"/>
      <c r="DC30" s="2">
        <f t="shared" si="36"/>
        <v>1.1000000000000001</v>
      </c>
      <c r="DD30">
        <f t="shared" si="16"/>
        <v>0</v>
      </c>
      <c r="DE30">
        <f t="shared" si="37"/>
        <v>16</v>
      </c>
      <c r="DT30">
        <f t="shared" si="38"/>
        <v>13265</v>
      </c>
      <c r="DU30" s="3">
        <f t="shared" si="39"/>
        <v>2046.9939976224873</v>
      </c>
      <c r="DV30" s="3">
        <f t="shared" si="40"/>
        <v>2036.7590276343749</v>
      </c>
      <c r="DW30" s="3">
        <f t="shared" si="41"/>
        <v>2026.5752324962032</v>
      </c>
      <c r="DX30" s="3">
        <f t="shared" si="42"/>
        <v>2016.442356333722</v>
      </c>
      <c r="DY30" s="3">
        <f t="shared" si="43"/>
        <v>2006.3601445520533</v>
      </c>
      <c r="DZ30" s="3">
        <f t="shared" si="44"/>
        <v>1996.3283438292933</v>
      </c>
      <c r="EA30" s="3">
        <f t="shared" si="45"/>
        <v>1986.3467021101467</v>
      </c>
      <c r="EB30" s="2">
        <f t="shared" si="46"/>
        <v>0.93972672787108391</v>
      </c>
      <c r="ED30" s="2" t="str">
        <f t="shared" si="47"/>
        <v xml:space="preserve"> </v>
      </c>
      <c r="EE30" s="58" t="str">
        <f t="shared" si="48"/>
        <v xml:space="preserve"> </v>
      </c>
      <c r="EF30" s="2" t="str">
        <f t="shared" si="49"/>
        <v xml:space="preserve"> </v>
      </c>
      <c r="EG30" s="58" t="str">
        <f t="shared" si="50"/>
        <v xml:space="preserve"> </v>
      </c>
      <c r="EI30" s="2" t="str">
        <f t="shared" si="51"/>
        <v xml:space="preserve"> </v>
      </c>
      <c r="EJ30" s="2" t="str">
        <f t="shared" si="52"/>
        <v xml:space="preserve"> </v>
      </c>
      <c r="EK30" s="2"/>
      <c r="EL30" s="2">
        <f t="array" ref="EL30:EM30">LINEST($AB30:$AH30,$AB$6:$AH$6,TRUE,FALSE)</f>
        <v>68.428571428571473</v>
      </c>
      <c r="EM30" s="2">
        <v>1621.2857142857142</v>
      </c>
      <c r="EN30" s="58">
        <f t="shared" si="53"/>
        <v>3.6110064078401831E-2</v>
      </c>
      <c r="EO30" s="2">
        <f t="array" ref="EO30:EP30">LINEST($AH30:$AQ30,$AH$6:$AQ$6,TRUE,FALSE)</f>
        <v>-113.83636363636364</v>
      </c>
      <c r="EP30" s="2">
        <v>2781.4181818181819</v>
      </c>
      <c r="EQ30" s="58">
        <f t="shared" si="54"/>
        <v>-7.7318728273017487E-2</v>
      </c>
      <c r="ES30" s="3">
        <f t="shared" si="55"/>
        <v>93810.938775510163</v>
      </c>
      <c r="ET30" s="3">
        <f t="shared" si="92"/>
        <v>392054.87755102036</v>
      </c>
      <c r="EU30" s="3">
        <f t="shared" si="93"/>
        <v>25417.469387755071</v>
      </c>
      <c r="EV30" s="3">
        <f t="shared" si="94"/>
        <v>12769</v>
      </c>
      <c r="EW30" s="3">
        <f t="shared" si="95"/>
        <v>31887.75510204077</v>
      </c>
      <c r="EX30" s="3">
        <f t="shared" si="96"/>
        <v>1669.3061224490009</v>
      </c>
      <c r="EY30" s="3">
        <f t="shared" si="97"/>
        <v>8151.5102040817028</v>
      </c>
      <c r="EZ30" s="3">
        <f t="shared" si="56"/>
        <v>59.710743801653209</v>
      </c>
      <c r="FA30" s="3">
        <f t="shared" si="98"/>
        <v>4609.1755371900963</v>
      </c>
      <c r="FB30" s="29">
        <f t="shared" si="99"/>
        <v>66077.039338842951</v>
      </c>
      <c r="FC30" s="3">
        <f t="shared" si="100"/>
        <v>50078.302148760318</v>
      </c>
      <c r="FD30" s="3">
        <f t="shared" si="101"/>
        <v>123635.34578512389</v>
      </c>
      <c r="FE30" s="3">
        <f t="shared" si="88"/>
        <v>69936.206611570276</v>
      </c>
      <c r="FF30" s="3">
        <f t="shared" si="89"/>
        <v>413074.97553719016</v>
      </c>
      <c r="FG30" s="29">
        <f t="shared" si="103"/>
        <v>33442.43438016525</v>
      </c>
      <c r="FH30" s="3">
        <f>($EP30+$EO30*FH$6-AQ30)^2</f>
        <v>85827.692231404973</v>
      </c>
      <c r="FI30" s="3"/>
      <c r="FQ30" s="4">
        <f>SQRT(AVERAGE(ES30:FH30))/AVERAGE(AB30:AQ30)</f>
        <v>0.18299902443533245</v>
      </c>
      <c r="FR30" s="160">
        <v>3.3000000000000002E-2</v>
      </c>
      <c r="FS30" s="161">
        <f t="shared" si="21"/>
        <v>0.18032883017724188</v>
      </c>
      <c r="FV30" s="4">
        <f t="shared" si="58"/>
        <v>0.15002312726041964</v>
      </c>
      <c r="FW30" s="161">
        <f t="shared" si="59"/>
        <v>0.21996608524708669</v>
      </c>
    </row>
    <row r="31" spans="1:184" x14ac:dyDescent="0.3">
      <c r="A31">
        <f t="shared" si="22"/>
        <v>25</v>
      </c>
      <c r="B31" s="6">
        <v>56889</v>
      </c>
      <c r="C31" s="6" t="s">
        <v>117</v>
      </c>
      <c r="D31" s="6">
        <v>2010</v>
      </c>
      <c r="E31" s="6">
        <v>2009</v>
      </c>
      <c r="F31" s="6" t="s">
        <v>252</v>
      </c>
      <c r="G31" s="17" t="s">
        <v>636</v>
      </c>
      <c r="H31" s="17" t="s">
        <v>638</v>
      </c>
      <c r="I31" s="6" t="s">
        <v>35</v>
      </c>
      <c r="J31" s="17">
        <v>2</v>
      </c>
      <c r="K31" s="6" t="s">
        <v>52</v>
      </c>
      <c r="L31" s="12">
        <v>40.726999999999997</v>
      </c>
      <c r="M31" s="12">
        <v>-74.378</v>
      </c>
      <c r="N31" s="14">
        <v>1.8</v>
      </c>
      <c r="O31" s="6">
        <v>1.7</v>
      </c>
      <c r="P31" s="94">
        <f>3.9*365.25</f>
        <v>1424.4749999999999</v>
      </c>
      <c r="Q31" s="15" t="s">
        <v>556</v>
      </c>
      <c r="R31" s="14">
        <v>12.7</v>
      </c>
      <c r="S31" s="3">
        <f t="shared" si="23"/>
        <v>34.736499999999999</v>
      </c>
      <c r="T31" s="128" t="str">
        <f t="shared" si="24"/>
        <v>C</v>
      </c>
      <c r="U31" s="154">
        <v>1412</v>
      </c>
      <c r="V31" s="154">
        <v>685</v>
      </c>
      <c r="W31" s="156">
        <v>0.49199999999999999</v>
      </c>
      <c r="X31" s="1">
        <f t="shared" si="63"/>
        <v>0.48512747875354106</v>
      </c>
      <c r="Y31" s="59">
        <f t="shared" si="25"/>
        <v>0</v>
      </c>
      <c r="Z31" s="1">
        <f t="shared" si="26"/>
        <v>1</v>
      </c>
      <c r="AA31" s="3">
        <f t="shared" si="64"/>
        <v>2106.324643900597</v>
      </c>
      <c r="AB31" s="6">
        <v>1623</v>
      </c>
      <c r="AC31" s="6">
        <v>1483</v>
      </c>
      <c r="AD31" s="6">
        <v>1628</v>
      </c>
      <c r="AE31" s="6">
        <v>1563</v>
      </c>
      <c r="AF31" s="93">
        <v>671</v>
      </c>
      <c r="AG31" s="6">
        <v>1591</v>
      </c>
      <c r="AH31" s="6">
        <v>1659</v>
      </c>
      <c r="AI31" s="6">
        <v>1458</v>
      </c>
      <c r="AJ31" s="6">
        <v>1369</v>
      </c>
      <c r="AK31" s="93">
        <v>1500</v>
      </c>
      <c r="AL31" s="6">
        <v>1459</v>
      </c>
      <c r="AM31" s="6">
        <v>1259</v>
      </c>
      <c r="AN31" s="6">
        <v>1128</v>
      </c>
      <c r="AO31" s="6">
        <v>691</v>
      </c>
      <c r="AP31" s="93">
        <v>0</v>
      </c>
      <c r="AU31" s="23"/>
      <c r="AY31" s="32">
        <v>15</v>
      </c>
      <c r="AZ31" s="1">
        <f t="shared" si="27"/>
        <v>0.4961412034193235</v>
      </c>
      <c r="BA31" s="24">
        <f t="shared" si="8"/>
        <v>25</v>
      </c>
      <c r="BB31" s="2">
        <f t="shared" si="75"/>
        <v>0.77053649099145882</v>
      </c>
      <c r="BC31" s="2">
        <f t="shared" si="76"/>
        <v>0.70760804400333988</v>
      </c>
      <c r="BD31" s="2">
        <f t="shared" si="77"/>
        <v>0.78069775420422216</v>
      </c>
      <c r="BE31" s="2">
        <f t="shared" si="78"/>
        <v>0.75329385861815168</v>
      </c>
      <c r="BF31" s="20">
        <f t="shared" si="79"/>
        <v>0.3250161100658634</v>
      </c>
      <c r="BG31" s="2">
        <f t="shared" si="80"/>
        <v>0.77451434686815401</v>
      </c>
      <c r="BH31" s="2">
        <f t="shared" si="81"/>
        <v>0.81167579029924442</v>
      </c>
      <c r="BI31" s="2">
        <f t="shared" si="82"/>
        <v>0.71691992346076272</v>
      </c>
      <c r="BJ31" s="2">
        <f t="shared" si="83"/>
        <v>0.67654002193256002</v>
      </c>
      <c r="BK31" s="20">
        <f t="shared" si="84"/>
        <v>0.745003346094123</v>
      </c>
      <c r="BL31" s="2">
        <f t="shared" si="85"/>
        <v>0.72828132794058653</v>
      </c>
      <c r="BM31" s="2">
        <f t="shared" si="86"/>
        <v>0.63160641581946642</v>
      </c>
      <c r="BN31" s="2">
        <f t="shared" si="90"/>
        <v>0.5687308959765931</v>
      </c>
      <c r="BO31" s="2">
        <f t="shared" si="91"/>
        <v>0.35014883737822605</v>
      </c>
      <c r="BP31" s="20">
        <f t="shared" si="102"/>
        <v>0</v>
      </c>
      <c r="BQ31" s="2"/>
      <c r="BU31" s="23"/>
      <c r="BY31" s="25">
        <f t="shared" si="10"/>
        <v>25</v>
      </c>
      <c r="BZ31" s="3">
        <f t="shared" si="11"/>
        <v>30512.653192217633</v>
      </c>
      <c r="CA31" s="3">
        <f t="shared" si="30"/>
        <v>19082</v>
      </c>
      <c r="CB31" s="2">
        <f t="shared" si="31"/>
        <v>0.62537989993170884</v>
      </c>
      <c r="CC31" s="85">
        <f t="shared" si="32"/>
        <v>94</v>
      </c>
      <c r="CD31" s="3" t="str">
        <f t="shared" si="12"/>
        <v>Fixed</v>
      </c>
      <c r="CE31" s="58">
        <f t="shared" si="33"/>
        <v>-4.9120148608280727E-2</v>
      </c>
      <c r="CF31" s="2">
        <f t="array" ref="CF31:CG31">LINEST(AB31:AP31,AB$6:AP$6,TRUE,FALSE)</f>
        <v>-64.060714285714297</v>
      </c>
      <c r="CG31" s="2">
        <v>1784.6190476190477</v>
      </c>
      <c r="CH31" s="1">
        <f t="shared" si="34"/>
        <v>1.0268523120119288</v>
      </c>
      <c r="CI31" s="3"/>
      <c r="CJ31" s="3"/>
      <c r="CK31" s="3"/>
      <c r="CL31" s="3"/>
      <c r="CM31" s="3"/>
      <c r="CN31" s="3"/>
      <c r="CO31" s="3"/>
      <c r="CP31" s="3"/>
      <c r="CQ31" s="3"/>
      <c r="CR31" s="3"/>
      <c r="CS31" s="3"/>
      <c r="CT31" s="3"/>
      <c r="CU31" s="3"/>
      <c r="CV31" s="3"/>
      <c r="DC31" s="2">
        <f t="shared" si="36"/>
        <v>1.0588235294117647</v>
      </c>
      <c r="DD31">
        <f t="shared" si="16"/>
        <v>1</v>
      </c>
      <c r="DE31">
        <f t="shared" si="37"/>
        <v>16</v>
      </c>
      <c r="DT31">
        <f t="shared" si="38"/>
        <v>10218</v>
      </c>
      <c r="DU31" s="3">
        <f t="shared" si="39"/>
        <v>2106.324643900597</v>
      </c>
      <c r="DV31" s="3">
        <f t="shared" si="40"/>
        <v>2095.7930206810938</v>
      </c>
      <c r="DW31" s="3">
        <f t="shared" si="41"/>
        <v>2085.3140555776886</v>
      </c>
      <c r="DX31" s="3">
        <f t="shared" si="42"/>
        <v>2074.8874852998001</v>
      </c>
      <c r="DY31" s="3">
        <f t="shared" si="43"/>
        <v>2064.5130478733013</v>
      </c>
      <c r="DZ31" s="3">
        <f t="shared" si="44"/>
        <v>2054.1904826339346</v>
      </c>
      <c r="EA31" s="3">
        <f t="shared" si="45"/>
        <v>2043.9195302207652</v>
      </c>
      <c r="EB31" s="2">
        <f t="shared" si="46"/>
        <v>0.70347956038259984</v>
      </c>
      <c r="ED31" s="2" t="str">
        <f t="shared" si="47"/>
        <v xml:space="preserve"> </v>
      </c>
      <c r="EE31" s="58" t="str">
        <f t="shared" si="48"/>
        <v xml:space="preserve"> </v>
      </c>
      <c r="EF31" s="2">
        <f t="shared" si="49"/>
        <v>0.62537989993170884</v>
      </c>
      <c r="EG31" s="58">
        <f t="shared" si="50"/>
        <v>-4.9120148608280727E-2</v>
      </c>
      <c r="EI31" s="2" t="str">
        <f t="shared" si="51"/>
        <v xml:space="preserve"> </v>
      </c>
      <c r="EJ31" s="2">
        <f t="shared" si="52"/>
        <v>0.70347956038259984</v>
      </c>
      <c r="EK31" s="2"/>
      <c r="EL31" s="2">
        <f t="array" ref="EL31:EM31">LINEST($AB31:$AH31,$AB$6:$AH$6,TRUE,FALSE)</f>
        <v>-22.607142857142854</v>
      </c>
      <c r="EM31" s="2">
        <v>1550.1428571428571</v>
      </c>
      <c r="EN31" s="58">
        <f t="shared" si="53"/>
        <v>-1.5487375220199644E-2</v>
      </c>
      <c r="EO31" s="2">
        <f t="array" ref="EO31:EP31">LINEST($AH31:$AP31,$AH$6:$AP$6,TRUE,FALSE)</f>
        <v>-161</v>
      </c>
      <c r="EP31" s="2">
        <v>2940.2222222222222</v>
      </c>
      <c r="EQ31" s="58">
        <f t="shared" si="54"/>
        <v>-0.13769837498812126</v>
      </c>
      <c r="ES31" s="3">
        <f t="shared" si="55"/>
        <v>9113.4298469387886</v>
      </c>
      <c r="ET31" s="3">
        <f t="shared" si="92"/>
        <v>480.86224489795489</v>
      </c>
      <c r="EU31" s="3">
        <f t="shared" si="93"/>
        <v>21222.246173469426</v>
      </c>
      <c r="EV31" s="3">
        <f t="shared" si="94"/>
        <v>10667.938775510191</v>
      </c>
      <c r="EW31" s="3">
        <f t="shared" si="95"/>
        <v>586920.15433673479</v>
      </c>
      <c r="EX31" s="3">
        <f t="shared" si="96"/>
        <v>31152.25</v>
      </c>
      <c r="EY31" s="3">
        <f t="shared" si="97"/>
        <v>71346.225765306139</v>
      </c>
      <c r="EZ31" s="3">
        <f t="shared" si="56"/>
        <v>37722.271604938251</v>
      </c>
      <c r="FA31" s="3">
        <f t="shared" si="98"/>
        <v>14938.27160493826</v>
      </c>
      <c r="FB31" s="29">
        <f t="shared" si="99"/>
        <v>28824.49382716051</v>
      </c>
      <c r="FC31" s="3">
        <f t="shared" si="100"/>
        <v>83971.160493827192</v>
      </c>
      <c r="FD31" s="3">
        <f t="shared" si="101"/>
        <v>62889.493827160521</v>
      </c>
      <c r="FE31" s="3">
        <f t="shared" si="88"/>
        <v>78836.160493827192</v>
      </c>
      <c r="FF31" s="3">
        <f t="shared" si="89"/>
        <v>22.827160493827645</v>
      </c>
      <c r="FG31" s="29">
        <f t="shared" si="103"/>
        <v>275858.38271604932</v>
      </c>
      <c r="FH31" s="3"/>
      <c r="FI31" s="3"/>
      <c r="FQ31" s="4">
        <f>SQRT(AVERAGE(ES31:FG31))/AVERAGE(AB31:AP31)</f>
        <v>0.23265577105760013</v>
      </c>
      <c r="FR31" s="160">
        <v>2.5000000000000001E-2</v>
      </c>
      <c r="FS31" s="161">
        <f t="shared" si="21"/>
        <v>0.10745488876702132</v>
      </c>
      <c r="FV31" s="4">
        <f t="shared" si="58"/>
        <v>0.22136707454170082</v>
      </c>
      <c r="FW31" s="161">
        <f t="shared" si="59"/>
        <v>0.11293459089052801</v>
      </c>
    </row>
    <row r="32" spans="1:184" x14ac:dyDescent="0.3">
      <c r="A32">
        <f t="shared" si="22"/>
        <v>26</v>
      </c>
      <c r="B32" s="6">
        <v>57204</v>
      </c>
      <c r="C32" s="6" t="s">
        <v>118</v>
      </c>
      <c r="D32" s="6">
        <v>2010</v>
      </c>
      <c r="E32" s="6">
        <v>2009</v>
      </c>
      <c r="F32" s="6" t="s">
        <v>252</v>
      </c>
      <c r="G32" s="17" t="s">
        <v>636</v>
      </c>
      <c r="H32" s="17" t="s">
        <v>644</v>
      </c>
      <c r="I32" s="6" t="s">
        <v>35</v>
      </c>
      <c r="J32" s="17">
        <v>20</v>
      </c>
      <c r="K32" s="6" t="s">
        <v>52</v>
      </c>
      <c r="L32" s="12">
        <v>40.86063</v>
      </c>
      <c r="M32" s="12">
        <v>-74.822940000000003</v>
      </c>
      <c r="N32" s="14">
        <v>2.2000000000000002</v>
      </c>
      <c r="O32" s="6">
        <v>2</v>
      </c>
      <c r="P32" s="94">
        <f>365.25*4.4</f>
        <v>1607.1000000000001</v>
      </c>
      <c r="Q32" s="15" t="s">
        <v>557</v>
      </c>
      <c r="R32" s="14">
        <v>10.7</v>
      </c>
      <c r="S32" s="3">
        <f t="shared" si="23"/>
        <v>34.094000000000001</v>
      </c>
      <c r="T32" s="128" t="str">
        <f t="shared" si="24"/>
        <v>C</v>
      </c>
      <c r="U32" s="154">
        <v>1419</v>
      </c>
      <c r="V32" s="154">
        <v>698</v>
      </c>
      <c r="W32" s="156">
        <v>0.49399999999999999</v>
      </c>
      <c r="X32" s="1">
        <f t="shared" si="63"/>
        <v>0.49189570119802678</v>
      </c>
      <c r="Y32" s="59">
        <f t="shared" si="25"/>
        <v>0</v>
      </c>
      <c r="Z32" s="1">
        <f t="shared" si="26"/>
        <v>1</v>
      </c>
      <c r="AA32" s="3">
        <f t="shared" si="64"/>
        <v>2911.7168918364941</v>
      </c>
      <c r="AB32" s="6">
        <v>2744</v>
      </c>
      <c r="AC32" s="6">
        <v>2412</v>
      </c>
      <c r="AD32" s="6">
        <v>2740</v>
      </c>
      <c r="AE32" s="6">
        <v>2656</v>
      </c>
      <c r="AF32" s="93">
        <v>2510</v>
      </c>
      <c r="AG32" s="6">
        <v>2471</v>
      </c>
      <c r="AH32" s="6">
        <v>2628</v>
      </c>
      <c r="AI32" s="6">
        <v>2408</v>
      </c>
      <c r="AJ32" s="6">
        <v>2167</v>
      </c>
      <c r="AK32" s="93">
        <v>2391</v>
      </c>
      <c r="AL32" s="6">
        <v>2382</v>
      </c>
      <c r="AM32" s="6">
        <v>2241</v>
      </c>
      <c r="AN32" s="6">
        <v>2395</v>
      </c>
      <c r="AO32" s="6">
        <v>2285</v>
      </c>
      <c r="AP32" s="93">
        <v>1761</v>
      </c>
      <c r="AU32" s="23"/>
      <c r="AY32" s="32">
        <v>15</v>
      </c>
      <c r="AZ32" s="1">
        <f t="shared" si="27"/>
        <v>0.68240742312050862</v>
      </c>
      <c r="BA32" s="24">
        <f t="shared" si="8"/>
        <v>26</v>
      </c>
      <c r="BB32" s="2">
        <f t="shared" si="75"/>
        <v>0.94239931350925032</v>
      </c>
      <c r="BC32" s="2">
        <f t="shared" si="76"/>
        <v>0.83253993882836619</v>
      </c>
      <c r="BD32" s="2">
        <f t="shared" si="77"/>
        <v>0.95050685950053893</v>
      </c>
      <c r="BE32" s="2">
        <f t="shared" si="78"/>
        <v>0.92599721924712286</v>
      </c>
      <c r="BF32" s="20">
        <f t="shared" si="79"/>
        <v>0.87949272730757655</v>
      </c>
      <c r="BG32" s="2">
        <f t="shared" si="80"/>
        <v>0.87017819342810521</v>
      </c>
      <c r="BH32" s="2">
        <f t="shared" si="81"/>
        <v>0.93011731759935268</v>
      </c>
      <c r="BI32" s="2">
        <f t="shared" si="82"/>
        <v>0.85653629669628262</v>
      </c>
      <c r="BJ32" s="2">
        <f t="shared" si="83"/>
        <v>0.77468495089268785</v>
      </c>
      <c r="BK32" s="20">
        <f t="shared" si="84"/>
        <v>0.8590584290091049</v>
      </c>
      <c r="BL32" s="2">
        <f t="shared" si="85"/>
        <v>0.86012546122485611</v>
      </c>
      <c r="BM32" s="2">
        <f t="shared" si="86"/>
        <v>0.8132776217801444</v>
      </c>
      <c r="BN32" s="2">
        <f t="shared" si="90"/>
        <v>0.87353317419917342</v>
      </c>
      <c r="BO32" s="2">
        <f t="shared" si="91"/>
        <v>0.83760065590797883</v>
      </c>
      <c r="BP32" s="20">
        <f t="shared" si="102"/>
        <v>0.64876450306409528</v>
      </c>
      <c r="BU32" s="23"/>
      <c r="BY32" s="25">
        <f t="shared" si="10"/>
        <v>26</v>
      </c>
      <c r="BZ32" s="3">
        <f t="shared" si="11"/>
        <v>42179.731396961994</v>
      </c>
      <c r="CA32" s="3">
        <f t="shared" si="30"/>
        <v>36191</v>
      </c>
      <c r="CB32" s="2">
        <f t="shared" si="31"/>
        <v>0.85801874031390035</v>
      </c>
      <c r="CC32" s="85">
        <f t="shared" si="32"/>
        <v>54</v>
      </c>
      <c r="CD32" s="3" t="str">
        <f t="shared" si="12"/>
        <v>Fixed</v>
      </c>
      <c r="CE32" s="58">
        <f t="shared" si="33"/>
        <v>-1.7654519841222294E-2</v>
      </c>
      <c r="CF32" s="2">
        <f t="array" ref="CF32:CG32">LINEST(AB32:AP32,AB$6:AP$6,TRUE,FALSE)</f>
        <v>-42.974999999999994</v>
      </c>
      <c r="CG32" s="2">
        <v>2756.5333333333328</v>
      </c>
      <c r="CH32" s="1">
        <f t="shared" si="34"/>
        <v>1.029422312011929</v>
      </c>
      <c r="CI32" s="3"/>
      <c r="CJ32" s="3"/>
      <c r="CK32" s="3"/>
      <c r="CL32" s="3"/>
      <c r="CM32" s="3"/>
      <c r="CN32" s="3"/>
      <c r="CO32" s="3"/>
      <c r="CP32" s="3"/>
      <c r="CQ32" s="3"/>
      <c r="CR32" s="3"/>
      <c r="CS32" s="3"/>
      <c r="CT32" s="3"/>
      <c r="CU32" s="3"/>
      <c r="CV32" s="3"/>
      <c r="DC32" s="2">
        <f t="shared" si="36"/>
        <v>1.1000000000000001</v>
      </c>
      <c r="DD32">
        <f t="shared" si="16"/>
        <v>1</v>
      </c>
      <c r="DE32">
        <f t="shared" si="37"/>
        <v>16</v>
      </c>
      <c r="DT32">
        <f t="shared" si="38"/>
        <v>18161</v>
      </c>
      <c r="DU32" s="3">
        <f t="shared" si="39"/>
        <v>2911.7168918364941</v>
      </c>
      <c r="DV32" s="3">
        <f t="shared" si="40"/>
        <v>2897.1583073773118</v>
      </c>
      <c r="DW32" s="3">
        <f t="shared" si="41"/>
        <v>2882.6725158404251</v>
      </c>
      <c r="DX32" s="3">
        <f t="shared" si="42"/>
        <v>2868.2591532612232</v>
      </c>
      <c r="DY32" s="3">
        <f t="shared" si="43"/>
        <v>2853.9178574949169</v>
      </c>
      <c r="DZ32" s="3">
        <f t="shared" si="44"/>
        <v>2839.6482682074425</v>
      </c>
      <c r="EA32" s="3">
        <f t="shared" si="45"/>
        <v>2825.4500268664056</v>
      </c>
      <c r="EB32" s="2">
        <f t="shared" si="46"/>
        <v>0.90448528686718987</v>
      </c>
      <c r="ED32" s="2" t="str">
        <f t="shared" si="47"/>
        <v xml:space="preserve"> </v>
      </c>
      <c r="EE32" s="58" t="str">
        <f t="shared" si="48"/>
        <v xml:space="preserve"> </v>
      </c>
      <c r="EF32" s="2">
        <f t="shared" si="49"/>
        <v>0.85801874031390035</v>
      </c>
      <c r="EG32" s="58">
        <f t="shared" si="50"/>
        <v>-1.7654519841222294E-2</v>
      </c>
      <c r="EI32" s="2" t="str">
        <f t="shared" si="51"/>
        <v xml:space="preserve"> </v>
      </c>
      <c r="EJ32" s="2">
        <f t="shared" si="52"/>
        <v>0.90448528686718987</v>
      </c>
      <c r="EK32" s="2"/>
      <c r="EL32" s="2">
        <f t="array" ref="EL32:EM32">LINEST($AB32:$AH32,$AB$6:$AH$6,TRUE,FALSE)</f>
        <v>-16.428571428571434</v>
      </c>
      <c r="EM32" s="2">
        <v>2660.1428571428573</v>
      </c>
      <c r="EN32" s="58">
        <f t="shared" si="53"/>
        <v>-6.3322504267386177E-3</v>
      </c>
      <c r="EO32" s="2">
        <f t="array" ref="EO32:EP32">LINEST($AH32:$AP32,$AH$6:$AP$6,TRUE,FALSE)</f>
        <v>-58.849999999999994</v>
      </c>
      <c r="EP32" s="2">
        <v>2942.6833333333334</v>
      </c>
      <c r="EQ32" s="58">
        <f t="shared" si="54"/>
        <v>-2.5638977635782743E-2</v>
      </c>
      <c r="ES32" s="3">
        <f t="shared" si="55"/>
        <v>10057.224489795904</v>
      </c>
      <c r="ET32" s="3">
        <f t="shared" si="92"/>
        <v>46347.938775510374</v>
      </c>
      <c r="EU32" s="3">
        <f t="shared" si="93"/>
        <v>16677.877551020341</v>
      </c>
      <c r="EV32" s="3">
        <f t="shared" si="94"/>
        <v>3791.0408163265147</v>
      </c>
      <c r="EW32" s="3">
        <f t="shared" si="95"/>
        <v>4624</v>
      </c>
      <c r="EX32" s="3">
        <f t="shared" si="96"/>
        <v>8203.1836734694461</v>
      </c>
      <c r="EY32" s="3">
        <f t="shared" si="97"/>
        <v>6865.3061224489475</v>
      </c>
      <c r="EZ32" s="3">
        <f t="shared" si="56"/>
        <v>4081.0802777777621</v>
      </c>
      <c r="FA32" s="3">
        <f t="shared" si="98"/>
        <v>60532.401111111096</v>
      </c>
      <c r="FB32" s="29">
        <f t="shared" si="99"/>
        <v>1355.4669444444401</v>
      </c>
      <c r="FC32" s="3">
        <f t="shared" si="100"/>
        <v>7511.1111111110849</v>
      </c>
      <c r="FD32" s="3">
        <f t="shared" si="101"/>
        <v>20.400277777775585</v>
      </c>
      <c r="FE32" s="3">
        <f t="shared" si="88"/>
        <v>47248.26777777783</v>
      </c>
      <c r="FF32" s="3">
        <f t="shared" si="89"/>
        <v>27627.980277777635</v>
      </c>
      <c r="FG32" s="29">
        <f t="shared" si="103"/>
        <v>89361.137777777811</v>
      </c>
      <c r="FH32" s="3"/>
      <c r="FI32" s="3"/>
      <c r="FQ32" s="4">
        <f>SQRT(AVERAGE(ES32:FG32))/AVERAGE(AB32:AP32)</f>
        <v>6.1875127029762167E-2</v>
      </c>
      <c r="FR32" s="160">
        <v>2.9000000000000001E-2</v>
      </c>
      <c r="FS32" s="161">
        <f t="shared" si="21"/>
        <v>0.46868590647177005</v>
      </c>
      <c r="FV32" s="4">
        <f t="shared" si="58"/>
        <v>4.5271268925330808E-2</v>
      </c>
      <c r="FW32" s="161">
        <f t="shared" si="59"/>
        <v>0.64058288376744654</v>
      </c>
    </row>
    <row r="33" spans="1:179" x14ac:dyDescent="0.3">
      <c r="A33">
        <f t="shared" si="22"/>
        <v>27</v>
      </c>
      <c r="B33" s="6">
        <v>57141</v>
      </c>
      <c r="C33" s="6" t="s">
        <v>121</v>
      </c>
      <c r="D33" s="6">
        <v>2010</v>
      </c>
      <c r="E33" s="6">
        <v>2009</v>
      </c>
      <c r="F33" s="6" t="s">
        <v>278</v>
      </c>
      <c r="G33" s="17" t="s">
        <v>636</v>
      </c>
      <c r="H33" s="17" t="s">
        <v>629</v>
      </c>
      <c r="I33" s="6" t="s">
        <v>36</v>
      </c>
      <c r="J33" s="17">
        <v>0</v>
      </c>
      <c r="K33" s="6" t="s">
        <v>51</v>
      </c>
      <c r="L33" s="12">
        <v>40.591000000000001</v>
      </c>
      <c r="M33" s="12">
        <v>-105.146</v>
      </c>
      <c r="N33" s="14">
        <v>2</v>
      </c>
      <c r="O33" s="6">
        <v>1.9</v>
      </c>
      <c r="P33" s="94">
        <f>365.25*6.4</f>
        <v>2337.6</v>
      </c>
      <c r="Q33" s="15" t="s">
        <v>514</v>
      </c>
      <c r="R33" s="14">
        <v>10.199999999999999</v>
      </c>
      <c r="S33" s="3">
        <f t="shared" si="23"/>
        <v>38.155199999999994</v>
      </c>
      <c r="T33" s="128" t="str">
        <f t="shared" si="24"/>
        <v>C</v>
      </c>
      <c r="U33" s="154">
        <v>1689</v>
      </c>
      <c r="V33" s="154">
        <v>562</v>
      </c>
      <c r="W33" s="156">
        <v>0.58299999999999996</v>
      </c>
      <c r="X33" s="1">
        <f t="shared" si="63"/>
        <v>0.33274126702190643</v>
      </c>
      <c r="Y33" s="59">
        <f t="shared" si="25"/>
        <v>0</v>
      </c>
      <c r="Z33" s="1">
        <f t="shared" si="26"/>
        <v>1</v>
      </c>
      <c r="AA33" s="3">
        <f t="shared" si="64"/>
        <v>3599.9737031602099</v>
      </c>
      <c r="AB33" s="6">
        <v>3460</v>
      </c>
      <c r="AC33" s="6">
        <v>3422</v>
      </c>
      <c r="AD33" s="6">
        <v>3520</v>
      </c>
      <c r="AE33" s="6">
        <v>3389</v>
      </c>
      <c r="AF33" s="93">
        <v>2930</v>
      </c>
      <c r="AG33" s="6">
        <v>2991</v>
      </c>
      <c r="AH33" s="6">
        <v>4610</v>
      </c>
      <c r="AI33" s="6">
        <v>3350</v>
      </c>
      <c r="AJ33" s="6">
        <v>3391</v>
      </c>
      <c r="AK33" s="93">
        <v>3007</v>
      </c>
      <c r="AL33" s="6">
        <v>2998</v>
      </c>
      <c r="AM33" s="6">
        <v>3013</v>
      </c>
      <c r="AN33" s="6">
        <v>2290</v>
      </c>
      <c r="AO33" s="6">
        <v>2514</v>
      </c>
      <c r="AP33" s="93">
        <v>1757</v>
      </c>
      <c r="AU33" s="23"/>
      <c r="AY33" s="32">
        <v>15</v>
      </c>
      <c r="AZ33" s="1">
        <f t="shared" si="27"/>
        <v>0.66509810631987232</v>
      </c>
      <c r="BA33" s="24">
        <f t="shared" si="8"/>
        <v>27</v>
      </c>
      <c r="BB33" s="2">
        <f t="shared" si="75"/>
        <v>0.96111813176931404</v>
      </c>
      <c r="BC33" s="2">
        <f t="shared" si="76"/>
        <v>0.95533919508368215</v>
      </c>
      <c r="BD33" s="2">
        <f t="shared" si="77"/>
        <v>0.98763659521880631</v>
      </c>
      <c r="BE33" s="2">
        <f t="shared" si="78"/>
        <v>0.95565909696109363</v>
      </c>
      <c r="BF33" s="20">
        <f t="shared" si="79"/>
        <v>0.83037825720399105</v>
      </c>
      <c r="BG33" s="2">
        <f t="shared" si="80"/>
        <v>0.85192562378346937</v>
      </c>
      <c r="BH33" s="2">
        <f t="shared" si="81"/>
        <v>1.1499999999999999</v>
      </c>
      <c r="BI33" s="2">
        <f t="shared" si="82"/>
        <v>0.9637933234143049</v>
      </c>
      <c r="BJ33" s="2">
        <f t="shared" si="83"/>
        <v>0.9804914601958773</v>
      </c>
      <c r="BK33" s="20">
        <f t="shared" si="84"/>
        <v>0.87382883773304831</v>
      </c>
      <c r="BL33" s="2">
        <f t="shared" si="85"/>
        <v>0.87559141083658365</v>
      </c>
      <c r="BM33" s="2">
        <f t="shared" si="86"/>
        <v>0.88439425977473307</v>
      </c>
      <c r="BN33" s="2">
        <f t="shared" si="90"/>
        <v>0.67555262368401536</v>
      </c>
      <c r="BO33" s="2">
        <f t="shared" si="91"/>
        <v>0.74535967871743625</v>
      </c>
      <c r="BP33" s="20">
        <f t="shared" si="102"/>
        <v>0.52353931771288242</v>
      </c>
      <c r="BU33" s="23"/>
      <c r="BY33" s="25">
        <f t="shared" si="10"/>
        <v>27</v>
      </c>
      <c r="BZ33" s="3">
        <f t="shared" si="11"/>
        <v>52149.961509359229</v>
      </c>
      <c r="CA33" s="3">
        <f t="shared" si="30"/>
        <v>46642</v>
      </c>
      <c r="CB33" s="2">
        <f t="shared" si="31"/>
        <v>0.89438225168448626</v>
      </c>
      <c r="CC33" s="85">
        <f t="shared" si="32"/>
        <v>41</v>
      </c>
      <c r="CD33" s="3" t="str">
        <f t="shared" si="12"/>
        <v>Tracker</v>
      </c>
      <c r="CE33" s="58">
        <f t="shared" si="33"/>
        <v>-2.943008214756836E-2</v>
      </c>
      <c r="CF33" s="2">
        <f t="array" ref="CF33:CG33">LINEST(AB33:AP33,AB$6:AP$6,TRUE,FALSE)</f>
        <v>-92.878571428571391</v>
      </c>
      <c r="CG33" s="2">
        <v>3852.4952380952377</v>
      </c>
      <c r="CH33" s="1">
        <f t="shared" si="34"/>
        <v>1.0131775120119291</v>
      </c>
      <c r="CI33" s="3"/>
      <c r="CJ33" s="3"/>
      <c r="CK33" s="3"/>
      <c r="CL33" s="3"/>
      <c r="CM33" s="3"/>
      <c r="CN33" s="3"/>
      <c r="CO33" s="3"/>
      <c r="CP33" s="3"/>
      <c r="CQ33" s="3"/>
      <c r="CR33" s="3"/>
      <c r="CS33" s="3"/>
      <c r="CT33" s="3"/>
      <c r="CU33" s="3"/>
      <c r="CV33" s="3"/>
      <c r="DC33" s="2">
        <f t="shared" si="36"/>
        <v>1.0526315789473684</v>
      </c>
      <c r="DD33">
        <f t="shared" si="16"/>
        <v>1</v>
      </c>
      <c r="DE33">
        <f t="shared" si="37"/>
        <v>16</v>
      </c>
      <c r="DT33">
        <f t="shared" si="38"/>
        <v>24322</v>
      </c>
      <c r="DU33" s="3">
        <f t="shared" si="39"/>
        <v>3599.9737031602099</v>
      </c>
      <c r="DV33" s="3">
        <f t="shared" si="40"/>
        <v>3581.9738346444087</v>
      </c>
      <c r="DW33" s="3">
        <f t="shared" si="41"/>
        <v>3564.0639654711867</v>
      </c>
      <c r="DX33" s="3">
        <f t="shared" si="42"/>
        <v>3546.2436456438309</v>
      </c>
      <c r="DY33" s="3">
        <f t="shared" si="43"/>
        <v>3528.5124274156124</v>
      </c>
      <c r="DZ33" s="3">
        <f t="shared" si="44"/>
        <v>3510.8698652785338</v>
      </c>
      <c r="EA33" s="3">
        <f t="shared" si="45"/>
        <v>4008.6956521739135</v>
      </c>
      <c r="EB33" s="2">
        <f t="shared" si="46"/>
        <v>0.95981374475155001</v>
      </c>
      <c r="ED33" s="2" t="str">
        <f t="shared" si="47"/>
        <v xml:space="preserve"> </v>
      </c>
      <c r="EE33" s="58" t="str">
        <f t="shared" si="48"/>
        <v xml:space="preserve"> </v>
      </c>
      <c r="EF33" s="2">
        <f t="shared" si="49"/>
        <v>0.89438225168448626</v>
      </c>
      <c r="EG33" s="58">
        <f t="shared" si="50"/>
        <v>-2.943008214756836E-2</v>
      </c>
      <c r="EI33" s="2" t="str">
        <f t="shared" si="51"/>
        <v xml:space="preserve"> </v>
      </c>
      <c r="EJ33" s="2">
        <f t="shared" si="52"/>
        <v>0.95981374475155001</v>
      </c>
      <c r="EK33" s="2"/>
      <c r="EL33" s="2">
        <f t="array" ref="EL33:EM33">LINEST($AB33:$AH33,$AB$6:$AH$6,TRUE,FALSE)</f>
        <v>71.357142857142833</v>
      </c>
      <c r="EM33" s="2">
        <v>3189.1428571428569</v>
      </c>
      <c r="EN33" s="58">
        <f t="shared" si="53"/>
        <v>2.0536962420853542E-2</v>
      </c>
      <c r="EO33" s="2">
        <f t="array" ref="EO33:EP33">LINEST($AH33:$AP33,$AH$6:$AP$6,TRUE,FALSE)</f>
        <v>-268.59999999999997</v>
      </c>
      <c r="EP33" s="2">
        <v>5946.8222222222212</v>
      </c>
      <c r="EQ33" s="58">
        <f t="shared" si="54"/>
        <v>-8.9766060155959906E-2</v>
      </c>
      <c r="ES33" s="3">
        <f t="shared" si="55"/>
        <v>39800.250000000182</v>
      </c>
      <c r="ET33" s="3">
        <f t="shared" si="92"/>
        <v>8125.7346938775863</v>
      </c>
      <c r="EU33" s="3">
        <f t="shared" si="93"/>
        <v>13638.903061224581</v>
      </c>
      <c r="EV33" s="3">
        <f t="shared" si="94"/>
        <v>7322.4693877550799</v>
      </c>
      <c r="EW33" s="3">
        <f t="shared" si="95"/>
        <v>379368.00510204042</v>
      </c>
      <c r="EX33" s="3">
        <f t="shared" si="96"/>
        <v>392233.7959183667</v>
      </c>
      <c r="EY33" s="3">
        <f t="shared" si="97"/>
        <v>848898.98469387798</v>
      </c>
      <c r="EZ33" s="3">
        <f t="shared" si="56"/>
        <v>200723.91160493757</v>
      </c>
      <c r="FA33" s="3">
        <f t="shared" si="98"/>
        <v>19160.711604938082</v>
      </c>
      <c r="FB33" s="29">
        <f t="shared" si="99"/>
        <v>64425.720493826855</v>
      </c>
      <c r="FC33" s="3">
        <f t="shared" si="100"/>
        <v>33.382716049388556</v>
      </c>
      <c r="FD33" s="3">
        <f t="shared" si="101"/>
        <v>83739.498271605436</v>
      </c>
      <c r="FE33" s="3">
        <f t="shared" si="88"/>
        <v>27232.333827160237</v>
      </c>
      <c r="FF33" s="3">
        <f t="shared" si="89"/>
        <v>107307.20049382761</v>
      </c>
      <c r="FG33" s="29">
        <f t="shared" si="103"/>
        <v>25863.787160493637</v>
      </c>
      <c r="FH33" s="3"/>
      <c r="FI33" s="3"/>
      <c r="FQ33" s="4">
        <f>SQRT(AVERAGE(ES33:FG33))/AVERAGE(AB33:AP33)</f>
        <v>0.12366219964144039</v>
      </c>
      <c r="FR33" s="160">
        <v>5.0999999999999997E-2</v>
      </c>
      <c r="FS33" s="161">
        <f t="shared" si="21"/>
        <v>0.41241381883772837</v>
      </c>
      <c r="FV33" s="4">
        <f t="shared" si="58"/>
        <v>0.14138862035340019</v>
      </c>
      <c r="FW33" s="161">
        <f t="shared" si="59"/>
        <v>0.36070795423652724</v>
      </c>
    </row>
    <row r="34" spans="1:179" x14ac:dyDescent="0.3">
      <c r="A34">
        <f t="shared" si="22"/>
        <v>28</v>
      </c>
      <c r="B34" s="6">
        <v>56939</v>
      </c>
      <c r="C34" s="6" t="s">
        <v>122</v>
      </c>
      <c r="D34" s="6">
        <v>2010</v>
      </c>
      <c r="E34" s="6">
        <v>2009</v>
      </c>
      <c r="F34" s="6" t="s">
        <v>252</v>
      </c>
      <c r="G34" s="17" t="s">
        <v>634</v>
      </c>
      <c r="H34" s="17" t="s">
        <v>640</v>
      </c>
      <c r="I34" s="6" t="s">
        <v>35</v>
      </c>
      <c r="J34" s="17">
        <v>24</v>
      </c>
      <c r="K34" s="6" t="s">
        <v>24</v>
      </c>
      <c r="L34" s="12">
        <v>33.591999999999999</v>
      </c>
      <c r="M34" s="12">
        <v>-114.744</v>
      </c>
      <c r="N34" s="14">
        <v>26.4</v>
      </c>
      <c r="O34" s="6">
        <v>21</v>
      </c>
      <c r="P34" s="94">
        <f>365.25*6.5</f>
        <v>2374.125</v>
      </c>
      <c r="Q34" s="15" t="s">
        <v>512</v>
      </c>
      <c r="R34" s="14">
        <v>19.8</v>
      </c>
      <c r="S34" s="3">
        <f t="shared" si="23"/>
        <v>48.895499999999998</v>
      </c>
      <c r="T34" s="128" t="str">
        <f t="shared" si="24"/>
        <v>M</v>
      </c>
      <c r="U34" s="154">
        <v>2138</v>
      </c>
      <c r="V34" s="154">
        <v>489</v>
      </c>
      <c r="W34" s="156">
        <v>0.69599999999999995</v>
      </c>
      <c r="X34" s="1">
        <f t="shared" si="63"/>
        <v>0.22871842843779233</v>
      </c>
      <c r="Y34" s="59">
        <f t="shared" si="25"/>
        <v>1.3781791898971052E-2</v>
      </c>
      <c r="Z34" s="1">
        <f t="shared" si="26"/>
        <v>0.83712228877014661</v>
      </c>
      <c r="AA34" s="3">
        <f t="shared" si="64"/>
        <v>49208.145383170231</v>
      </c>
      <c r="AB34" s="6">
        <v>49855</v>
      </c>
      <c r="AC34" s="6">
        <v>51275</v>
      </c>
      <c r="AD34" s="6">
        <v>47708</v>
      </c>
      <c r="AE34" s="6">
        <v>47624</v>
      </c>
      <c r="AF34" s="93">
        <v>46740</v>
      </c>
      <c r="AG34" s="6">
        <v>45908</v>
      </c>
      <c r="AH34" s="6">
        <v>45470</v>
      </c>
      <c r="AI34" s="6">
        <v>44008</v>
      </c>
      <c r="AJ34" s="6">
        <v>42291</v>
      </c>
      <c r="AK34" s="93">
        <v>43320</v>
      </c>
      <c r="AL34" s="6">
        <v>41561</v>
      </c>
      <c r="AM34" s="6">
        <v>41258</v>
      </c>
      <c r="AN34" s="6">
        <v>42013</v>
      </c>
      <c r="AO34" s="6">
        <v>40522</v>
      </c>
      <c r="AP34" s="93">
        <v>41770</v>
      </c>
      <c r="AU34" s="23"/>
      <c r="AY34" s="32">
        <v>15</v>
      </c>
      <c r="AZ34" s="1">
        <f t="shared" si="27"/>
        <v>0.71405680029910013</v>
      </c>
      <c r="BA34" s="24">
        <f t="shared" si="8"/>
        <v>28</v>
      </c>
      <c r="BB34" s="2">
        <f t="shared" si="75"/>
        <v>1.0131452752749142</v>
      </c>
      <c r="BC34" s="2">
        <f t="shared" si="76"/>
        <v>1.0472384788191529</v>
      </c>
      <c r="BD34" s="2">
        <f t="shared" si="77"/>
        <v>0.97928263153905348</v>
      </c>
      <c r="BE34" s="2">
        <f t="shared" si="78"/>
        <v>0.98247075160357589</v>
      </c>
      <c r="BF34" s="20">
        <f t="shared" si="79"/>
        <v>0.96907945847900556</v>
      </c>
      <c r="BG34" s="2">
        <f t="shared" si="80"/>
        <v>0.95661232520871764</v>
      </c>
      <c r="BH34" s="2">
        <f t="shared" si="81"/>
        <v>0.95224669192526179</v>
      </c>
      <c r="BI34" s="2">
        <f t="shared" si="82"/>
        <v>0.92626034103322674</v>
      </c>
      <c r="BJ34" s="2">
        <f t="shared" si="83"/>
        <v>0.89459468042439505</v>
      </c>
      <c r="BK34" s="20">
        <f t="shared" si="84"/>
        <v>0.92096626890772693</v>
      </c>
      <c r="BL34" s="2">
        <f t="shared" si="85"/>
        <v>0.8880106697400677</v>
      </c>
      <c r="BM34" s="2">
        <f t="shared" si="86"/>
        <v>0.88596647035702369</v>
      </c>
      <c r="BN34" s="2">
        <f t="shared" si="90"/>
        <v>0.90671276103016496</v>
      </c>
      <c r="BO34" s="2">
        <f t="shared" si="91"/>
        <v>0.87892906329338694</v>
      </c>
      <c r="BP34" s="20">
        <f t="shared" si="102"/>
        <v>0.91055115104084594</v>
      </c>
      <c r="BU34" s="23"/>
      <c r="BY34" s="25">
        <f t="shared" si="10"/>
        <v>28</v>
      </c>
      <c r="BZ34" s="3">
        <f t="shared" si="11"/>
        <v>712839.34252812969</v>
      </c>
      <c r="CA34" s="3">
        <f t="shared" si="30"/>
        <v>671323</v>
      </c>
      <c r="CB34" s="2">
        <f t="shared" si="31"/>
        <v>0.94175918744763809</v>
      </c>
      <c r="CC34" s="85">
        <f t="shared" si="32"/>
        <v>24</v>
      </c>
      <c r="CD34" s="3" t="str">
        <f t="shared" si="12"/>
        <v>Fixed</v>
      </c>
      <c r="CE34" s="58">
        <f t="shared" si="33"/>
        <v>-1.5750661397304334E-2</v>
      </c>
      <c r="CF34" s="2">
        <f t="array" ref="CF34:CG34">LINEST(AB34:AP34,AB$6:AP$6,TRUE,FALSE)</f>
        <v>-710.51428571428573</v>
      </c>
      <c r="CG34" s="2">
        <v>50438.980952380953</v>
      </c>
      <c r="CH34" s="1">
        <f t="shared" si="34"/>
        <v>0.98138519500745558</v>
      </c>
      <c r="CI34" s="3"/>
      <c r="CJ34" s="3"/>
      <c r="CK34" s="3"/>
      <c r="CL34" s="3"/>
      <c r="CM34" s="3"/>
      <c r="CN34" s="3"/>
      <c r="CO34" s="3"/>
      <c r="CP34" s="3"/>
      <c r="CQ34" s="3"/>
      <c r="CR34" s="3"/>
      <c r="CS34" s="3"/>
      <c r="CT34" s="3"/>
      <c r="CU34" s="3"/>
      <c r="CV34" s="3"/>
      <c r="DC34" s="2">
        <f t="shared" si="36"/>
        <v>1.2571428571428571</v>
      </c>
      <c r="DD34">
        <f t="shared" si="16"/>
        <v>1</v>
      </c>
      <c r="DE34">
        <f t="shared" si="37"/>
        <v>16</v>
      </c>
      <c r="DT34">
        <f t="shared" si="38"/>
        <v>334580</v>
      </c>
      <c r="DU34" s="3">
        <f t="shared" si="39"/>
        <v>49208.145383170231</v>
      </c>
      <c r="DV34" s="3">
        <f t="shared" si="40"/>
        <v>48962.104656254378</v>
      </c>
      <c r="DW34" s="3">
        <f t="shared" si="41"/>
        <v>48717.294132973111</v>
      </c>
      <c r="DX34" s="3">
        <f t="shared" si="42"/>
        <v>48473.707662308247</v>
      </c>
      <c r="DY34" s="3">
        <f t="shared" si="43"/>
        <v>48231.339123996702</v>
      </c>
      <c r="DZ34" s="3">
        <f t="shared" si="44"/>
        <v>47990.18242837672</v>
      </c>
      <c r="EA34" s="3">
        <f t="shared" si="45"/>
        <v>47750.231516234839</v>
      </c>
      <c r="EB34" s="2">
        <f t="shared" si="46"/>
        <v>0.98599309576541649</v>
      </c>
      <c r="ED34" s="2" t="str">
        <f t="shared" si="47"/>
        <v xml:space="preserve"> </v>
      </c>
      <c r="EE34" s="58" t="str">
        <f t="shared" si="48"/>
        <v xml:space="preserve"> </v>
      </c>
      <c r="EF34" s="2" t="str">
        <f t="shared" si="49"/>
        <v xml:space="preserve"> </v>
      </c>
      <c r="EG34" s="58" t="str">
        <f t="shared" si="50"/>
        <v xml:space="preserve"> </v>
      </c>
      <c r="EI34" s="2" t="str">
        <f t="shared" si="51"/>
        <v xml:space="preserve"> </v>
      </c>
      <c r="EJ34" s="2" t="str">
        <f t="shared" si="52"/>
        <v xml:space="preserve"> </v>
      </c>
      <c r="EK34" s="2"/>
      <c r="EL34" s="2">
        <f t="array" ref="EL34:EM34">LINEST($AB34:$AH34,$AB$6:$AH$6,TRUE,FALSE)</f>
        <v>-887.74999999999989</v>
      </c>
      <c r="EM34" s="2">
        <v>51348.142857142855</v>
      </c>
      <c r="EN34" s="58">
        <f t="shared" si="53"/>
        <v>-1.8573285910694001E-2</v>
      </c>
      <c r="EO34" s="2">
        <f t="array" ref="EO34:EP34">LINEST($AH34:$AP34,$AH$6:$AP$6,TRUE,FALSE)</f>
        <v>-464.6</v>
      </c>
      <c r="EP34" s="2">
        <v>47578.711111111108</v>
      </c>
      <c r="EQ34" s="58">
        <f t="shared" si="54"/>
        <v>-1.0939973260982751E-2</v>
      </c>
      <c r="ES34" s="3">
        <f t="shared" si="55"/>
        <v>366500.51147958933</v>
      </c>
      <c r="ET34" s="3">
        <f t="shared" si="92"/>
        <v>2898019.8418367417</v>
      </c>
      <c r="EU34" s="3">
        <f t="shared" si="93"/>
        <v>954319.6543367306</v>
      </c>
      <c r="EV34" s="3">
        <f t="shared" si="94"/>
        <v>29978.448979591118</v>
      </c>
      <c r="EW34" s="3">
        <f t="shared" si="95"/>
        <v>28693.940051019705</v>
      </c>
      <c r="EX34" s="3">
        <f t="shared" si="96"/>
        <v>12914.698979591365</v>
      </c>
      <c r="EY34" s="3">
        <f t="shared" si="97"/>
        <v>112968.01147959323</v>
      </c>
      <c r="EZ34" s="3">
        <f t="shared" si="56"/>
        <v>21341.963456791873</v>
      </c>
      <c r="FA34" s="3">
        <f t="shared" si="98"/>
        <v>1223924.2745678911</v>
      </c>
      <c r="FB34" s="29">
        <f t="shared" si="99"/>
        <v>149992.6834567925</v>
      </c>
      <c r="FC34" s="3">
        <f t="shared" si="100"/>
        <v>822850.56790123158</v>
      </c>
      <c r="FD34" s="3">
        <f t="shared" si="101"/>
        <v>555786.81679011241</v>
      </c>
      <c r="FE34" s="3">
        <f t="shared" si="88"/>
        <v>224760.27456790692</v>
      </c>
      <c r="FF34" s="3">
        <f t="shared" si="89"/>
        <v>305047.56345678511</v>
      </c>
      <c r="FG34" s="29">
        <f t="shared" si="103"/>
        <v>1346270.3056790195</v>
      </c>
      <c r="FH34" s="3"/>
      <c r="FI34" s="3"/>
      <c r="FQ34" s="4">
        <f>SQRT(AVERAGE(ES34:FG34))/AVERAGE(AB34:AP34)</f>
        <v>1.7358781121541794E-2</v>
      </c>
      <c r="FR34" s="160">
        <v>2.1999999999999999E-2</v>
      </c>
      <c r="FS34" s="161">
        <f t="shared" si="21"/>
        <v>1.2673700904436529</v>
      </c>
      <c r="FV34" s="4">
        <f t="shared" si="58"/>
        <v>1.6593686122240416E-2</v>
      </c>
      <c r="FW34" s="161">
        <f t="shared" si="59"/>
        <v>1.3258054803455355</v>
      </c>
    </row>
    <row r="35" spans="1:179" x14ac:dyDescent="0.3">
      <c r="A35">
        <f t="shared" si="22"/>
        <v>29</v>
      </c>
      <c r="B35" s="6">
        <v>56996</v>
      </c>
      <c r="C35" s="6" t="s">
        <v>127</v>
      </c>
      <c r="D35" s="6">
        <v>2010</v>
      </c>
      <c r="E35" s="6">
        <v>2009</v>
      </c>
      <c r="F35" s="6" t="s">
        <v>248</v>
      </c>
      <c r="G35" s="17" t="s">
        <v>634</v>
      </c>
      <c r="H35" s="17" t="s">
        <v>644</v>
      </c>
      <c r="I35" s="6" t="s">
        <v>35</v>
      </c>
      <c r="J35" s="17">
        <v>2</v>
      </c>
      <c r="K35" s="6" t="s">
        <v>24</v>
      </c>
      <c r="L35" s="12">
        <v>33.99</v>
      </c>
      <c r="M35" s="12">
        <v>-117.7</v>
      </c>
      <c r="N35" s="14">
        <v>1.2</v>
      </c>
      <c r="O35" s="6">
        <v>1</v>
      </c>
      <c r="P35" s="94">
        <f>365.25*5.15</f>
        <v>1881.0375000000001</v>
      </c>
      <c r="Q35" s="15" t="s">
        <v>660</v>
      </c>
      <c r="R35" s="14">
        <v>17.7</v>
      </c>
      <c r="S35" s="3">
        <f t="shared" si="23"/>
        <v>43.130250000000004</v>
      </c>
      <c r="T35" s="128" t="str">
        <f t="shared" si="24"/>
        <v>M</v>
      </c>
      <c r="U35" s="154">
        <v>1849</v>
      </c>
      <c r="V35" s="154">
        <v>627</v>
      </c>
      <c r="W35" s="156">
        <v>0.59599999999999997</v>
      </c>
      <c r="X35" s="1">
        <f t="shared" si="63"/>
        <v>0.33910221741481883</v>
      </c>
      <c r="Y35" s="59">
        <f t="shared" si="25"/>
        <v>0</v>
      </c>
      <c r="Z35" s="1">
        <f t="shared" si="26"/>
        <v>1</v>
      </c>
      <c r="AA35" s="3">
        <f t="shared" si="64"/>
        <v>1798.2086230761834</v>
      </c>
      <c r="AB35" s="6">
        <v>1421</v>
      </c>
      <c r="AC35" s="6">
        <v>1312</v>
      </c>
      <c r="AD35" s="6">
        <v>887</v>
      </c>
      <c r="AE35" s="6">
        <v>951</v>
      </c>
      <c r="AF35" s="93">
        <v>791</v>
      </c>
      <c r="AG35" s="6">
        <v>703</v>
      </c>
      <c r="AH35" s="6">
        <v>899</v>
      </c>
      <c r="AI35" s="6">
        <v>580</v>
      </c>
      <c r="AJ35" s="6">
        <v>365</v>
      </c>
      <c r="AK35" s="93">
        <v>661</v>
      </c>
      <c r="AL35" s="6">
        <v>722</v>
      </c>
      <c r="AM35" s="6">
        <v>1190</v>
      </c>
      <c r="AN35" s="6">
        <v>710</v>
      </c>
      <c r="AO35" s="6">
        <v>0</v>
      </c>
      <c r="AP35" s="93">
        <v>0</v>
      </c>
      <c r="AU35" s="23"/>
      <c r="AY35" s="32">
        <v>15</v>
      </c>
      <c r="AZ35" s="1">
        <f t="shared" si="27"/>
        <v>0.330550442390318</v>
      </c>
      <c r="BA35" s="24">
        <f t="shared" si="8"/>
        <v>29</v>
      </c>
      <c r="BB35" s="2">
        <f t="shared" si="75"/>
        <v>0.79023088965567567</v>
      </c>
      <c r="BC35" s="2">
        <f t="shared" si="76"/>
        <v>0.73328141568380012</v>
      </c>
      <c r="BD35" s="2">
        <f t="shared" si="77"/>
        <v>0.49823861357973603</v>
      </c>
      <c r="BE35" s="2">
        <f t="shared" si="78"/>
        <v>0.53687254934687978</v>
      </c>
      <c r="BF35" s="20">
        <f t="shared" si="79"/>
        <v>0.44879094371265577</v>
      </c>
      <c r="BG35" s="2">
        <f t="shared" si="80"/>
        <v>0.40086657488453264</v>
      </c>
      <c r="BH35" s="2">
        <f t="shared" si="81"/>
        <v>0.51520626006446857</v>
      </c>
      <c r="BI35" s="2">
        <f t="shared" si="82"/>
        <v>0.33406144273915944</v>
      </c>
      <c r="BJ35" s="2">
        <f t="shared" si="83"/>
        <v>0.21128474545103654</v>
      </c>
      <c r="BK35" s="20">
        <f t="shared" si="84"/>
        <v>0.38455074480108808</v>
      </c>
      <c r="BL35" s="2">
        <f t="shared" si="85"/>
        <v>0.4221495339730203</v>
      </c>
      <c r="BM35" s="2">
        <f t="shared" si="86"/>
        <v>0.69928304323263712</v>
      </c>
      <c r="BN35" s="2">
        <f t="shared" si="90"/>
        <v>0.4193158740721864</v>
      </c>
      <c r="BO35" s="2">
        <f t="shared" si="91"/>
        <v>0</v>
      </c>
      <c r="BP35" s="23">
        <f t="shared" si="102"/>
        <v>0</v>
      </c>
      <c r="BU35" s="23"/>
      <c r="BY35" s="25">
        <f t="shared" si="10"/>
        <v>29</v>
      </c>
      <c r="BZ35" s="3">
        <f t="shared" si="11"/>
        <v>26049.220969836475</v>
      </c>
      <c r="CA35" s="3">
        <f t="shared" si="30"/>
        <v>11192</v>
      </c>
      <c r="CB35" s="2">
        <f t="shared" si="31"/>
        <v>0.42964816540808276</v>
      </c>
      <c r="CC35" s="85">
        <f t="shared" si="32"/>
        <v>98</v>
      </c>
      <c r="CD35" s="3" t="str">
        <f t="shared" si="12"/>
        <v>Fixed</v>
      </c>
      <c r="CE35" s="58">
        <f t="shared" si="33"/>
        <v>-8.5117661391527627E-2</v>
      </c>
      <c r="CF35" s="2">
        <f t="array" ref="CF35:CG35">LINEST(AB35:AP35,AB$6:AP$6,TRUE,FALSE)</f>
        <v>-66.332142857142841</v>
      </c>
      <c r="CG35" s="2">
        <v>1276.7904761904761</v>
      </c>
      <c r="CH35" s="1">
        <f t="shared" si="34"/>
        <v>0.99579832000745561</v>
      </c>
      <c r="CI35" s="3"/>
      <c r="CJ35" s="3"/>
      <c r="CK35" s="3"/>
      <c r="CL35" s="3"/>
      <c r="CM35" s="3"/>
      <c r="CN35" s="3"/>
      <c r="CO35" s="3"/>
      <c r="CP35" s="3"/>
      <c r="CQ35" s="3"/>
      <c r="CR35" s="3"/>
      <c r="CS35" s="3"/>
      <c r="CT35" s="3"/>
      <c r="CU35" s="3"/>
      <c r="CV35" s="3"/>
      <c r="DC35" s="2">
        <f t="shared" si="36"/>
        <v>1.2</v>
      </c>
      <c r="DD35">
        <f t="shared" si="16"/>
        <v>1</v>
      </c>
      <c r="DE35">
        <f t="shared" si="37"/>
        <v>16</v>
      </c>
      <c r="DT35">
        <f t="shared" si="38"/>
        <v>6964</v>
      </c>
      <c r="DU35" s="3">
        <f t="shared" si="39"/>
        <v>1798.2086230761834</v>
      </c>
      <c r="DV35" s="3">
        <f t="shared" si="40"/>
        <v>1789.2175799608024</v>
      </c>
      <c r="DW35" s="3">
        <f t="shared" si="41"/>
        <v>1780.2714920609985</v>
      </c>
      <c r="DX35" s="3">
        <f t="shared" si="42"/>
        <v>1771.3701346006937</v>
      </c>
      <c r="DY35" s="3">
        <f t="shared" si="43"/>
        <v>1762.5132839276901</v>
      </c>
      <c r="DZ35" s="3">
        <f t="shared" si="44"/>
        <v>1753.7007175080516</v>
      </c>
      <c r="EA35" s="3">
        <f t="shared" si="45"/>
        <v>1744.9322139205117</v>
      </c>
      <c r="EB35" s="2">
        <f t="shared" si="46"/>
        <v>0.56160320900082894</v>
      </c>
      <c r="ED35" s="2" t="str">
        <f t="shared" si="47"/>
        <v xml:space="preserve"> </v>
      </c>
      <c r="EE35" s="58" t="str">
        <f t="shared" si="48"/>
        <v xml:space="preserve"> </v>
      </c>
      <c r="EF35" s="2" t="str">
        <f t="shared" si="49"/>
        <v xml:space="preserve"> </v>
      </c>
      <c r="EG35" s="58" t="str">
        <f t="shared" si="50"/>
        <v xml:space="preserve"> </v>
      </c>
      <c r="EI35" s="2" t="str">
        <f t="shared" si="51"/>
        <v xml:space="preserve"> </v>
      </c>
      <c r="EJ35" s="2" t="str">
        <f t="shared" si="52"/>
        <v xml:space="preserve"> </v>
      </c>
      <c r="EK35" s="2"/>
      <c r="EL35" s="2">
        <f t="array" ref="EL35:EM35">LINEST($AB35:$AH35,$AB$6:$AH$6,TRUE,FALSE)</f>
        <v>-102.85714285714285</v>
      </c>
      <c r="EM35" s="2">
        <v>1406.2857142857142</v>
      </c>
      <c r="EN35" s="58">
        <f t="shared" si="53"/>
        <v>-0.10338885697874783</v>
      </c>
      <c r="EO35" s="2">
        <f t="array" ref="EO35:EP35">LINEST($AH35:$AP35,$AH$6:$AP$6,TRUE,FALSE)</f>
        <v>-68.616666666666674</v>
      </c>
      <c r="EP35" s="2">
        <v>1324.45</v>
      </c>
      <c r="EQ35" s="58">
        <f t="shared" si="54"/>
        <v>-0.12045055588063197</v>
      </c>
      <c r="ES35" s="3">
        <f t="shared" si="55"/>
        <v>13823.040816326553</v>
      </c>
      <c r="ET35" s="3">
        <f t="shared" si="92"/>
        <v>12416.326530612274</v>
      </c>
      <c r="EU35" s="3">
        <f t="shared" si="93"/>
        <v>44400.510204081656</v>
      </c>
      <c r="EV35" s="3">
        <f t="shared" si="94"/>
        <v>1923.4489795918396</v>
      </c>
      <c r="EW35" s="3">
        <f t="shared" si="95"/>
        <v>10201</v>
      </c>
      <c r="EX35" s="3">
        <f t="shared" si="96"/>
        <v>7420.5918367346885</v>
      </c>
      <c r="EY35" s="3">
        <f t="shared" si="97"/>
        <v>45247.367346938758</v>
      </c>
      <c r="EZ35" s="3">
        <f t="shared" si="56"/>
        <v>38226.76694444444</v>
      </c>
      <c r="FA35" s="3">
        <f t="shared" si="98"/>
        <v>116895.60999999999</v>
      </c>
      <c r="FB35" s="29">
        <f t="shared" si="99"/>
        <v>516.04694444444578</v>
      </c>
      <c r="FC35" s="3">
        <f t="shared" si="100"/>
        <v>23205.444444444456</v>
      </c>
      <c r="FD35" s="3">
        <f t="shared" si="101"/>
        <v>474652.10250000004</v>
      </c>
      <c r="FE35" s="3">
        <f t="shared" si="88"/>
        <v>77043.254444444479</v>
      </c>
      <c r="FF35" s="3">
        <f t="shared" si="89"/>
        <v>132362.56694444441</v>
      </c>
      <c r="FG35" s="29">
        <f t="shared" si="103"/>
        <v>87143.040000000023</v>
      </c>
      <c r="FH35" s="3"/>
      <c r="FI35" s="3"/>
      <c r="FQ35" s="4">
        <f>SQRT(AVERAGE(ES35:FG35))/AVERAGE(AB35:AP35)</f>
        <v>0.36053569149362302</v>
      </c>
      <c r="FR35" s="160">
        <v>2.4E-2</v>
      </c>
      <c r="FS35" s="161">
        <f t="shared" si="21"/>
        <v>6.6567611934821441E-2</v>
      </c>
      <c r="FV35" s="4">
        <f t="shared" si="58"/>
        <v>0.13981422562607537</v>
      </c>
      <c r="FW35" s="161">
        <f t="shared" si="59"/>
        <v>0.17165635251012681</v>
      </c>
    </row>
    <row r="36" spans="1:179" x14ac:dyDescent="0.3">
      <c r="A36">
        <f t="shared" si="22"/>
        <v>30</v>
      </c>
      <c r="B36" s="6">
        <v>57010</v>
      </c>
      <c r="C36" s="6" t="s">
        <v>128</v>
      </c>
      <c r="D36" s="6">
        <v>2009</v>
      </c>
      <c r="E36" s="6">
        <v>2009</v>
      </c>
      <c r="F36" s="6" t="s">
        <v>252</v>
      </c>
      <c r="G36" s="17" t="s">
        <v>636</v>
      </c>
      <c r="H36" s="17" t="s">
        <v>625</v>
      </c>
      <c r="I36" s="6" t="s">
        <v>36</v>
      </c>
      <c r="J36" s="17">
        <v>0</v>
      </c>
      <c r="K36" s="6" t="s">
        <v>24</v>
      </c>
      <c r="L36" s="12">
        <v>38.231999999999999</v>
      </c>
      <c r="M36" s="12">
        <v>-122.093</v>
      </c>
      <c r="N36" s="14">
        <v>1.2</v>
      </c>
      <c r="O36" s="6">
        <v>1</v>
      </c>
      <c r="P36" s="94">
        <f>365.25*6.8</f>
        <v>2483.6999999999998</v>
      </c>
      <c r="Q36" s="15" t="s">
        <v>507</v>
      </c>
      <c r="R36" s="14">
        <v>16</v>
      </c>
      <c r="S36" s="3">
        <f t="shared" si="23"/>
        <v>44.986899999999999</v>
      </c>
      <c r="T36" s="128" t="str">
        <f t="shared" si="24"/>
        <v>M</v>
      </c>
      <c r="U36" s="154">
        <v>1793</v>
      </c>
      <c r="V36" s="154">
        <v>572</v>
      </c>
      <c r="W36" s="156">
        <v>0.60799999999999998</v>
      </c>
      <c r="X36" s="1">
        <f t="shared" si="63"/>
        <v>0.31901840490797545</v>
      </c>
      <c r="Y36" s="59">
        <f t="shared" si="25"/>
        <v>2.8208593371779112E-2</v>
      </c>
      <c r="Z36" s="1">
        <f t="shared" si="26"/>
        <v>0.69496704313180035</v>
      </c>
      <c r="AA36" s="3">
        <f t="shared" si="64"/>
        <v>2233.0843610427132</v>
      </c>
      <c r="AB36" s="6">
        <v>2207</v>
      </c>
      <c r="AC36" s="6">
        <v>2073</v>
      </c>
      <c r="AD36" s="6">
        <v>2176</v>
      </c>
      <c r="AE36" s="6">
        <v>2143</v>
      </c>
      <c r="AF36" s="93">
        <v>2201</v>
      </c>
      <c r="AG36" s="6">
        <v>2091</v>
      </c>
      <c r="AH36" s="6">
        <v>2055</v>
      </c>
      <c r="AI36" s="6">
        <v>2642</v>
      </c>
      <c r="AJ36" s="6">
        <v>1628</v>
      </c>
      <c r="AK36" s="93">
        <v>1699</v>
      </c>
      <c r="AL36" s="6">
        <v>1582</v>
      </c>
      <c r="AM36" s="6">
        <v>1380</v>
      </c>
      <c r="AN36" s="6">
        <v>1700</v>
      </c>
      <c r="AO36" s="6">
        <v>1665</v>
      </c>
      <c r="AP36" s="93">
        <v>747</v>
      </c>
      <c r="AQ36" s="6">
        <v>1187</v>
      </c>
      <c r="AU36" s="23"/>
      <c r="AY36" s="32">
        <v>16</v>
      </c>
      <c r="AZ36" s="1">
        <f t="shared" si="27"/>
        <v>0.61182241548227789</v>
      </c>
      <c r="BA36" s="24">
        <f t="shared" si="8"/>
        <v>30</v>
      </c>
      <c r="BB36" s="2">
        <f t="shared" si="75"/>
        <v>0.98831913316945474</v>
      </c>
      <c r="BC36" s="2">
        <f t="shared" si="76"/>
        <v>0.93297733026723084</v>
      </c>
      <c r="BD36" s="2">
        <f t="shared" si="77"/>
        <v>0.98425493151308596</v>
      </c>
      <c r="BE36" s="2">
        <f t="shared" si="78"/>
        <v>0.97419926758449593</v>
      </c>
      <c r="BF36" s="20">
        <f t="shared" si="79"/>
        <v>1.0055938056842659</v>
      </c>
      <c r="BG36" s="2">
        <f t="shared" si="80"/>
        <v>0.96013764765937837</v>
      </c>
      <c r="BH36" s="2">
        <f t="shared" si="81"/>
        <v>0.94834904601439651</v>
      </c>
      <c r="BI36" s="2">
        <f t="shared" si="82"/>
        <v>1.1499999999999999</v>
      </c>
      <c r="BJ36" s="2">
        <f t="shared" si="83"/>
        <v>0.75886517742532233</v>
      </c>
      <c r="BK36" s="20">
        <f t="shared" si="84"/>
        <v>0.79594035067575142</v>
      </c>
      <c r="BL36" s="2">
        <f t="shared" si="85"/>
        <v>0.74485294913001665</v>
      </c>
      <c r="BM36" s="2">
        <f t="shared" si="86"/>
        <v>0.6530103550619234</v>
      </c>
      <c r="BN36" s="2">
        <f t="shared" si="90"/>
        <v>0.80847542320680921</v>
      </c>
      <c r="BO36" s="2">
        <f t="shared" si="91"/>
        <v>0.79580938790383526</v>
      </c>
      <c r="BP36" s="20">
        <f t="shared" si="102"/>
        <v>0.35883297132157171</v>
      </c>
      <c r="BQ36" s="2">
        <f>IF(ISNUMBER(AQ36),MIN(1.15,AQ36/($AA36*(1-$K$3)^(BQ$6-1))),"")</f>
        <v>0.57305905290670989</v>
      </c>
      <c r="BU36" s="23"/>
      <c r="BY36" s="25">
        <f t="shared" si="10"/>
        <v>30</v>
      </c>
      <c r="BZ36" s="3">
        <f t="shared" si="11"/>
        <v>34420.26035525449</v>
      </c>
      <c r="CA36" s="3">
        <f t="shared" si="30"/>
        <v>29176</v>
      </c>
      <c r="CB36" s="2">
        <f t="shared" si="31"/>
        <v>0.84764030541524016</v>
      </c>
      <c r="CC36" s="85">
        <f t="shared" si="32"/>
        <v>58</v>
      </c>
      <c r="CD36" s="3" t="str">
        <f t="shared" si="12"/>
        <v>Tracker</v>
      </c>
      <c r="CE36" s="58">
        <f t="shared" si="33"/>
        <v>-4.1477129138236028E-2</v>
      </c>
      <c r="CF36" s="2">
        <f t="array" ref="CF36:CG36">LINEST(AB36:AQ36,AB$6:AQ$6,TRUE,FALSE)</f>
        <v>-77.235294117647044</v>
      </c>
      <c r="CG36" s="2">
        <v>2480</v>
      </c>
      <c r="CH36" s="1">
        <f t="shared" si="34"/>
        <v>0.98585071201192898</v>
      </c>
      <c r="CI36" s="3"/>
      <c r="CJ36" s="3"/>
      <c r="CK36" s="3"/>
      <c r="CL36" s="3"/>
      <c r="CM36" s="3"/>
      <c r="CN36" s="3"/>
      <c r="CO36" s="3"/>
      <c r="CP36" s="3"/>
      <c r="CQ36" s="3"/>
      <c r="CR36" s="3"/>
      <c r="CS36" s="3"/>
      <c r="CT36" s="3"/>
      <c r="CU36" s="3"/>
      <c r="CV36" s="3"/>
      <c r="DC36" s="2">
        <f t="shared" si="36"/>
        <v>1.2</v>
      </c>
      <c r="DD36">
        <f t="shared" si="16"/>
        <v>0</v>
      </c>
      <c r="DE36">
        <f t="shared" si="37"/>
        <v>16</v>
      </c>
      <c r="DT36">
        <f t="shared" si="38"/>
        <v>14946</v>
      </c>
      <c r="DU36" s="3">
        <f t="shared" si="39"/>
        <v>2233.0843610427132</v>
      </c>
      <c r="DV36" s="3">
        <f t="shared" si="40"/>
        <v>2221.9189392374997</v>
      </c>
      <c r="DW36" s="3">
        <f t="shared" si="41"/>
        <v>2210.8093445413124</v>
      </c>
      <c r="DX36" s="3">
        <f t="shared" si="42"/>
        <v>2199.7552978186054</v>
      </c>
      <c r="DY36" s="3">
        <f t="shared" si="43"/>
        <v>2188.7565213295129</v>
      </c>
      <c r="DZ36" s="3">
        <f t="shared" si="44"/>
        <v>2177.8127387228651</v>
      </c>
      <c r="EA36" s="3">
        <f t="shared" si="45"/>
        <v>2166.9236750292507</v>
      </c>
      <c r="EB36" s="2">
        <f t="shared" si="46"/>
        <v>0.97057866831494799</v>
      </c>
      <c r="ED36" s="2" t="str">
        <f t="shared" si="47"/>
        <v xml:space="preserve"> </v>
      </c>
      <c r="EE36" s="58" t="str">
        <f t="shared" si="48"/>
        <v xml:space="preserve"> </v>
      </c>
      <c r="EF36" s="2" t="str">
        <f t="shared" si="49"/>
        <v xml:space="preserve"> </v>
      </c>
      <c r="EG36" s="58" t="str">
        <f t="shared" si="50"/>
        <v xml:space="preserve"> </v>
      </c>
      <c r="EI36" s="2" t="str">
        <f t="shared" si="51"/>
        <v xml:space="preserve"> </v>
      </c>
      <c r="EJ36" s="2" t="str">
        <f t="shared" si="52"/>
        <v xml:space="preserve"> </v>
      </c>
      <c r="EK36" s="2"/>
      <c r="EL36" s="2">
        <f t="array" ref="EL36:EM36">LINEST($AB36:$AH36,$AB$6:$AH$6,TRUE,FALSE)</f>
        <v>-14.107142857142851</v>
      </c>
      <c r="EM36" s="2">
        <v>2191.5714285714289</v>
      </c>
      <c r="EN36" s="58">
        <f t="shared" si="53"/>
        <v>-6.6071189615950722E-3</v>
      </c>
      <c r="EO36" s="2">
        <f t="array" ref="EO36:EP36">LINEST($AH36:$AQ36,$AH$6:$AQ$6,TRUE,FALSE)</f>
        <v>-127.82424242424247</v>
      </c>
      <c r="EP36" s="2">
        <v>3098.4787878787884</v>
      </c>
      <c r="EQ36" s="58">
        <f t="shared" si="54"/>
        <v>-7.8492012541751588E-2</v>
      </c>
      <c r="ES36" s="3">
        <f t="shared" si="55"/>
        <v>872.35841836731629</v>
      </c>
      <c r="ET36" s="3">
        <f t="shared" si="92"/>
        <v>8164.4132653061697</v>
      </c>
      <c r="EU36" s="3">
        <f t="shared" si="93"/>
        <v>715.56249999997567</v>
      </c>
      <c r="EV36" s="3">
        <f t="shared" si="94"/>
        <v>61.734693877547954</v>
      </c>
      <c r="EW36" s="3">
        <f t="shared" si="95"/>
        <v>6394.2869897958562</v>
      </c>
      <c r="EX36" s="3">
        <f t="shared" si="96"/>
        <v>253.71938775510617</v>
      </c>
      <c r="EY36" s="3">
        <f t="shared" si="97"/>
        <v>1430.460459183698</v>
      </c>
      <c r="EZ36" s="3">
        <f t="shared" si="56"/>
        <v>320486.36477502284</v>
      </c>
      <c r="FA36" s="3">
        <f t="shared" si="98"/>
        <v>102438.79155188243</v>
      </c>
      <c r="FB36" s="29">
        <f t="shared" si="99"/>
        <v>14698.255867768597</v>
      </c>
      <c r="FC36" s="3">
        <f t="shared" si="100"/>
        <v>12190.836510560164</v>
      </c>
      <c r="FD36" s="3">
        <f t="shared" si="101"/>
        <v>34072.684995408599</v>
      </c>
      <c r="FE36" s="3">
        <f t="shared" si="88"/>
        <v>69293.383140495993</v>
      </c>
      <c r="FF36" s="3">
        <f t="shared" si="89"/>
        <v>126779.15518824622</v>
      </c>
      <c r="FG36" s="29">
        <f t="shared" si="103"/>
        <v>188455.96477502288</v>
      </c>
      <c r="FH36" s="3">
        <f>($EP36+$EO36*FH$6-AQ36)^2</f>
        <v>17878.120991735606</v>
      </c>
      <c r="FI36" s="3"/>
      <c r="FQ36" s="4">
        <f>SQRT(AVERAGE(ES36:FH36))/AVERAGE(AB36:AQ36)</f>
        <v>0.1303656434802318</v>
      </c>
      <c r="FR36" s="160">
        <v>3.3000000000000002E-2</v>
      </c>
      <c r="FS36" s="161">
        <f t="shared" si="21"/>
        <v>0.25313417798611954</v>
      </c>
      <c r="FV36" s="4">
        <f t="shared" si="58"/>
        <v>2.3678816309792003E-2</v>
      </c>
      <c r="FW36" s="161">
        <f t="shared" si="59"/>
        <v>1.3936507453860085</v>
      </c>
    </row>
    <row r="37" spans="1:179" x14ac:dyDescent="0.3">
      <c r="A37">
        <f t="shared" si="22"/>
        <v>31</v>
      </c>
      <c r="B37" s="6">
        <v>57007</v>
      </c>
      <c r="C37" s="6" t="s">
        <v>129</v>
      </c>
      <c r="D37" s="6">
        <v>2009</v>
      </c>
      <c r="E37" s="6">
        <v>2009</v>
      </c>
      <c r="F37" s="6" t="s">
        <v>252</v>
      </c>
      <c r="G37" s="17" t="s">
        <v>636</v>
      </c>
      <c r="H37" s="17" t="s">
        <v>625</v>
      </c>
      <c r="I37" s="6" t="s">
        <v>36</v>
      </c>
      <c r="J37" s="17">
        <v>0</v>
      </c>
      <c r="K37" s="6" t="s">
        <v>24</v>
      </c>
      <c r="L37" s="12">
        <v>33.563360000000003</v>
      </c>
      <c r="M37" s="12">
        <v>-114.9192</v>
      </c>
      <c r="N37" s="14">
        <v>1.2</v>
      </c>
      <c r="O37" s="6">
        <v>1</v>
      </c>
      <c r="P37" s="94">
        <f>365.25*8.4</f>
        <v>3068.1</v>
      </c>
      <c r="Q37" s="15" t="s">
        <v>512</v>
      </c>
      <c r="R37" s="14">
        <v>19.8</v>
      </c>
      <c r="S37" s="3">
        <f t="shared" si="23"/>
        <v>52.913699999999999</v>
      </c>
      <c r="T37" s="128" t="str">
        <f t="shared" si="24"/>
        <v>H</v>
      </c>
      <c r="U37" s="154">
        <v>2138</v>
      </c>
      <c r="V37" s="154">
        <v>489</v>
      </c>
      <c r="W37" s="156">
        <v>0.69599999999999995</v>
      </c>
      <c r="X37" s="1">
        <f t="shared" si="63"/>
        <v>0.22871842843779233</v>
      </c>
      <c r="Y37" s="59">
        <f t="shared" si="25"/>
        <v>6.4775951498970974E-2</v>
      </c>
      <c r="Z37" s="1">
        <f t="shared" si="26"/>
        <v>0.43360999655509364</v>
      </c>
      <c r="AA37" s="3">
        <f t="shared" si="64"/>
        <v>2669.7958307938648</v>
      </c>
      <c r="AB37" s="6">
        <v>2578</v>
      </c>
      <c r="AC37" s="6">
        <v>2615</v>
      </c>
      <c r="AD37" s="6">
        <v>2678</v>
      </c>
      <c r="AE37" s="6">
        <v>2448</v>
      </c>
      <c r="AF37" s="93">
        <v>2266</v>
      </c>
      <c r="AG37" s="6">
        <v>2292</v>
      </c>
      <c r="AH37" s="6">
        <v>2112</v>
      </c>
      <c r="AI37" s="6">
        <v>3722</v>
      </c>
      <c r="AJ37" s="6">
        <v>1627</v>
      </c>
      <c r="AK37" s="93">
        <v>2215</v>
      </c>
      <c r="AL37" s="6">
        <v>1799</v>
      </c>
      <c r="AM37" s="6">
        <v>2004</v>
      </c>
      <c r="AN37" s="6">
        <v>1711</v>
      </c>
      <c r="AO37" s="6">
        <v>425</v>
      </c>
      <c r="AP37" s="93">
        <v>1252</v>
      </c>
      <c r="AQ37" s="6">
        <v>996</v>
      </c>
      <c r="AU37" s="23"/>
      <c r="AY37" s="32">
        <v>16</v>
      </c>
      <c r="AZ37" s="1">
        <f t="shared" si="27"/>
        <v>0.55578642590962923</v>
      </c>
      <c r="BA37" s="24">
        <f t="shared" si="8"/>
        <v>31</v>
      </c>
      <c r="BB37" s="2">
        <f t="shared" si="75"/>
        <v>0.9656169098269326</v>
      </c>
      <c r="BC37" s="2">
        <f t="shared" si="76"/>
        <v>0.98439763565594796</v>
      </c>
      <c r="BD37" s="2">
        <f t="shared" si="77"/>
        <v>1.0131794222687542</v>
      </c>
      <c r="BE37" s="2">
        <f t="shared" si="78"/>
        <v>0.93081660194696814</v>
      </c>
      <c r="BF37" s="20">
        <f t="shared" si="79"/>
        <v>0.86594345091956093</v>
      </c>
      <c r="BG37" s="2">
        <f t="shared" si="80"/>
        <v>0.88028065726143223</v>
      </c>
      <c r="BH37" s="2">
        <f t="shared" si="81"/>
        <v>0.8152247924334346</v>
      </c>
      <c r="BI37" s="2">
        <f t="shared" si="82"/>
        <v>1.1499999999999999</v>
      </c>
      <c r="BJ37" s="2">
        <f t="shared" si="83"/>
        <v>0.63434402927210198</v>
      </c>
      <c r="BK37" s="20">
        <f t="shared" si="84"/>
        <v>0.86793650170811398</v>
      </c>
      <c r="BL37" s="2">
        <f t="shared" si="85"/>
        <v>0.70847137110967795</v>
      </c>
      <c r="BM37" s="2">
        <f t="shared" si="86"/>
        <v>0.79316908483707849</v>
      </c>
      <c r="BN37" s="2">
        <f t="shared" si="90"/>
        <v>0.68060477244317452</v>
      </c>
      <c r="BO37" s="2">
        <f t="shared" si="91"/>
        <v>0.16990682711532482</v>
      </c>
      <c r="BP37" s="20">
        <f t="shared" si="102"/>
        <v>0.50304072727966109</v>
      </c>
      <c r="BQ37" s="2">
        <f>IF(ISNUMBER(AQ37),MIN(1.15,AQ37/($AA37*(1-$K$3)^(BQ$6-1))),"")</f>
        <v>0.40219352703657463</v>
      </c>
      <c r="BU37" s="23"/>
      <c r="BY37" s="25">
        <f t="shared" si="10"/>
        <v>31</v>
      </c>
      <c r="BZ37" s="3">
        <f t="shared" si="11"/>
        <v>41151.63277951059</v>
      </c>
      <c r="CA37" s="3">
        <f t="shared" si="30"/>
        <v>32740</v>
      </c>
      <c r="CB37" s="2">
        <f t="shared" si="31"/>
        <v>0.79559419125408937</v>
      </c>
      <c r="CC37" s="85">
        <f t="shared" si="32"/>
        <v>68</v>
      </c>
      <c r="CD37" s="3" t="str">
        <f t="shared" si="12"/>
        <v>Tracker</v>
      </c>
      <c r="CE37" s="58">
        <f t="shared" si="33"/>
        <v>-5.5174100669147595E-2</v>
      </c>
      <c r="CF37" s="2">
        <f t="array" ref="CF37:CG37">LINEST(AB37:AQ37,AB$6:AQ$6,TRUE,FALSE)</f>
        <v>-116.10294117647061</v>
      </c>
      <c r="CG37" s="2">
        <v>3033.125</v>
      </c>
      <c r="CH37" s="1">
        <f t="shared" si="34"/>
        <v>0.95414351201192893</v>
      </c>
      <c r="CI37" s="3"/>
      <c r="CJ37" s="3"/>
      <c r="CK37" s="3"/>
      <c r="CL37" s="3"/>
      <c r="CM37" s="3"/>
      <c r="CN37" s="3"/>
      <c r="CO37" s="3"/>
      <c r="CP37" s="3"/>
      <c r="CQ37" s="3"/>
      <c r="CR37" s="3"/>
      <c r="CS37" s="3"/>
      <c r="CT37" s="3"/>
      <c r="CU37" s="3"/>
      <c r="CV37" s="3"/>
      <c r="DC37" s="2">
        <f t="shared" si="36"/>
        <v>1.2</v>
      </c>
      <c r="DD37">
        <f t="shared" si="16"/>
        <v>0</v>
      </c>
      <c r="DE37">
        <f t="shared" si="37"/>
        <v>16</v>
      </c>
      <c r="DT37">
        <f t="shared" si="38"/>
        <v>16989</v>
      </c>
      <c r="DU37" s="3">
        <f t="shared" si="39"/>
        <v>2669.7958307938648</v>
      </c>
      <c r="DV37" s="3">
        <f t="shared" si="40"/>
        <v>2656.4468516398956</v>
      </c>
      <c r="DW37" s="3">
        <f t="shared" si="41"/>
        <v>2643.1646173816962</v>
      </c>
      <c r="DX37" s="3">
        <f t="shared" si="42"/>
        <v>2629.9487942947876</v>
      </c>
      <c r="DY37" s="3">
        <f t="shared" si="43"/>
        <v>2616.7990503233136</v>
      </c>
      <c r="DZ37" s="3">
        <f t="shared" si="44"/>
        <v>2603.7150550716974</v>
      </c>
      <c r="EA37" s="3">
        <f t="shared" si="45"/>
        <v>2590.6964797963387</v>
      </c>
      <c r="EB37" s="2">
        <f t="shared" si="46"/>
        <v>0.92278528390438863</v>
      </c>
      <c r="ED37" s="2">
        <f t="shared" si="47"/>
        <v>0.79559419125408937</v>
      </c>
      <c r="EE37" s="58">
        <f t="shared" si="48"/>
        <v>-5.5174100669147595E-2</v>
      </c>
      <c r="EF37" s="2" t="str">
        <f t="shared" si="49"/>
        <v xml:space="preserve"> </v>
      </c>
      <c r="EG37" s="58" t="str">
        <f t="shared" si="50"/>
        <v xml:space="preserve"> </v>
      </c>
      <c r="EI37" s="2">
        <f t="shared" si="51"/>
        <v>0.92278528390438863</v>
      </c>
      <c r="EJ37" s="2" t="str">
        <f t="shared" si="52"/>
        <v xml:space="preserve"> </v>
      </c>
      <c r="EK37" s="2"/>
      <c r="EL37" s="2">
        <f t="array" ref="EL37:EM37">LINEST($AB37:$AH37,$AB$6:$AH$6,TRUE,FALSE)</f>
        <v>-87.714285714285708</v>
      </c>
      <c r="EM37" s="2">
        <v>2777.8571428571427</v>
      </c>
      <c r="EN37" s="58">
        <f t="shared" si="53"/>
        <v>-3.6141032432750603E-2</v>
      </c>
      <c r="EO37" s="2">
        <f t="array" ref="EO37:EP37">LINEST($AH37:$AQ37,$AH$6:$AQ$6,TRUE,FALSE)</f>
        <v>-210.00606060606054</v>
      </c>
      <c r="EP37" s="2">
        <v>4201.3696969696966</v>
      </c>
      <c r="EQ37" s="58">
        <f t="shared" si="54"/>
        <v>-0.11756483267427673</v>
      </c>
      <c r="ES37" s="3">
        <f t="shared" si="55"/>
        <v>12576.020408163207</v>
      </c>
      <c r="ET37" s="3">
        <f t="shared" si="92"/>
        <v>158.04081632653879</v>
      </c>
      <c r="EU37" s="3">
        <f t="shared" si="93"/>
        <v>26662.224489796045</v>
      </c>
      <c r="EV37" s="3">
        <f t="shared" si="94"/>
        <v>441</v>
      </c>
      <c r="EW37" s="3">
        <f t="shared" si="95"/>
        <v>5370.7959183673374</v>
      </c>
      <c r="EX37" s="3">
        <f t="shared" si="96"/>
        <v>1634.4693877551126</v>
      </c>
      <c r="EY37" s="3">
        <f t="shared" si="97"/>
        <v>2689.1632653061024</v>
      </c>
      <c r="EZ37" s="3">
        <f t="shared" si="56"/>
        <v>1441629.5516620749</v>
      </c>
      <c r="FA37" s="3">
        <f t="shared" si="98"/>
        <v>468287.22659320501</v>
      </c>
      <c r="FB37" s="29">
        <f t="shared" si="99"/>
        <v>12925.622809917317</v>
      </c>
      <c r="FC37" s="3">
        <f t="shared" si="100"/>
        <v>8519.8494031221635</v>
      </c>
      <c r="FD37" s="3">
        <f t="shared" si="101"/>
        <v>104137.24576675807</v>
      </c>
      <c r="FE37" s="3">
        <f t="shared" si="88"/>
        <v>57460.448264462502</v>
      </c>
      <c r="FF37" s="3">
        <f t="shared" si="89"/>
        <v>699372.34780532704</v>
      </c>
      <c r="FG37" s="29">
        <f t="shared" si="103"/>
        <v>40289.004995408366</v>
      </c>
      <c r="FH37" s="3">
        <f>($EP37+$EO37*FH$6-AQ37)^2</f>
        <v>23940.52892561963</v>
      </c>
      <c r="FI37" s="3"/>
      <c r="FQ37" s="4">
        <f>SQRT(AVERAGE(ES37:FH37))/AVERAGE(AB37:AQ37)</f>
        <v>0.20827450492857971</v>
      </c>
      <c r="FR37" s="160">
        <v>2.8000000000000001E-2</v>
      </c>
      <c r="FS37" s="161">
        <f t="shared" si="21"/>
        <v>0.13443796210007364</v>
      </c>
      <c r="FV37" s="4">
        <f t="shared" si="58"/>
        <v>3.4659547082064576E-2</v>
      </c>
      <c r="FW37" s="161">
        <f t="shared" si="59"/>
        <v>0.80785821966177052</v>
      </c>
    </row>
    <row r="38" spans="1:179" x14ac:dyDescent="0.3">
      <c r="A38">
        <f t="shared" si="22"/>
        <v>32</v>
      </c>
      <c r="B38" s="6">
        <v>56938</v>
      </c>
      <c r="C38" s="6" t="s">
        <v>130</v>
      </c>
      <c r="D38" s="6">
        <v>2009</v>
      </c>
      <c r="E38" s="6">
        <v>2009</v>
      </c>
      <c r="F38" s="6" t="s">
        <v>252</v>
      </c>
      <c r="G38" s="17" t="s">
        <v>636</v>
      </c>
      <c r="H38" s="17" t="s">
        <v>625</v>
      </c>
      <c r="I38" s="6" t="s">
        <v>36</v>
      </c>
      <c r="J38" s="17">
        <v>0</v>
      </c>
      <c r="K38" s="6" t="s">
        <v>86</v>
      </c>
      <c r="L38" s="12">
        <v>34.286700000000003</v>
      </c>
      <c r="M38" s="12">
        <v>-77.981399999999994</v>
      </c>
      <c r="N38" s="14">
        <v>1.2</v>
      </c>
      <c r="O38" s="6">
        <v>1</v>
      </c>
      <c r="P38" s="94">
        <f>365.25*5.9</f>
        <v>2154.9749999999999</v>
      </c>
      <c r="Q38" s="15" t="s">
        <v>664</v>
      </c>
      <c r="R38" s="14">
        <v>12.3</v>
      </c>
      <c r="S38" s="3">
        <f t="shared" si="23"/>
        <v>38.965575000000001</v>
      </c>
      <c r="T38" s="128" t="str">
        <f t="shared" si="24"/>
        <v>C</v>
      </c>
      <c r="U38" s="154">
        <v>1632.6</v>
      </c>
      <c r="V38" s="154">
        <v>720</v>
      </c>
      <c r="W38" s="156">
        <v>0.52800000000000002</v>
      </c>
      <c r="X38" s="1">
        <f t="shared" si="63"/>
        <v>0.44101433296582143</v>
      </c>
      <c r="Y38" s="59">
        <f t="shared" si="25"/>
        <v>3.102225404597575E-2</v>
      </c>
      <c r="Z38" s="1">
        <f t="shared" si="26"/>
        <v>0.67019465617211449</v>
      </c>
      <c r="AA38" s="3">
        <f t="shared" si="64"/>
        <v>1984.8648140266907</v>
      </c>
      <c r="AB38" s="6">
        <v>1466</v>
      </c>
      <c r="AC38" s="6">
        <v>1999</v>
      </c>
      <c r="AD38" s="6">
        <v>1955</v>
      </c>
      <c r="AE38" s="6">
        <v>1865</v>
      </c>
      <c r="AF38" s="93">
        <v>1683</v>
      </c>
      <c r="AG38" s="6">
        <v>1920</v>
      </c>
      <c r="AH38" s="6">
        <v>1823</v>
      </c>
      <c r="AI38" s="6">
        <v>1216</v>
      </c>
      <c r="AJ38" s="6">
        <v>1519</v>
      </c>
      <c r="AK38" s="93">
        <v>936</v>
      </c>
      <c r="AL38" s="6">
        <v>1736</v>
      </c>
      <c r="AM38" s="6">
        <v>1452</v>
      </c>
      <c r="AN38" s="6">
        <v>1330</v>
      </c>
      <c r="AO38" s="6">
        <v>334</v>
      </c>
      <c r="AP38" s="93">
        <v>1153</v>
      </c>
      <c r="AQ38" s="6">
        <v>1122</v>
      </c>
      <c r="AU38" s="23"/>
      <c r="AY38" s="32">
        <v>16</v>
      </c>
      <c r="AZ38" s="1">
        <f t="shared" si="27"/>
        <v>0.56818621252373391</v>
      </c>
      <c r="BA38" s="24">
        <f t="shared" si="8"/>
        <v>32</v>
      </c>
      <c r="BB38" s="2">
        <f t="shared" si="75"/>
        <v>0.73858934353616212</v>
      </c>
      <c r="BC38" s="2">
        <f t="shared" si="76"/>
        <v>1.012182397477694</v>
      </c>
      <c r="BD38" s="2">
        <f t="shared" si="77"/>
        <v>0.99487763332364265</v>
      </c>
      <c r="BE38" s="2">
        <f t="shared" si="78"/>
        <v>0.95384687434543236</v>
      </c>
      <c r="BF38" s="20">
        <f t="shared" si="79"/>
        <v>0.86508913981347091</v>
      </c>
      <c r="BG38" s="2">
        <f t="shared" si="80"/>
        <v>0.99187031320707153</v>
      </c>
      <c r="BH38" s="2">
        <f t="shared" si="81"/>
        <v>0.94649266173392566</v>
      </c>
      <c r="BI38" s="2">
        <f t="shared" si="82"/>
        <v>0.63451380692185755</v>
      </c>
      <c r="BJ38" s="2">
        <f t="shared" si="83"/>
        <v>0.79660347189425884</v>
      </c>
      <c r="BK38" s="20">
        <f t="shared" si="84"/>
        <v>0.49332961694120786</v>
      </c>
      <c r="BL38" s="2">
        <f t="shared" si="85"/>
        <v>0.91957674591970195</v>
      </c>
      <c r="BM38" s="2">
        <f t="shared" si="86"/>
        <v>0.77300409598418784</v>
      </c>
      <c r="BN38" s="2">
        <f t="shared" si="90"/>
        <v>0.71161277991816496</v>
      </c>
      <c r="BO38" s="2">
        <f t="shared" si="91"/>
        <v>0.17960378470749772</v>
      </c>
      <c r="BP38" s="20">
        <f t="shared" si="102"/>
        <v>0.62312509784775627</v>
      </c>
      <c r="BQ38" s="2">
        <f>IF(ISNUMBER(AQ38),MIN(1.15,AQ38/($AA38*(1-$K$3)^(BQ$6-1))),"")</f>
        <v>0.60941861064662661</v>
      </c>
      <c r="BU38" s="23"/>
      <c r="BY38" s="25">
        <f t="shared" si="10"/>
        <v>32</v>
      </c>
      <c r="BZ38" s="3">
        <f t="shared" si="11"/>
        <v>30594.260056024679</v>
      </c>
      <c r="CA38" s="3">
        <f t="shared" si="30"/>
        <v>23509</v>
      </c>
      <c r="CB38" s="2">
        <f t="shared" si="31"/>
        <v>0.76841211249920605</v>
      </c>
      <c r="CC38" s="85">
        <f t="shared" si="32"/>
        <v>74</v>
      </c>
      <c r="CD38" s="3" t="str">
        <f t="shared" si="12"/>
        <v>Tracker</v>
      </c>
      <c r="CE38" s="58">
        <f t="shared" si="33"/>
        <v>-4.2800950457500708E-2</v>
      </c>
      <c r="CF38" s="2">
        <f t="array" ref="CF38:CG38">LINEST(AB38:AQ38,AB$6:AQ$6,TRUE,FALSE)</f>
        <v>-64.263235294117635</v>
      </c>
      <c r="CG38" s="2">
        <v>2015.55</v>
      </c>
      <c r="CH38" s="1">
        <f t="shared" si="34"/>
        <v>1.009936012011929</v>
      </c>
      <c r="CI38" s="3"/>
      <c r="CJ38" s="3"/>
      <c r="CK38" s="3"/>
      <c r="CL38" s="3"/>
      <c r="CM38" s="3"/>
      <c r="CN38" s="3"/>
      <c r="CO38" s="3"/>
      <c r="CP38" s="3"/>
      <c r="CQ38" s="3"/>
      <c r="CR38" s="3"/>
      <c r="CS38" s="3"/>
      <c r="CT38" s="3"/>
      <c r="CU38" s="3"/>
      <c r="CV38" s="3"/>
      <c r="DC38" s="2">
        <f t="shared" si="36"/>
        <v>1.2</v>
      </c>
      <c r="DD38">
        <f t="shared" si="16"/>
        <v>0</v>
      </c>
      <c r="DE38">
        <f t="shared" si="37"/>
        <v>16</v>
      </c>
      <c r="DT38">
        <f t="shared" si="38"/>
        <v>12711</v>
      </c>
      <c r="DU38" s="3">
        <f t="shared" si="39"/>
        <v>1984.8648140266907</v>
      </c>
      <c r="DV38" s="3">
        <f t="shared" si="40"/>
        <v>1974.9404899565575</v>
      </c>
      <c r="DW38" s="3">
        <f t="shared" si="41"/>
        <v>1965.0657875067745</v>
      </c>
      <c r="DX38" s="3">
        <f t="shared" si="42"/>
        <v>1955.2404585692407</v>
      </c>
      <c r="DY38" s="3">
        <f t="shared" si="43"/>
        <v>1945.4642562763945</v>
      </c>
      <c r="DZ38" s="3">
        <f t="shared" si="44"/>
        <v>1935.7369349950127</v>
      </c>
      <c r="EA38" s="3">
        <f t="shared" si="45"/>
        <v>1926.0582503200376</v>
      </c>
      <c r="EB38" s="2">
        <f t="shared" si="46"/>
        <v>0.92866628717477617</v>
      </c>
      <c r="ED38" s="2" t="str">
        <f t="shared" si="47"/>
        <v xml:space="preserve"> </v>
      </c>
      <c r="EE38" s="58" t="str">
        <f t="shared" si="48"/>
        <v xml:space="preserve"> </v>
      </c>
      <c r="EF38" s="2">
        <f t="shared" si="49"/>
        <v>0.76841211249920605</v>
      </c>
      <c r="EG38" s="58">
        <f t="shared" si="50"/>
        <v>-4.2800950457500708E-2</v>
      </c>
      <c r="EI38" s="2" t="str">
        <f t="shared" si="51"/>
        <v xml:space="preserve"> </v>
      </c>
      <c r="EJ38" s="2">
        <f t="shared" si="52"/>
        <v>0.92866628717477617</v>
      </c>
      <c r="EK38" s="2"/>
      <c r="EL38" s="2">
        <f t="array" ref="EL38:EM38">LINEST($AB38:$AH38,$AB$6:$AH$6,TRUE,FALSE)</f>
        <v>22.892857142857142</v>
      </c>
      <c r="EM38" s="2">
        <v>1724.2857142857142</v>
      </c>
      <c r="EN38" s="58">
        <f t="shared" si="53"/>
        <v>1.260719062229565E-2</v>
      </c>
      <c r="EO38" s="2">
        <f t="array" ref="EO38:EP38">LINEST($AH38:$AQ38,$AH$6:$AQ$6,TRUE,FALSE)</f>
        <v>-71.375757575757589</v>
      </c>
      <c r="EP38" s="2">
        <v>2082.9212121212122</v>
      </c>
      <c r="EQ38" s="58">
        <f t="shared" si="54"/>
        <v>-5.6553171361823626E-2</v>
      </c>
      <c r="ES38" s="3">
        <f t="shared" si="55"/>
        <v>79061.38903061219</v>
      </c>
      <c r="ET38" s="3">
        <f t="shared" si="92"/>
        <v>52408.290816326589</v>
      </c>
      <c r="EU38" s="3">
        <f t="shared" si="93"/>
        <v>26255.572704081686</v>
      </c>
      <c r="EV38" s="3">
        <f t="shared" si="94"/>
        <v>2415.0204081632619</v>
      </c>
      <c r="EW38" s="3">
        <f t="shared" si="95"/>
        <v>24258.0625</v>
      </c>
      <c r="EX38" s="3">
        <f t="shared" si="96"/>
        <v>3405.5561224489834</v>
      </c>
      <c r="EY38" s="3">
        <f t="shared" si="97"/>
        <v>3786.644132653053</v>
      </c>
      <c r="EZ38" s="3">
        <f t="shared" si="56"/>
        <v>87565.776896235126</v>
      </c>
      <c r="FA38" s="3">
        <f t="shared" si="98"/>
        <v>6156.0667033976179</v>
      </c>
      <c r="FB38" s="29">
        <f t="shared" si="99"/>
        <v>187630.73586776847</v>
      </c>
      <c r="FC38" s="3">
        <f t="shared" si="100"/>
        <v>192029.86317722686</v>
      </c>
      <c r="FD38" s="3">
        <f t="shared" si="101"/>
        <v>50889.891056014756</v>
      </c>
      <c r="FE38" s="3">
        <f t="shared" si="88"/>
        <v>30612.274049586787</v>
      </c>
      <c r="FF38" s="3">
        <f t="shared" si="89"/>
        <v>561991.02427915495</v>
      </c>
      <c r="FG38" s="29">
        <f t="shared" si="103"/>
        <v>19800.753865932056</v>
      </c>
      <c r="FH38" s="3">
        <f>($EP38+$EO38*FH$6-AQ38)^2</f>
        <v>32793.917355371952</v>
      </c>
      <c r="FI38" s="3"/>
      <c r="FQ38" s="4">
        <f>SQRT(AVERAGE(ES38:FH38))/AVERAGE(AB38:AQ38)</f>
        <v>0.19850187098766167</v>
      </c>
      <c r="FR38" s="160">
        <v>3.2000000000000001E-2</v>
      </c>
      <c r="FS38" s="161">
        <f t="shared" si="21"/>
        <v>0.16120754852728331</v>
      </c>
      <c r="FV38" s="4">
        <f t="shared" si="58"/>
        <v>9.1107960990781667E-2</v>
      </c>
      <c r="FW38" s="161">
        <f t="shared" si="59"/>
        <v>0.35123165585099386</v>
      </c>
    </row>
    <row r="39" spans="1:179" x14ac:dyDescent="0.3">
      <c r="A39">
        <f t="shared" si="22"/>
        <v>33</v>
      </c>
      <c r="B39" s="6">
        <v>57008</v>
      </c>
      <c r="C39" s="6" t="s">
        <v>131</v>
      </c>
      <c r="D39" s="6">
        <v>2010</v>
      </c>
      <c r="E39" s="6">
        <v>2009</v>
      </c>
      <c r="F39" s="6" t="s">
        <v>252</v>
      </c>
      <c r="G39" s="17" t="s">
        <v>634</v>
      </c>
      <c r="H39" s="17" t="s">
        <v>625</v>
      </c>
      <c r="I39" s="6" t="s">
        <v>35</v>
      </c>
      <c r="J39" s="17">
        <v>20</v>
      </c>
      <c r="K39" s="6" t="s">
        <v>24</v>
      </c>
      <c r="L39" s="12">
        <v>34.209299999999999</v>
      </c>
      <c r="M39" s="12">
        <v>-119.1345</v>
      </c>
      <c r="N39" s="14">
        <v>1.2</v>
      </c>
      <c r="O39" s="6">
        <v>1</v>
      </c>
      <c r="P39" s="94">
        <f>365.25*5.5</f>
        <v>2008.875</v>
      </c>
      <c r="Q39" s="15" t="s">
        <v>560</v>
      </c>
      <c r="R39" s="14">
        <v>17.2</v>
      </c>
      <c r="S39" s="3">
        <f t="shared" si="23"/>
        <v>43.580500000000001</v>
      </c>
      <c r="T39" s="128" t="str">
        <f t="shared" si="24"/>
        <v>M</v>
      </c>
      <c r="U39" s="154">
        <v>1818</v>
      </c>
      <c r="V39" s="154">
        <v>676</v>
      </c>
      <c r="W39" s="156">
        <v>0.58599999999999997</v>
      </c>
      <c r="X39" s="1">
        <f t="shared" si="63"/>
        <v>0.37183718371837182</v>
      </c>
      <c r="Y39" s="59">
        <f t="shared" si="25"/>
        <v>3.7299411331133125E-3</v>
      </c>
      <c r="Z39" s="1">
        <f t="shared" si="26"/>
        <v>0.9530230006569228</v>
      </c>
      <c r="AA39" s="3">
        <f t="shared" si="64"/>
        <v>1918.2461857757785</v>
      </c>
      <c r="AB39" s="6">
        <v>1762</v>
      </c>
      <c r="AC39" s="6">
        <v>1726</v>
      </c>
      <c r="AD39" s="6">
        <v>1710</v>
      </c>
      <c r="AE39" s="6">
        <v>1838</v>
      </c>
      <c r="AF39" s="93">
        <v>1956</v>
      </c>
      <c r="AG39" s="6">
        <v>1923</v>
      </c>
      <c r="AH39" s="6">
        <v>1839</v>
      </c>
      <c r="AI39" s="6">
        <v>1653</v>
      </c>
      <c r="AJ39" s="6">
        <v>1629</v>
      </c>
      <c r="AK39" s="93">
        <v>1691</v>
      </c>
      <c r="AL39" s="6">
        <v>1775</v>
      </c>
      <c r="AM39" s="6">
        <v>1760</v>
      </c>
      <c r="AN39" s="6">
        <v>2684</v>
      </c>
      <c r="AO39" s="6">
        <v>1475</v>
      </c>
      <c r="AP39" s="93">
        <v>1634</v>
      </c>
      <c r="AU39" s="23"/>
      <c r="AY39" s="32">
        <v>15</v>
      </c>
      <c r="AZ39" s="1">
        <f t="shared" si="27"/>
        <v>0.74820760652382834</v>
      </c>
      <c r="BA39" s="24">
        <f t="shared" ref="BA39:BA70" si="104">A39</f>
        <v>33</v>
      </c>
      <c r="BB39" s="2">
        <f t="shared" si="75"/>
        <v>0.91854737575688739</v>
      </c>
      <c r="BC39" s="2">
        <f t="shared" si="76"/>
        <v>0.90430174171446775</v>
      </c>
      <c r="BD39" s="2">
        <f t="shared" si="77"/>
        <v>0.90042097994709336</v>
      </c>
      <c r="BE39" s="2">
        <f t="shared" si="78"/>
        <v>0.97268433462209158</v>
      </c>
      <c r="BF39" s="20">
        <f t="shared" si="79"/>
        <v>1.0403325433045592</v>
      </c>
      <c r="BG39" s="2">
        <f t="shared" si="80"/>
        <v>1.0279205232577342</v>
      </c>
      <c r="BH39" s="2">
        <f t="shared" si="81"/>
        <v>0.98795895351482999</v>
      </c>
      <c r="BI39" s="2">
        <f t="shared" si="82"/>
        <v>0.89249737002577545</v>
      </c>
      <c r="BJ39" s="2">
        <f t="shared" si="83"/>
        <v>0.88395894522338747</v>
      </c>
      <c r="BK39" s="20">
        <f t="shared" si="84"/>
        <v>0.92221363192435368</v>
      </c>
      <c r="BL39" s="2">
        <f t="shared" si="85"/>
        <v>0.97288880634142183</v>
      </c>
      <c r="BM39" s="2">
        <f t="shared" si="86"/>
        <v>0.96951478471846708</v>
      </c>
      <c r="BN39" s="2">
        <f t="shared" si="90"/>
        <v>1.1499999999999999</v>
      </c>
      <c r="BO39" s="2">
        <f t="shared" si="91"/>
        <v>0.82070603557975963</v>
      </c>
      <c r="BP39" s="20">
        <f t="shared" si="102"/>
        <v>0.91374408458381895</v>
      </c>
      <c r="BU39" s="23"/>
      <c r="BY39" s="25">
        <f t="shared" ref="BY39:BY70" si="105">A39</f>
        <v>33</v>
      </c>
      <c r="BZ39" s="3">
        <f t="shared" ref="BZ39:BZ70" si="106">$AA39*IF($K$3=0,$AY39,((1-$K$3)^$AY39-1)/-$K$3)</f>
        <v>27788.10985920973</v>
      </c>
      <c r="CA39" s="3">
        <f t="shared" si="30"/>
        <v>27055</v>
      </c>
      <c r="CB39" s="2">
        <f t="shared" si="31"/>
        <v>0.973617858036258</v>
      </c>
      <c r="CC39" s="85">
        <f t="shared" si="32"/>
        <v>17</v>
      </c>
      <c r="CD39" s="3" t="str">
        <f t="shared" ref="CD39:CD70" si="107">I39</f>
        <v>Fixed</v>
      </c>
      <c r="CE39" s="58">
        <f t="shared" si="33"/>
        <v>1.8610378804119671E-3</v>
      </c>
      <c r="CF39" s="2">
        <f t="array" ref="CF39:CG39">LINEST(AB39:AP39,AB$6:AP$6,TRUE,FALSE)</f>
        <v>3.3535714285714322</v>
      </c>
      <c r="CG39" s="2">
        <v>1776.8380952380953</v>
      </c>
      <c r="CH39" s="1">
        <f t="shared" si="34"/>
        <v>0.99467269500745559</v>
      </c>
      <c r="CI39" s="3"/>
      <c r="CJ39" s="3"/>
      <c r="CK39" s="3"/>
      <c r="CL39" s="3"/>
      <c r="CM39" s="3"/>
      <c r="CN39" s="3"/>
      <c r="CO39" s="3"/>
      <c r="CP39" s="3"/>
      <c r="CQ39" s="3"/>
      <c r="CR39" s="3"/>
      <c r="CS39" s="3"/>
      <c r="CT39" s="3"/>
      <c r="CU39" s="3"/>
      <c r="CV39" s="3"/>
      <c r="DC39" s="2">
        <f t="shared" si="36"/>
        <v>1.2</v>
      </c>
      <c r="DD39">
        <f t="shared" ref="DD39:DD70" si="108">D39-E39</f>
        <v>1</v>
      </c>
      <c r="DE39">
        <f t="shared" si="37"/>
        <v>16</v>
      </c>
      <c r="DT39">
        <f t="shared" si="38"/>
        <v>12754</v>
      </c>
      <c r="DU39" s="3">
        <f t="shared" si="39"/>
        <v>1918.2461857757785</v>
      </c>
      <c r="DV39" s="3">
        <f t="shared" si="40"/>
        <v>1908.6549548468995</v>
      </c>
      <c r="DW39" s="3">
        <f t="shared" si="41"/>
        <v>1899.1116800726652</v>
      </c>
      <c r="DX39" s="3">
        <f t="shared" si="42"/>
        <v>1889.6161216723017</v>
      </c>
      <c r="DY39" s="3">
        <f t="shared" si="43"/>
        <v>1880.1680410639406</v>
      </c>
      <c r="DZ39" s="3">
        <f t="shared" si="44"/>
        <v>1870.7672008586205</v>
      </c>
      <c r="EA39" s="3">
        <f t="shared" si="45"/>
        <v>1861.4133648543277</v>
      </c>
      <c r="EB39" s="2">
        <f t="shared" si="46"/>
        <v>0.96416855506568466</v>
      </c>
      <c r="ED39" s="2" t="str">
        <f t="shared" si="47"/>
        <v xml:space="preserve"> </v>
      </c>
      <c r="EE39" s="58" t="str">
        <f t="shared" si="48"/>
        <v xml:space="preserve"> </v>
      </c>
      <c r="EF39" s="2" t="str">
        <f t="shared" si="49"/>
        <v xml:space="preserve"> </v>
      </c>
      <c r="EG39" s="58" t="str">
        <f t="shared" si="50"/>
        <v xml:space="preserve"> </v>
      </c>
      <c r="EI39" s="2" t="str">
        <f t="shared" si="51"/>
        <v xml:space="preserve"> </v>
      </c>
      <c r="EJ39" s="2" t="str">
        <f t="shared" si="52"/>
        <v xml:space="preserve"> </v>
      </c>
      <c r="EK39" s="2"/>
      <c r="EL39" s="2">
        <f t="array" ref="EL39:EM39">LINEST($AB39:$AH39,$AB$6:$AH$6,TRUE,FALSE)</f>
        <v>31.107142857142854</v>
      </c>
      <c r="EM39" s="2">
        <v>1697.5714285714287</v>
      </c>
      <c r="EN39" s="58">
        <f t="shared" si="53"/>
        <v>1.7073075113689822E-2</v>
      </c>
      <c r="EO39" s="2">
        <f t="array" ref="EO39:EP39">LINEST($AH39:$AP39,$AH$6:$AP$6,TRUE,FALSE)</f>
        <v>13.750000000000009</v>
      </c>
      <c r="EP39" s="2">
        <v>1642.0833333333333</v>
      </c>
      <c r="EQ39" s="58">
        <f t="shared" si="54"/>
        <v>7.6672862453531655E-3</v>
      </c>
      <c r="ES39" s="3">
        <f t="shared" si="55"/>
        <v>1110.3176020408077</v>
      </c>
      <c r="ET39" s="3">
        <f t="shared" si="92"/>
        <v>1141.4744897959292</v>
      </c>
      <c r="EU39" s="3">
        <f t="shared" si="93"/>
        <v>6543.6543367347258</v>
      </c>
      <c r="EV39" s="3">
        <f t="shared" si="94"/>
        <v>256</v>
      </c>
      <c r="EW39" s="3">
        <f t="shared" si="95"/>
        <v>10586.940051020401</v>
      </c>
      <c r="EX39" s="3">
        <f t="shared" si="96"/>
        <v>1504.3316326530562</v>
      </c>
      <c r="EY39" s="3">
        <f t="shared" si="97"/>
        <v>5824.9604591836887</v>
      </c>
      <c r="EZ39" s="3">
        <f t="shared" si="56"/>
        <v>9817.5069444444289</v>
      </c>
      <c r="FA39" s="3">
        <f t="shared" si="98"/>
        <v>18723.361111111091</v>
      </c>
      <c r="FB39" s="29">
        <f t="shared" si="99"/>
        <v>7847.0069444444307</v>
      </c>
      <c r="FC39" s="3">
        <f t="shared" si="100"/>
        <v>336.11111111110836</v>
      </c>
      <c r="FD39" s="3">
        <f t="shared" si="101"/>
        <v>2216.8402777777919</v>
      </c>
      <c r="FE39" s="3">
        <f t="shared" si="88"/>
        <v>745056.69444444415</v>
      </c>
      <c r="FF39" s="3">
        <f t="shared" si="89"/>
        <v>129300.17361111123</v>
      </c>
      <c r="FG39" s="29">
        <f t="shared" si="103"/>
        <v>45938.777777777839</v>
      </c>
      <c r="FH39" s="3"/>
      <c r="FI39" s="3"/>
      <c r="FQ39" s="4">
        <f>SQRT(AVERAGE(ES39:FG39))/AVERAGE(AB39:AP39)</f>
        <v>0.14216133864595362</v>
      </c>
      <c r="FR39" s="160">
        <v>2.5999999999999999E-2</v>
      </c>
      <c r="FS39" s="161">
        <f t="shared" si="21"/>
        <v>0.18289079328910809</v>
      </c>
      <c r="FV39" s="4">
        <f t="shared" si="58"/>
        <v>3.4066254684282843E-2</v>
      </c>
      <c r="FW39" s="161">
        <f t="shared" si="59"/>
        <v>0.76321862326696055</v>
      </c>
    </row>
    <row r="40" spans="1:179" x14ac:dyDescent="0.3">
      <c r="A40">
        <f t="shared" ref="A40:A103" si="109">A39+1</f>
        <v>34</v>
      </c>
      <c r="B40" s="6">
        <v>57004</v>
      </c>
      <c r="C40" s="6" t="s">
        <v>132</v>
      </c>
      <c r="D40" s="6">
        <v>2009</v>
      </c>
      <c r="E40" s="6">
        <v>2007</v>
      </c>
      <c r="F40" s="6" t="s">
        <v>252</v>
      </c>
      <c r="G40" s="17" t="s">
        <v>636</v>
      </c>
      <c r="H40" s="17" t="s">
        <v>625</v>
      </c>
      <c r="I40" s="6" t="s">
        <v>35</v>
      </c>
      <c r="J40" s="17">
        <v>20</v>
      </c>
      <c r="K40" s="6" t="s">
        <v>24</v>
      </c>
      <c r="L40" s="12">
        <v>33.865900000000003</v>
      </c>
      <c r="M40" s="12">
        <v>-117.22150000000001</v>
      </c>
      <c r="N40" s="14">
        <v>1.2</v>
      </c>
      <c r="O40" s="6">
        <v>1</v>
      </c>
      <c r="P40" s="94">
        <f>365.25*5.91</f>
        <v>2158.6275000000001</v>
      </c>
      <c r="Q40" s="15" t="s">
        <v>661</v>
      </c>
      <c r="R40" s="14">
        <v>17.3</v>
      </c>
      <c r="S40" s="3">
        <f t="shared" si="23"/>
        <v>44.79365</v>
      </c>
      <c r="T40" s="128" t="str">
        <f t="shared" si="24"/>
        <v>M</v>
      </c>
      <c r="U40" s="154">
        <v>1932</v>
      </c>
      <c r="V40" s="154">
        <v>579</v>
      </c>
      <c r="W40" s="156">
        <v>0.622</v>
      </c>
      <c r="X40" s="1">
        <f t="shared" si="63"/>
        <v>0.2996894409937888</v>
      </c>
      <c r="Y40" s="59">
        <f t="shared" si="25"/>
        <v>0</v>
      </c>
      <c r="Z40" s="1">
        <f t="shared" si="26"/>
        <v>1</v>
      </c>
      <c r="AA40" s="3">
        <f t="shared" si="64"/>
        <v>2044.5629538249891</v>
      </c>
      <c r="AB40" s="6">
        <v>2008</v>
      </c>
      <c r="AC40" s="6">
        <v>1968</v>
      </c>
      <c r="AD40" s="6">
        <v>1953</v>
      </c>
      <c r="AE40" s="6">
        <v>1951</v>
      </c>
      <c r="AF40" s="93">
        <v>1855</v>
      </c>
      <c r="AG40" s="6">
        <v>1839</v>
      </c>
      <c r="AH40" s="6">
        <v>1780</v>
      </c>
      <c r="AI40" s="6">
        <v>941</v>
      </c>
      <c r="AJ40" s="6">
        <v>1191</v>
      </c>
      <c r="AK40" s="93">
        <v>1681</v>
      </c>
      <c r="AL40" s="6">
        <v>887</v>
      </c>
      <c r="AM40" s="6">
        <v>1459</v>
      </c>
      <c r="AN40" s="6">
        <v>1333</v>
      </c>
      <c r="AO40" s="6">
        <v>1074</v>
      </c>
      <c r="AP40" s="93">
        <v>1259</v>
      </c>
      <c r="AQ40" s="6">
        <v>900</v>
      </c>
      <c r="AU40" s="23"/>
      <c r="AY40" s="32">
        <v>16</v>
      </c>
      <c r="AZ40" s="1">
        <f t="shared" si="27"/>
        <v>0.58097776635076381</v>
      </c>
      <c r="BA40" s="24">
        <f t="shared" si="104"/>
        <v>34</v>
      </c>
      <c r="BB40" s="2">
        <f t="shared" si="75"/>
        <v>0.98211698311534656</v>
      </c>
      <c r="BC40" s="2">
        <f t="shared" si="76"/>
        <v>0.96738984903151315</v>
      </c>
      <c r="BD40" s="2">
        <f t="shared" si="77"/>
        <v>0.96484065406225494</v>
      </c>
      <c r="BE40" s="2">
        <f t="shared" si="78"/>
        <v>0.96869607436849359</v>
      </c>
      <c r="BF40" s="20">
        <f t="shared" si="79"/>
        <v>0.92565916097842127</v>
      </c>
      <c r="BG40" s="2">
        <f t="shared" si="80"/>
        <v>0.92228647119116702</v>
      </c>
      <c r="BH40" s="2">
        <f t="shared" si="81"/>
        <v>0.8971829887448538</v>
      </c>
      <c r="BI40" s="2">
        <f t="shared" si="82"/>
        <v>0.47668070261922391</v>
      </c>
      <c r="BJ40" s="2">
        <f t="shared" si="83"/>
        <v>0.60635453229964453</v>
      </c>
      <c r="BK40" s="20">
        <f t="shared" si="84"/>
        <v>0.86012089734626318</v>
      </c>
      <c r="BL40" s="2">
        <f t="shared" si="85"/>
        <v>0.45613387338006839</v>
      </c>
      <c r="BM40" s="2">
        <f t="shared" si="86"/>
        <v>0.75405134042424038</v>
      </c>
      <c r="BN40" s="2">
        <f t="shared" si="90"/>
        <v>0.69239303907165195</v>
      </c>
      <c r="BO40" s="2">
        <f t="shared" si="91"/>
        <v>0.56066538541390676</v>
      </c>
      <c r="BP40" s="20">
        <f t="shared" si="102"/>
        <v>0.66054454791284978</v>
      </c>
      <c r="BQ40" s="2">
        <f>IF(ISNUMBER(AQ40),MIN(1.15,AQ40/($AA40*(1-$K$3)^(BQ$6-1))),"")</f>
        <v>0.47456511558712133</v>
      </c>
      <c r="BU40" s="23"/>
      <c r="BY40" s="25">
        <f t="shared" si="105"/>
        <v>34</v>
      </c>
      <c r="BZ40" s="3">
        <f t="shared" si="106"/>
        <v>31514.43376304143</v>
      </c>
      <c r="CA40" s="3">
        <f t="shared" si="30"/>
        <v>24079</v>
      </c>
      <c r="CB40" s="2">
        <f t="shared" si="31"/>
        <v>0.76406259370075247</v>
      </c>
      <c r="CC40" s="85">
        <f t="shared" si="32"/>
        <v>75</v>
      </c>
      <c r="CD40" s="3" t="str">
        <f t="shared" si="107"/>
        <v>Fixed</v>
      </c>
      <c r="CE40" s="58">
        <f t="shared" si="33"/>
        <v>-4.6433026846912362E-2</v>
      </c>
      <c r="CF40" s="2">
        <f t="array" ref="CF40:CG40">LINEST(AB40:AQ40,AB$6:AQ$6,TRUE,FALSE)</f>
        <v>-71.539705882352933</v>
      </c>
      <c r="CG40" s="2">
        <v>2113.0250000000001</v>
      </c>
      <c r="CH40" s="1">
        <f t="shared" si="34"/>
        <v>0.986623712011929</v>
      </c>
      <c r="CI40" s="3"/>
      <c r="CJ40" s="3"/>
      <c r="CK40" s="3"/>
      <c r="CL40" s="3"/>
      <c r="CM40" s="3"/>
      <c r="CN40" s="3"/>
      <c r="CO40" s="3"/>
      <c r="CP40" s="3"/>
      <c r="CQ40" s="3"/>
      <c r="CR40" s="3"/>
      <c r="CS40" s="3"/>
      <c r="CT40" s="3"/>
      <c r="CU40" s="3"/>
      <c r="CV40" s="3"/>
      <c r="DC40" s="2">
        <f t="shared" si="36"/>
        <v>1.2</v>
      </c>
      <c r="DD40">
        <f t="shared" si="108"/>
        <v>2</v>
      </c>
      <c r="DE40">
        <f t="shared" si="37"/>
        <v>18</v>
      </c>
      <c r="DT40">
        <f t="shared" si="38"/>
        <v>13354</v>
      </c>
      <c r="DU40" s="3">
        <f t="shared" si="39"/>
        <v>2044.5629538249891</v>
      </c>
      <c r="DV40" s="3">
        <f t="shared" si="40"/>
        <v>2034.3401390558643</v>
      </c>
      <c r="DW40" s="3">
        <f t="shared" si="41"/>
        <v>2024.168438360585</v>
      </c>
      <c r="DX40" s="3">
        <f t="shared" si="42"/>
        <v>2014.0475961687819</v>
      </c>
      <c r="DY40" s="3">
        <f t="shared" si="43"/>
        <v>2003.9773581879381</v>
      </c>
      <c r="DZ40" s="3">
        <f t="shared" si="44"/>
        <v>1993.9574713969985</v>
      </c>
      <c r="EA40" s="3">
        <f t="shared" si="45"/>
        <v>1983.9876840400134</v>
      </c>
      <c r="EB40" s="2">
        <f t="shared" si="46"/>
        <v>0.94715657560250544</v>
      </c>
      <c r="ED40" s="2" t="str">
        <f t="shared" si="47"/>
        <v xml:space="preserve"> </v>
      </c>
      <c r="EE40" s="58" t="str">
        <f t="shared" si="48"/>
        <v xml:space="preserve"> </v>
      </c>
      <c r="EF40" s="2" t="str">
        <f t="shared" si="49"/>
        <v xml:space="preserve"> </v>
      </c>
      <c r="EG40" s="58" t="str">
        <f t="shared" si="50"/>
        <v xml:space="preserve"> </v>
      </c>
      <c r="EI40" s="2" t="str">
        <f t="shared" si="51"/>
        <v xml:space="preserve"> </v>
      </c>
      <c r="EJ40" s="2" t="str">
        <f t="shared" si="52"/>
        <v xml:space="preserve"> </v>
      </c>
      <c r="EK40" s="2"/>
      <c r="EL40" s="2">
        <f t="array" ref="EL40:EM40">LINEST($AB40:$AH40,$AB$6:$AH$6,TRUE,FALSE)</f>
        <v>-37.142857142857132</v>
      </c>
      <c r="EM40" s="2">
        <v>2056.2857142857142</v>
      </c>
      <c r="EN40" s="58">
        <f t="shared" si="53"/>
        <v>-1.9469821776246812E-2</v>
      </c>
      <c r="EO40" s="2">
        <f t="array" ref="EO40:EP40">LINEST($AH40:$AQ40,$AH$6:$AQ$6,TRUE,FALSE)</f>
        <v>-40.915151515151507</v>
      </c>
      <c r="EP40" s="2">
        <v>1721.0242424242424</v>
      </c>
      <c r="EQ40" s="58">
        <f t="shared" si="54"/>
        <v>-3.2719033598681731E-2</v>
      </c>
      <c r="ES40" s="3">
        <f t="shared" si="55"/>
        <v>124.16326530612173</v>
      </c>
      <c r="ET40" s="3">
        <f t="shared" si="92"/>
        <v>196</v>
      </c>
      <c r="EU40" s="3">
        <f t="shared" si="93"/>
        <v>66.306122448979067</v>
      </c>
      <c r="EV40" s="3">
        <f t="shared" si="94"/>
        <v>1873.6530612244842</v>
      </c>
      <c r="EW40" s="3">
        <f t="shared" si="95"/>
        <v>242.46938775509798</v>
      </c>
      <c r="EX40" s="3">
        <f t="shared" si="96"/>
        <v>31.040816326529164</v>
      </c>
      <c r="EY40" s="3">
        <f t="shared" si="97"/>
        <v>265.22448979591627</v>
      </c>
      <c r="EZ40" s="3">
        <f t="shared" si="56"/>
        <v>204940.03364554641</v>
      </c>
      <c r="FA40" s="3">
        <f t="shared" si="98"/>
        <v>26175.317722681422</v>
      </c>
      <c r="FB40" s="29">
        <f t="shared" si="99"/>
        <v>136254.94347107431</v>
      </c>
      <c r="FC40" s="3">
        <f t="shared" si="100"/>
        <v>147423.41998163456</v>
      </c>
      <c r="FD40" s="3">
        <f t="shared" si="101"/>
        <v>52421.571496786062</v>
      </c>
      <c r="FE40" s="3">
        <f t="shared" si="88"/>
        <v>20699.36165289253</v>
      </c>
      <c r="FF40" s="3">
        <f t="shared" si="89"/>
        <v>5507.4389348025761</v>
      </c>
      <c r="FG40" s="29">
        <f t="shared" si="103"/>
        <v>23013.809403122075</v>
      </c>
      <c r="FH40" s="3">
        <f>($EP40+$EO40*FH$6-AQ40)^2</f>
        <v>27682.909421487639</v>
      </c>
      <c r="FI40" s="3"/>
      <c r="FQ40" s="4">
        <f>SQRT(AVERAGE(ES40:FH40))/AVERAGE(AB40:AQ40)</f>
        <v>0.1336121797238618</v>
      </c>
      <c r="FR40" s="160">
        <v>2.4E-2</v>
      </c>
      <c r="FS40" s="161">
        <f t="shared" si="21"/>
        <v>0.17962434300227079</v>
      </c>
      <c r="FV40" s="4">
        <f t="shared" si="58"/>
        <v>1.0481610427990203E-2</v>
      </c>
      <c r="FW40" s="161">
        <f t="shared" si="59"/>
        <v>2.2897244812600692</v>
      </c>
    </row>
    <row r="41" spans="1:179" x14ac:dyDescent="0.3">
      <c r="A41">
        <f t="shared" si="109"/>
        <v>35</v>
      </c>
      <c r="B41" s="6">
        <v>57012</v>
      </c>
      <c r="C41" s="6" t="s">
        <v>133</v>
      </c>
      <c r="D41" s="6">
        <v>2010</v>
      </c>
      <c r="E41" s="6">
        <v>2009</v>
      </c>
      <c r="F41" s="6" t="s">
        <v>252</v>
      </c>
      <c r="G41" s="17" t="s">
        <v>636</v>
      </c>
      <c r="H41" s="17" t="s">
        <v>625</v>
      </c>
      <c r="I41" s="6" t="s">
        <v>36</v>
      </c>
      <c r="J41" s="17">
        <v>0</v>
      </c>
      <c r="K41" s="6" t="s">
        <v>24</v>
      </c>
      <c r="L41" s="12">
        <v>34.597499999999997</v>
      </c>
      <c r="M41" s="12">
        <v>-117.2</v>
      </c>
      <c r="N41" s="14">
        <v>1.2</v>
      </c>
      <c r="O41" s="6">
        <v>1</v>
      </c>
      <c r="P41" s="94">
        <f>365.25*8.4</f>
        <v>3068.1</v>
      </c>
      <c r="Q41" s="15" t="s">
        <v>512</v>
      </c>
      <c r="R41" s="14">
        <v>19.8</v>
      </c>
      <c r="S41" s="3">
        <f t="shared" si="23"/>
        <v>52.913699999999999</v>
      </c>
      <c r="T41" s="128" t="str">
        <f t="shared" si="24"/>
        <v>H</v>
      </c>
      <c r="U41" s="154">
        <v>2138</v>
      </c>
      <c r="V41" s="154">
        <v>489</v>
      </c>
      <c r="W41" s="156">
        <v>0.69599999999999995</v>
      </c>
      <c r="X41" s="1">
        <f t="shared" si="63"/>
        <v>0.22871842843779233</v>
      </c>
      <c r="Y41" s="59">
        <f t="shared" si="25"/>
        <v>6.4775951498970974E-2</v>
      </c>
      <c r="Z41" s="1">
        <f t="shared" si="26"/>
        <v>0.43360999655509364</v>
      </c>
      <c r="AA41" s="3">
        <f t="shared" si="64"/>
        <v>2669.7958307938648</v>
      </c>
      <c r="AB41" s="6">
        <v>2509</v>
      </c>
      <c r="AC41" s="6">
        <v>2631</v>
      </c>
      <c r="AD41" s="6">
        <v>2445</v>
      </c>
      <c r="AE41" s="6">
        <v>2619</v>
      </c>
      <c r="AF41" s="93">
        <v>2588</v>
      </c>
      <c r="AG41" s="6">
        <v>2402</v>
      </c>
      <c r="AH41" s="6">
        <v>2398</v>
      </c>
      <c r="AI41" s="6">
        <v>1628</v>
      </c>
      <c r="AJ41" s="6">
        <v>2330</v>
      </c>
      <c r="AK41" s="93">
        <v>2236</v>
      </c>
      <c r="AL41" s="6">
        <v>2305</v>
      </c>
      <c r="AM41" s="6">
        <v>1809</v>
      </c>
      <c r="AN41" s="6">
        <v>2168</v>
      </c>
      <c r="AO41" s="6">
        <v>969</v>
      </c>
      <c r="AP41" s="93">
        <v>716</v>
      </c>
      <c r="AU41" s="23"/>
      <c r="AY41" s="32">
        <v>15</v>
      </c>
      <c r="AZ41" s="1">
        <f t="shared" si="27"/>
        <v>0.57496677277649222</v>
      </c>
      <c r="BA41" s="24">
        <f t="shared" si="104"/>
        <v>35</v>
      </c>
      <c r="BB41" s="2">
        <f t="shared" si="75"/>
        <v>0.93977223691069589</v>
      </c>
      <c r="BC41" s="2">
        <f t="shared" si="76"/>
        <v>0.99042071870393844</v>
      </c>
      <c r="BD41" s="2">
        <f t="shared" si="77"/>
        <v>0.9250275158503003</v>
      </c>
      <c r="BE41" s="2">
        <f t="shared" si="78"/>
        <v>0.99583687928885189</v>
      </c>
      <c r="BF41" s="20">
        <f t="shared" si="79"/>
        <v>0.98899455030001049</v>
      </c>
      <c r="BG41" s="2">
        <f t="shared" si="80"/>
        <v>0.92252798374431078</v>
      </c>
      <c r="BH41" s="2">
        <f t="shared" si="81"/>
        <v>0.92561981640879554</v>
      </c>
      <c r="BI41" s="2">
        <f t="shared" si="82"/>
        <v>0.63156024539441125</v>
      </c>
      <c r="BJ41" s="2">
        <f t="shared" si="83"/>
        <v>0.90843367437246325</v>
      </c>
      <c r="BK41" s="20">
        <f t="shared" si="84"/>
        <v>0.87616524506516613</v>
      </c>
      <c r="BL41" s="2">
        <f t="shared" si="85"/>
        <v>0.90774125092151614</v>
      </c>
      <c r="BM41" s="2">
        <f t="shared" si="86"/>
        <v>0.71598945831850047</v>
      </c>
      <c r="BN41" s="2">
        <f t="shared" si="90"/>
        <v>0.86239108512963314</v>
      </c>
      <c r="BO41" s="2">
        <f t="shared" si="91"/>
        <v>0.38738756582294059</v>
      </c>
      <c r="BP41" s="20">
        <f t="shared" si="102"/>
        <v>0.28768143828453463</v>
      </c>
      <c r="BU41" s="23"/>
      <c r="BY41" s="25">
        <f t="shared" si="105"/>
        <v>35</v>
      </c>
      <c r="BZ41" s="3">
        <f t="shared" si="106"/>
        <v>38675.213013785629</v>
      </c>
      <c r="CA41" s="3">
        <f t="shared" si="30"/>
        <v>31753</v>
      </c>
      <c r="CB41" s="2">
        <f t="shared" si="31"/>
        <v>0.82101680962123635</v>
      </c>
      <c r="CC41" s="85">
        <f t="shared" si="32"/>
        <v>63</v>
      </c>
      <c r="CD41" s="3" t="str">
        <f t="shared" si="107"/>
        <v>Tracker</v>
      </c>
      <c r="CE41" s="58">
        <f t="shared" si="33"/>
        <v>-4.6788613677723648E-2</v>
      </c>
      <c r="CF41" s="2">
        <f t="array" ref="CF41:CG41">LINEST(AB41:AP41,AB$6:AP$6,TRUE,FALSE)</f>
        <v>-101.41785714285713</v>
      </c>
      <c r="CG41" s="2">
        <v>2928.2095238095239</v>
      </c>
      <c r="CH41" s="1">
        <f t="shared" si="34"/>
        <v>0.95414351201192893</v>
      </c>
      <c r="CI41" s="3"/>
      <c r="CJ41" s="3"/>
      <c r="CK41" s="3"/>
      <c r="CL41" s="3"/>
      <c r="CM41" s="3"/>
      <c r="CN41" s="3"/>
      <c r="CO41" s="3"/>
      <c r="CP41" s="3"/>
      <c r="CQ41" s="3"/>
      <c r="CR41" s="3"/>
      <c r="CS41" s="3"/>
      <c r="CT41" s="3"/>
      <c r="CU41" s="3"/>
      <c r="CV41" s="3"/>
      <c r="DC41" s="2">
        <f t="shared" si="36"/>
        <v>1.2</v>
      </c>
      <c r="DD41">
        <f t="shared" si="108"/>
        <v>1</v>
      </c>
      <c r="DE41">
        <f t="shared" si="37"/>
        <v>16</v>
      </c>
      <c r="DT41">
        <f t="shared" si="38"/>
        <v>17592</v>
      </c>
      <c r="DU41" s="3">
        <f t="shared" si="39"/>
        <v>2669.7958307938648</v>
      </c>
      <c r="DV41" s="3">
        <f t="shared" si="40"/>
        <v>2656.4468516398956</v>
      </c>
      <c r="DW41" s="3">
        <f t="shared" si="41"/>
        <v>2643.1646173816962</v>
      </c>
      <c r="DX41" s="3">
        <f t="shared" si="42"/>
        <v>2629.9487942947876</v>
      </c>
      <c r="DY41" s="3">
        <f t="shared" si="43"/>
        <v>2616.7990503233136</v>
      </c>
      <c r="DZ41" s="3">
        <f t="shared" si="44"/>
        <v>2603.7150550716974</v>
      </c>
      <c r="EA41" s="3">
        <f t="shared" si="45"/>
        <v>2590.6964797963387</v>
      </c>
      <c r="EB41" s="2">
        <f t="shared" si="46"/>
        <v>0.95553821381164306</v>
      </c>
      <c r="ED41" s="2">
        <f t="shared" si="47"/>
        <v>0.82101680962123635</v>
      </c>
      <c r="EE41" s="58">
        <f t="shared" si="48"/>
        <v>-4.6788613677723648E-2</v>
      </c>
      <c r="EF41" s="2" t="str">
        <f t="shared" si="49"/>
        <v xml:space="preserve"> </v>
      </c>
      <c r="EG41" s="58" t="str">
        <f t="shared" si="50"/>
        <v xml:space="preserve"> </v>
      </c>
      <c r="EI41" s="2">
        <f t="shared" si="51"/>
        <v>0.95553821381164306</v>
      </c>
      <c r="EJ41" s="2" t="str">
        <f t="shared" si="52"/>
        <v xml:space="preserve"> </v>
      </c>
      <c r="EK41" s="2"/>
      <c r="EL41" s="2">
        <f t="array" ref="EL41:EM41">LINEST($AB41:$AH41,$AB$6:$AH$6,TRUE,FALSE)</f>
        <v>-23.142857142857146</v>
      </c>
      <c r="EM41" s="2">
        <v>2605.7142857142858</v>
      </c>
      <c r="EN41" s="58">
        <f t="shared" si="53"/>
        <v>-9.2087312414733981E-3</v>
      </c>
      <c r="EO41" s="2">
        <f t="array" ref="EO41:EP41">LINEST($AH41:$AP41,$AH$6:$AP$6,TRUE,FALSE)</f>
        <v>-157.60000000000002</v>
      </c>
      <c r="EP41" s="2">
        <v>3573.4888888888891</v>
      </c>
      <c r="EQ41" s="58">
        <f t="shared" si="54"/>
        <v>-8.5657346458119468E-2</v>
      </c>
      <c r="ES41" s="3">
        <f t="shared" si="55"/>
        <v>5412.7551020407973</v>
      </c>
      <c r="ET41" s="3">
        <f t="shared" si="92"/>
        <v>5122.4693877550835</v>
      </c>
      <c r="EU41" s="3">
        <f t="shared" si="93"/>
        <v>8333.0816326530494</v>
      </c>
      <c r="EV41" s="3">
        <f t="shared" si="94"/>
        <v>11205.73469387751</v>
      </c>
      <c r="EW41" s="3">
        <f t="shared" si="95"/>
        <v>9604</v>
      </c>
      <c r="EX41" s="3">
        <f t="shared" si="96"/>
        <v>4206.4489795918707</v>
      </c>
      <c r="EY41" s="3">
        <f t="shared" si="97"/>
        <v>2089.7959183673529</v>
      </c>
      <c r="EZ41" s="3">
        <f t="shared" si="56"/>
        <v>468798.87456790119</v>
      </c>
      <c r="FA41" s="3">
        <f t="shared" si="98"/>
        <v>30593.896790123432</v>
      </c>
      <c r="FB41" s="29">
        <f t="shared" si="99"/>
        <v>56887.550123456822</v>
      </c>
      <c r="FC41" s="3">
        <f t="shared" si="100"/>
        <v>216328.34567901253</v>
      </c>
      <c r="FD41" s="3">
        <f t="shared" si="101"/>
        <v>16055.705679012373</v>
      </c>
      <c r="FE41" s="3">
        <f t="shared" si="88"/>
        <v>413849.18567901239</v>
      </c>
      <c r="FF41" s="3">
        <f t="shared" si="89"/>
        <v>158474.76345678981</v>
      </c>
      <c r="FG41" s="29">
        <f t="shared" si="103"/>
        <v>243531.28345678982</v>
      </c>
      <c r="FH41" s="3"/>
      <c r="FI41" s="3"/>
      <c r="FQ41" s="4">
        <f>SQRT(AVERAGE(ES41:FG41))/AVERAGE(AB41:AP41)</f>
        <v>0.15669957795301132</v>
      </c>
      <c r="FR41" s="160">
        <v>2.8000000000000001E-2</v>
      </c>
      <c r="FS41" s="161">
        <f t="shared" si="21"/>
        <v>0.17868586735055672</v>
      </c>
      <c r="FV41" s="4">
        <f t="shared" si="58"/>
        <v>3.2247147114215419E-2</v>
      </c>
      <c r="FW41" s="161">
        <f t="shared" si="59"/>
        <v>0.86829386490617144</v>
      </c>
    </row>
    <row r="42" spans="1:179" x14ac:dyDescent="0.3">
      <c r="A42">
        <f t="shared" si="109"/>
        <v>36</v>
      </c>
      <c r="B42" s="6">
        <v>57041</v>
      </c>
      <c r="C42" s="6" t="s">
        <v>134</v>
      </c>
      <c r="D42" s="6">
        <v>2010</v>
      </c>
      <c r="E42" s="6">
        <v>2009</v>
      </c>
      <c r="F42" s="6" t="s">
        <v>248</v>
      </c>
      <c r="G42" s="17" t="s">
        <v>636</v>
      </c>
      <c r="H42" s="17" t="s">
        <v>642</v>
      </c>
      <c r="I42" s="6" t="s">
        <v>35</v>
      </c>
      <c r="J42" s="17">
        <v>30</v>
      </c>
      <c r="K42" s="6" t="s">
        <v>24</v>
      </c>
      <c r="L42" s="12">
        <v>38.410600000000002</v>
      </c>
      <c r="M42" s="12">
        <v>-121.9264</v>
      </c>
      <c r="N42" s="14">
        <v>2.6</v>
      </c>
      <c r="O42" s="6">
        <v>2</v>
      </c>
      <c r="P42" s="94">
        <f>365.25*5.5</f>
        <v>2008.875</v>
      </c>
      <c r="Q42" s="15" t="s">
        <v>507</v>
      </c>
      <c r="R42" s="14">
        <v>16</v>
      </c>
      <c r="S42" s="3">
        <f t="shared" si="23"/>
        <v>42.380499999999998</v>
      </c>
      <c r="T42" s="128" t="str">
        <f t="shared" si="24"/>
        <v>M</v>
      </c>
      <c r="U42" s="154">
        <v>1793</v>
      </c>
      <c r="V42" s="154">
        <v>572</v>
      </c>
      <c r="W42" s="156">
        <v>0.60799999999999998</v>
      </c>
      <c r="X42" s="1">
        <f t="shared" si="63"/>
        <v>0.31901840490797545</v>
      </c>
      <c r="Y42" s="59">
        <f t="shared" si="25"/>
        <v>6.3524716717791585E-3</v>
      </c>
      <c r="Z42" s="1">
        <f t="shared" si="26"/>
        <v>0.92132089375590376</v>
      </c>
      <c r="AA42" s="3">
        <f t="shared" si="64"/>
        <v>4162.9007186893641</v>
      </c>
      <c r="AB42" s="6">
        <v>4189</v>
      </c>
      <c r="AC42" s="6">
        <v>4345</v>
      </c>
      <c r="AD42" s="6">
        <v>4221</v>
      </c>
      <c r="AE42" s="6">
        <v>4707</v>
      </c>
      <c r="AF42" s="93">
        <v>4056</v>
      </c>
      <c r="AG42" s="6">
        <v>4425</v>
      </c>
      <c r="AH42" s="6">
        <v>4028</v>
      </c>
      <c r="AI42" s="6">
        <v>3434</v>
      </c>
      <c r="AJ42" s="6">
        <v>4069</v>
      </c>
      <c r="AK42" s="93">
        <v>3074</v>
      </c>
      <c r="AL42" s="6">
        <v>3579</v>
      </c>
      <c r="AM42" s="6">
        <v>3093</v>
      </c>
      <c r="AN42" s="6">
        <v>3941</v>
      </c>
      <c r="AO42" s="6">
        <v>3714</v>
      </c>
      <c r="AP42" s="93">
        <v>3242</v>
      </c>
      <c r="AU42" s="23"/>
      <c r="AY42" s="32">
        <v>15</v>
      </c>
      <c r="AZ42" s="1">
        <f t="shared" si="27"/>
        <v>0.74179801489863084</v>
      </c>
      <c r="BA42" s="24">
        <f t="shared" si="104"/>
        <v>36</v>
      </c>
      <c r="BB42" s="2">
        <f t="shared" si="75"/>
        <v>1.0062694940557826</v>
      </c>
      <c r="BC42" s="2">
        <f t="shared" si="76"/>
        <v>1.0489883054979781</v>
      </c>
      <c r="BD42" s="2">
        <f t="shared" si="77"/>
        <v>1.0241725630469876</v>
      </c>
      <c r="BE42" s="2">
        <f t="shared" si="78"/>
        <v>1.1478335182813311</v>
      </c>
      <c r="BF42" s="20">
        <f t="shared" si="79"/>
        <v>0.9940530675790421</v>
      </c>
      <c r="BG42" s="2">
        <f t="shared" si="80"/>
        <v>1.0899380591411845</v>
      </c>
      <c r="BH42" s="2">
        <f t="shared" si="81"/>
        <v>0.99713721198550742</v>
      </c>
      <c r="BI42" s="2">
        <f t="shared" si="82"/>
        <v>0.8543634722665544</v>
      </c>
      <c r="BJ42" s="2">
        <f t="shared" si="83"/>
        <v>1.0174357426774554</v>
      </c>
      <c r="BK42" s="20">
        <f t="shared" si="84"/>
        <v>0.77250283686569932</v>
      </c>
      <c r="BL42" s="2">
        <f t="shared" si="85"/>
        <v>0.90393007756490251</v>
      </c>
      <c r="BM42" s="2">
        <f t="shared" si="86"/>
        <v>0.78510904056697117</v>
      </c>
      <c r="BN42" s="2">
        <f t="shared" si="90"/>
        <v>1.0053873404768534</v>
      </c>
      <c r="BO42" s="2">
        <f t="shared" si="91"/>
        <v>0.95223863099589123</v>
      </c>
      <c r="BP42" s="20">
        <f t="shared" si="102"/>
        <v>0.83539876054712958</v>
      </c>
      <c r="BU42" s="23"/>
      <c r="BY42" s="25">
        <f t="shared" si="105"/>
        <v>36</v>
      </c>
      <c r="BZ42" s="3">
        <f t="shared" si="106"/>
        <v>60304.638352318761</v>
      </c>
      <c r="CA42" s="3">
        <f t="shared" si="30"/>
        <v>58117</v>
      </c>
      <c r="CB42" s="2">
        <f t="shared" si="31"/>
        <v>0.96372354744028332</v>
      </c>
      <c r="CC42" s="85">
        <f t="shared" si="32"/>
        <v>20</v>
      </c>
      <c r="CD42" s="3" t="str">
        <f t="shared" si="107"/>
        <v>Fixed</v>
      </c>
      <c r="CE42" s="58">
        <f t="shared" si="33"/>
        <v>-2.0403598252058598E-2</v>
      </c>
      <c r="CF42" s="2">
        <f t="array" ref="CF42:CG42">LINEST(AB42:AP42,AB$6:AP$6,TRUE,FALSE)</f>
        <v>-79.867857142857133</v>
      </c>
      <c r="CG42" s="2">
        <v>4513.4095238095233</v>
      </c>
      <c r="CH42" s="1">
        <f t="shared" si="34"/>
        <v>0.9962763120119289</v>
      </c>
      <c r="CI42" s="3"/>
      <c r="CJ42" s="3"/>
      <c r="CK42" s="3"/>
      <c r="CL42" s="3"/>
      <c r="CM42" s="3"/>
      <c r="CN42" s="3"/>
      <c r="CO42" s="3"/>
      <c r="CP42" s="3"/>
      <c r="CQ42" s="3"/>
      <c r="CR42" s="3"/>
      <c r="CS42" s="3"/>
      <c r="CT42" s="3"/>
      <c r="CU42" s="3"/>
      <c r="CV42" s="3"/>
      <c r="DC42" s="2">
        <f t="shared" si="36"/>
        <v>1.3</v>
      </c>
      <c r="DD42">
        <f t="shared" si="108"/>
        <v>1</v>
      </c>
      <c r="DE42">
        <f t="shared" si="37"/>
        <v>16</v>
      </c>
      <c r="DT42">
        <f t="shared" si="38"/>
        <v>29971</v>
      </c>
      <c r="DU42" s="3">
        <f t="shared" si="39"/>
        <v>4162.9007186893641</v>
      </c>
      <c r="DV42" s="3">
        <f t="shared" si="40"/>
        <v>4142.0862150959174</v>
      </c>
      <c r="DW42" s="3">
        <f t="shared" si="41"/>
        <v>4121.375784020438</v>
      </c>
      <c r="DX42" s="3">
        <f t="shared" si="42"/>
        <v>4100.7689051003354</v>
      </c>
      <c r="DY42" s="3">
        <f t="shared" si="43"/>
        <v>4080.265060574834</v>
      </c>
      <c r="DZ42" s="3">
        <f t="shared" si="44"/>
        <v>4059.8637352719602</v>
      </c>
      <c r="EA42" s="3">
        <f t="shared" si="45"/>
        <v>4039.5644165956005</v>
      </c>
      <c r="EB42" s="2">
        <f t="shared" si="46"/>
        <v>1.0440374430785149</v>
      </c>
      <c r="ED42" s="2" t="str">
        <f t="shared" si="47"/>
        <v xml:space="preserve"> </v>
      </c>
      <c r="EE42" s="58" t="str">
        <f t="shared" si="48"/>
        <v xml:space="preserve"> </v>
      </c>
      <c r="EF42" s="2" t="str">
        <f t="shared" si="49"/>
        <v xml:space="preserve"> </v>
      </c>
      <c r="EG42" s="58" t="str">
        <f t="shared" si="50"/>
        <v xml:space="preserve"> </v>
      </c>
      <c r="EI42" s="2" t="str">
        <f t="shared" si="51"/>
        <v xml:space="preserve"> </v>
      </c>
      <c r="EJ42" s="2" t="str">
        <f t="shared" si="52"/>
        <v xml:space="preserve"> </v>
      </c>
      <c r="EK42" s="2"/>
      <c r="EL42" s="2">
        <f t="array" ref="EL42:EM42">LINEST($AB42:$AH42,$AB$6:$AH$6,TRUE,FALSE)</f>
        <v>-17.428571428571416</v>
      </c>
      <c r="EM42" s="2">
        <v>4351.2857142857138</v>
      </c>
      <c r="EN42" s="58">
        <f t="shared" si="53"/>
        <v>-4.0706015815288087E-3</v>
      </c>
      <c r="EO42" s="2">
        <f t="array" ref="EO42:EP42">LINEST($AH42:$AP42,$AH$6:$AP$6,TRUE,FALSE)</f>
        <v>-42.35</v>
      </c>
      <c r="EP42" s="2">
        <v>4040.7388888888886</v>
      </c>
      <c r="EQ42" s="58">
        <f t="shared" si="54"/>
        <v>-1.1846522036426929E-2</v>
      </c>
      <c r="ES42" s="3">
        <f t="shared" si="55"/>
        <v>20983.591836734504</v>
      </c>
      <c r="ET42" s="3">
        <f t="shared" si="92"/>
        <v>816.32653061228939</v>
      </c>
      <c r="EU42" s="3">
        <f t="shared" si="93"/>
        <v>6083.9999999998581</v>
      </c>
      <c r="EV42" s="3">
        <f t="shared" si="94"/>
        <v>180989.46938775521</v>
      </c>
      <c r="EW42" s="3">
        <f t="shared" si="95"/>
        <v>43323.448979591725</v>
      </c>
      <c r="EX42" s="3">
        <f t="shared" si="96"/>
        <v>31785.795918367487</v>
      </c>
      <c r="EY42" s="3">
        <f t="shared" si="97"/>
        <v>40515.938775509996</v>
      </c>
      <c r="EZ42" s="3">
        <f t="shared" si="56"/>
        <v>71791.248179012095</v>
      </c>
      <c r="FA42" s="3">
        <f t="shared" si="98"/>
        <v>167617.45790123488</v>
      </c>
      <c r="FB42" s="29">
        <f t="shared" si="99"/>
        <v>295108.49040123424</v>
      </c>
      <c r="FC42" s="3">
        <f t="shared" si="100"/>
        <v>16.901234567902897</v>
      </c>
      <c r="FD42" s="3">
        <f t="shared" si="101"/>
        <v>193194.43484567851</v>
      </c>
      <c r="FE42" s="3">
        <f t="shared" si="88"/>
        <v>203230.65790123498</v>
      </c>
      <c r="FF42" s="3">
        <f t="shared" si="89"/>
        <v>70841.737067901442</v>
      </c>
      <c r="FG42" s="29">
        <f t="shared" si="103"/>
        <v>26728.61679012336</v>
      </c>
      <c r="FH42" s="3"/>
      <c r="FI42" s="3"/>
      <c r="FQ42" s="4">
        <f>SQRT(AVERAGE(ES42:FG42))/AVERAGE(AB42:AP42)</f>
        <v>7.7516802874618554E-2</v>
      </c>
      <c r="FR42" s="160">
        <v>3.2000000000000001E-2</v>
      </c>
      <c r="FS42" s="161">
        <f t="shared" si="21"/>
        <v>0.41281372313250819</v>
      </c>
      <c r="FV42" s="4">
        <f t="shared" si="58"/>
        <v>5.0286820929700715E-2</v>
      </c>
      <c r="FW42" s="161">
        <f t="shared" si="59"/>
        <v>0.63634963213790996</v>
      </c>
    </row>
    <row r="43" spans="1:179" x14ac:dyDescent="0.3">
      <c r="A43">
        <f t="shared" si="109"/>
        <v>37</v>
      </c>
      <c r="B43" s="6">
        <v>56922</v>
      </c>
      <c r="C43" s="6" t="s">
        <v>561</v>
      </c>
      <c r="D43" s="6">
        <v>2010</v>
      </c>
      <c r="E43" s="6">
        <v>2009</v>
      </c>
      <c r="F43" s="6" t="s">
        <v>252</v>
      </c>
      <c r="G43" s="17" t="s">
        <v>636</v>
      </c>
      <c r="H43" s="17" t="s">
        <v>625</v>
      </c>
      <c r="I43" s="6" t="s">
        <v>36</v>
      </c>
      <c r="J43" s="17">
        <v>0</v>
      </c>
      <c r="K43" s="6" t="s">
        <v>51</v>
      </c>
      <c r="L43" s="12">
        <v>39.523000000000003</v>
      </c>
      <c r="M43" s="12">
        <v>-107.813</v>
      </c>
      <c r="N43" s="14">
        <v>2.2000000000000002</v>
      </c>
      <c r="O43" s="6">
        <v>1.5</v>
      </c>
      <c r="P43" s="94">
        <f>365.25*7</f>
        <v>2556.75</v>
      </c>
      <c r="Q43" s="15" t="s">
        <v>562</v>
      </c>
      <c r="R43" s="14">
        <v>11.7</v>
      </c>
      <c r="S43" s="3">
        <f t="shared" si="23"/>
        <v>41.202749999999995</v>
      </c>
      <c r="T43" s="128" t="str">
        <f t="shared" si="24"/>
        <v>M</v>
      </c>
      <c r="U43" s="154">
        <v>1823</v>
      </c>
      <c r="V43" s="154">
        <v>575</v>
      </c>
      <c r="W43" s="156">
        <v>0.622</v>
      </c>
      <c r="X43" s="1">
        <f t="shared" si="63"/>
        <v>0.31541415249588589</v>
      </c>
      <c r="Y43" s="59">
        <f t="shared" si="25"/>
        <v>9.9685064679648994E-2</v>
      </c>
      <c r="Z43" s="1">
        <f t="shared" si="26"/>
        <v>0.27639139102619964</v>
      </c>
      <c r="AA43" s="3">
        <f t="shared" si="64"/>
        <v>4279.1066462974277</v>
      </c>
      <c r="AB43" s="6">
        <v>3115</v>
      </c>
      <c r="AC43" s="6">
        <v>2973</v>
      </c>
      <c r="AD43" s="6">
        <v>3174</v>
      </c>
      <c r="AE43" s="6">
        <v>2922</v>
      </c>
      <c r="AF43" s="93">
        <v>2973</v>
      </c>
      <c r="AG43" s="6">
        <v>0</v>
      </c>
      <c r="AH43" s="6">
        <v>2981</v>
      </c>
      <c r="AI43" s="6">
        <v>2809</v>
      </c>
      <c r="AJ43" s="6">
        <v>2960</v>
      </c>
      <c r="AK43" s="93">
        <v>2852</v>
      </c>
      <c r="AL43" s="6">
        <v>2744</v>
      </c>
      <c r="AM43" s="6">
        <v>1991</v>
      </c>
      <c r="AN43" s="6">
        <v>2084</v>
      </c>
      <c r="AO43" s="6">
        <v>1002</v>
      </c>
      <c r="AP43" s="93">
        <v>1699</v>
      </c>
      <c r="AU43" s="23"/>
      <c r="AY43" s="32">
        <v>15</v>
      </c>
      <c r="AZ43" s="1">
        <f t="shared" si="27"/>
        <v>0.4299847995946558</v>
      </c>
      <c r="BA43" s="24">
        <f t="shared" si="104"/>
        <v>37</v>
      </c>
      <c r="BB43" s="2">
        <f t="shared" si="75"/>
        <v>0.72795568268795274</v>
      </c>
      <c r="BC43" s="2">
        <f t="shared" si="76"/>
        <v>0.6982624985703102</v>
      </c>
      <c r="BD43" s="2">
        <f t="shared" si="77"/>
        <v>0.7492170473836266</v>
      </c>
      <c r="BE43" s="2">
        <f t="shared" si="78"/>
        <v>0.69319889062671813</v>
      </c>
      <c r="BF43" s="20">
        <f t="shared" si="79"/>
        <v>0.70884205484411533</v>
      </c>
      <c r="BG43" s="2">
        <f t="shared" si="80"/>
        <v>0</v>
      </c>
      <c r="BH43" s="2">
        <f t="shared" si="81"/>
        <v>0.71791062552299512</v>
      </c>
      <c r="BI43" s="2">
        <f t="shared" si="82"/>
        <v>0.67988751105210499</v>
      </c>
      <c r="BJ43" s="2">
        <f t="shared" si="83"/>
        <v>0.72003557578359256</v>
      </c>
      <c r="BK43" s="20">
        <f t="shared" si="84"/>
        <v>0.69725025877183422</v>
      </c>
      <c r="BL43" s="2">
        <f t="shared" si="85"/>
        <v>0.67421776134174127</v>
      </c>
      <c r="BM43" s="2">
        <f t="shared" si="86"/>
        <v>0.49165930337965585</v>
      </c>
      <c r="BN43" s="2">
        <f t="shared" si="90"/>
        <v>0.51721086004770356</v>
      </c>
      <c r="BO43" s="2">
        <f t="shared" si="91"/>
        <v>0.24992779722402747</v>
      </c>
      <c r="BP43" s="20">
        <f t="shared" si="102"/>
        <v>0.42590931452032882</v>
      </c>
      <c r="BU43" s="23"/>
      <c r="BY43" s="25">
        <f t="shared" si="105"/>
        <v>37</v>
      </c>
      <c r="BZ43" s="3">
        <f t="shared" si="106"/>
        <v>61988.021385533713</v>
      </c>
      <c r="CA43" s="3">
        <f t="shared" si="30"/>
        <v>36279</v>
      </c>
      <c r="CB43" s="2">
        <f t="shared" si="31"/>
        <v>0.58525823520585085</v>
      </c>
      <c r="CC43" s="85">
        <f t="shared" si="32"/>
        <v>96</v>
      </c>
      <c r="CD43" s="3" t="str">
        <f t="shared" si="107"/>
        <v>Tracker</v>
      </c>
      <c r="CE43" s="58">
        <f t="shared" si="33"/>
        <v>-3.7550386428772196E-2</v>
      </c>
      <c r="CF43" s="2">
        <f t="array" ref="CF43:CG43">LINEST(AB43:AP43,AB$6:AP$6,TRUE,FALSE)</f>
        <v>-92.557142857142821</v>
      </c>
      <c r="CG43" s="2">
        <v>3159.0571428571425</v>
      </c>
      <c r="CH43" s="1">
        <f t="shared" si="34"/>
        <v>1.000987312011929</v>
      </c>
      <c r="CI43" s="3"/>
      <c r="CJ43" s="3"/>
      <c r="CK43" s="3"/>
      <c r="CL43" s="3"/>
      <c r="CM43" s="3"/>
      <c r="CN43" s="3"/>
      <c r="CO43" s="3"/>
      <c r="CP43" s="3"/>
      <c r="CQ43" s="3"/>
      <c r="CR43" s="3"/>
      <c r="CS43" s="3"/>
      <c r="CT43" s="3"/>
      <c r="CU43" s="3"/>
      <c r="CV43" s="3"/>
      <c r="DC43" s="2">
        <f t="shared" si="36"/>
        <v>1.4666666666666668</v>
      </c>
      <c r="DD43">
        <f t="shared" si="108"/>
        <v>1</v>
      </c>
      <c r="DE43">
        <f t="shared" si="37"/>
        <v>16</v>
      </c>
      <c r="DT43">
        <f t="shared" si="38"/>
        <v>18138</v>
      </c>
      <c r="DU43" s="3">
        <f t="shared" si="39"/>
        <v>4279.1066462974277</v>
      </c>
      <c r="DV43" s="3">
        <f t="shared" si="40"/>
        <v>4257.7111130659405</v>
      </c>
      <c r="DW43" s="3">
        <f t="shared" si="41"/>
        <v>4236.4225575006112</v>
      </c>
      <c r="DX43" s="3">
        <f t="shared" si="42"/>
        <v>4215.2404447131075</v>
      </c>
      <c r="DY43" s="3">
        <f t="shared" si="43"/>
        <v>4194.1642424895426</v>
      </c>
      <c r="DZ43" s="3">
        <f t="shared" si="44"/>
        <v>4279.1066462974277</v>
      </c>
      <c r="EA43" s="3">
        <f t="shared" si="45"/>
        <v>4152.3274541707096</v>
      </c>
      <c r="EB43" s="2">
        <f t="shared" si="46"/>
        <v>0.6124789474619371</v>
      </c>
      <c r="ED43" s="2" t="str">
        <f t="shared" si="47"/>
        <v xml:space="preserve"> </v>
      </c>
      <c r="EE43" s="58" t="str">
        <f t="shared" si="48"/>
        <v xml:space="preserve"> </v>
      </c>
      <c r="EF43" s="2" t="str">
        <f t="shared" si="49"/>
        <v xml:space="preserve"> </v>
      </c>
      <c r="EG43" s="58" t="str">
        <f t="shared" si="50"/>
        <v xml:space="preserve"> </v>
      </c>
      <c r="EI43" s="2" t="str">
        <f t="shared" si="51"/>
        <v xml:space="preserve"> </v>
      </c>
      <c r="EJ43" s="2" t="str">
        <f t="shared" si="52"/>
        <v xml:space="preserve"> </v>
      </c>
      <c r="EK43" s="2"/>
      <c r="EL43" s="2">
        <f t="array" ref="EL43:EM43">LINEST($AB43:$AH43,$AB$6:$AH$6,TRUE,FALSE)</f>
        <v>-233.89285714285708</v>
      </c>
      <c r="EM43" s="2">
        <v>3526.7142857142858</v>
      </c>
      <c r="EN43" s="58">
        <f t="shared" si="53"/>
        <v>-9.0266291763149153E-2</v>
      </c>
      <c r="EO43" s="2">
        <f t="array" ref="EO43:EP43">LINEST($AH43:$AP43,$AH$6:$AP$6,TRUE,FALSE)</f>
        <v>-219.36666666666659</v>
      </c>
      <c r="EP43" s="2">
        <v>4759.9222222222215</v>
      </c>
      <c r="EQ43" s="58">
        <f t="shared" si="54"/>
        <v>-9.3471262191080345E-2</v>
      </c>
      <c r="ES43" s="3">
        <f t="shared" si="55"/>
        <v>31620.460459183789</v>
      </c>
      <c r="ET43" s="3">
        <f t="shared" si="92"/>
        <v>7383.7193877551244</v>
      </c>
      <c r="EU43" s="3">
        <f t="shared" si="93"/>
        <v>121776.07270408137</v>
      </c>
      <c r="EV43" s="3">
        <f t="shared" si="94"/>
        <v>109466.4489795917</v>
      </c>
      <c r="EW43" s="3">
        <f t="shared" si="95"/>
        <v>379148.06249999942</v>
      </c>
      <c r="EX43" s="3">
        <f t="shared" si="96"/>
        <v>4508645.5561224502</v>
      </c>
      <c r="EY43" s="3">
        <f t="shared" si="97"/>
        <v>1191450.2155612234</v>
      </c>
      <c r="EZ43" s="3">
        <f t="shared" si="56"/>
        <v>38411.644567901298</v>
      </c>
      <c r="FA43" s="3">
        <f t="shared" si="98"/>
        <v>30407.609382716037</v>
      </c>
      <c r="FB43" s="29">
        <f t="shared" si="99"/>
        <v>81649.887530864245</v>
      </c>
      <c r="FC43" s="3">
        <f t="shared" si="100"/>
        <v>157697.23456790103</v>
      </c>
      <c r="FD43" s="3">
        <f t="shared" si="101"/>
        <v>18638.317160493862</v>
      </c>
      <c r="FE43" s="3">
        <f t="shared" si="88"/>
        <v>30921.268641975144</v>
      </c>
      <c r="FF43" s="3">
        <f t="shared" si="89"/>
        <v>471678.97790123505</v>
      </c>
      <c r="FG43" s="29">
        <f t="shared" si="103"/>
        <v>52705.956049382403</v>
      </c>
      <c r="FH43" s="3"/>
      <c r="FI43" s="3"/>
      <c r="FQ43" s="4">
        <f>SQRT(AVERAGE(ES43:FG43))/AVERAGE(AB43:AP43)</f>
        <v>0.287083057530089</v>
      </c>
      <c r="FR43" s="160">
        <v>4.7E-2</v>
      </c>
      <c r="FS43" s="161">
        <f t="shared" si="21"/>
        <v>0.16371568703622977</v>
      </c>
      <c r="FV43" s="4">
        <f t="shared" si="58"/>
        <v>0.36756069373215727</v>
      </c>
      <c r="FW43" s="161">
        <f t="shared" si="59"/>
        <v>0.12787003834052249</v>
      </c>
    </row>
    <row r="44" spans="1:179" x14ac:dyDescent="0.3">
      <c r="A44">
        <f t="shared" si="109"/>
        <v>38</v>
      </c>
      <c r="B44" s="6">
        <v>57006</v>
      </c>
      <c r="C44" s="6" t="s">
        <v>563</v>
      </c>
      <c r="D44" s="6">
        <v>2009</v>
      </c>
      <c r="E44" s="6">
        <v>2009</v>
      </c>
      <c r="F44" s="6" t="s">
        <v>252</v>
      </c>
      <c r="G44" s="17" t="s">
        <v>636</v>
      </c>
      <c r="H44" s="17" t="s">
        <v>625</v>
      </c>
      <c r="I44" s="6" t="s">
        <v>35</v>
      </c>
      <c r="J44" s="17">
        <v>15</v>
      </c>
      <c r="K44" s="6" t="s">
        <v>24</v>
      </c>
      <c r="L44" s="12">
        <v>38.674999999999997</v>
      </c>
      <c r="M44" s="12">
        <v>-121.71299999999999</v>
      </c>
      <c r="N44" s="14">
        <v>1.2</v>
      </c>
      <c r="O44" s="6">
        <v>0.9</v>
      </c>
      <c r="P44" s="94">
        <f>365.25*(4.9+(5.2-4.9)*0.625)</f>
        <v>1858.2093750000001</v>
      </c>
      <c r="Q44" s="15" t="s">
        <v>507</v>
      </c>
      <c r="R44" s="14">
        <v>16</v>
      </c>
      <c r="S44" s="3">
        <f t="shared" si="23"/>
        <v>41.260562499999999</v>
      </c>
      <c r="T44" s="128" t="str">
        <f t="shared" si="24"/>
        <v>M</v>
      </c>
      <c r="U44" s="154">
        <v>1793</v>
      </c>
      <c r="V44" s="154">
        <v>572</v>
      </c>
      <c r="W44" s="156">
        <v>0.60799999999999998</v>
      </c>
      <c r="X44" s="1">
        <f t="shared" si="63"/>
        <v>0.31901840490797545</v>
      </c>
      <c r="Y44" s="59">
        <f t="shared" si="25"/>
        <v>0</v>
      </c>
      <c r="Z44" s="1">
        <f t="shared" si="26"/>
        <v>1</v>
      </c>
      <c r="AA44" s="3">
        <f t="shared" si="64"/>
        <v>1785.2297246579021</v>
      </c>
      <c r="AB44" s="6">
        <v>1800</v>
      </c>
      <c r="AC44" s="6">
        <v>1681</v>
      </c>
      <c r="AD44" s="6">
        <v>1733</v>
      </c>
      <c r="AE44" s="6">
        <v>1656</v>
      </c>
      <c r="AF44" s="93">
        <v>1544</v>
      </c>
      <c r="AG44" s="6">
        <v>1586</v>
      </c>
      <c r="AH44" s="6">
        <v>1470</v>
      </c>
      <c r="AI44" s="6">
        <v>460</v>
      </c>
      <c r="AJ44" s="6">
        <v>660</v>
      </c>
      <c r="AK44" s="93">
        <v>832</v>
      </c>
      <c r="AL44" s="6">
        <v>1569</v>
      </c>
      <c r="AM44" s="6">
        <v>1346</v>
      </c>
      <c r="AN44" s="6">
        <v>1187</v>
      </c>
      <c r="AO44" s="6">
        <v>1011</v>
      </c>
      <c r="AP44" s="93">
        <v>775</v>
      </c>
      <c r="AQ44" s="6">
        <v>908</v>
      </c>
      <c r="AU44" s="23"/>
      <c r="AY44" s="32">
        <v>16</v>
      </c>
      <c r="AZ44" s="1">
        <f t="shared" si="27"/>
        <v>0.56668578229153177</v>
      </c>
      <c r="BA44" s="24">
        <f t="shared" si="104"/>
        <v>38</v>
      </c>
      <c r="BB44" s="2">
        <f t="shared" si="75"/>
        <v>1.0082735992674154</v>
      </c>
      <c r="BC44" s="2">
        <f t="shared" si="76"/>
        <v>0.94634724755361543</v>
      </c>
      <c r="BD44" s="2">
        <f t="shared" si="77"/>
        <v>0.98052414362736684</v>
      </c>
      <c r="BE44" s="2">
        <f t="shared" si="78"/>
        <v>0.9416661970248934</v>
      </c>
      <c r="BF44" s="20">
        <f t="shared" si="79"/>
        <v>0.88239058104922885</v>
      </c>
      <c r="BG44" s="2">
        <f t="shared" si="80"/>
        <v>0.91094817451511245</v>
      </c>
      <c r="BH44" s="2">
        <f t="shared" si="81"/>
        <v>0.84856426935257312</v>
      </c>
      <c r="BI44" s="2">
        <f t="shared" si="82"/>
        <v>0.26687147567920122</v>
      </c>
      <c r="BJ44" s="2">
        <f t="shared" si="83"/>
        <v>0.38482668548890714</v>
      </c>
      <c r="BK44" s="20">
        <f t="shared" si="84"/>
        <v>0.4875526150856872</v>
      </c>
      <c r="BL44" s="2">
        <f t="shared" si="85"/>
        <v>0.92405543712485883</v>
      </c>
      <c r="BM44" s="2">
        <f t="shared" si="86"/>
        <v>0.79670411866218294</v>
      </c>
      <c r="BN44" s="2">
        <f t="shared" si="90"/>
        <v>0.70612183417235574</v>
      </c>
      <c r="BO44" s="2">
        <f t="shared" si="91"/>
        <v>0.60444528823413757</v>
      </c>
      <c r="BP44" s="20">
        <f t="shared" si="102"/>
        <v>0.46567665069308617</v>
      </c>
      <c r="BQ44" s="2">
        <f>IF(ISNUMBER(AQ44),MIN(1.15,AQ44/($AA44*(1-$K$3)^(BQ$6-1))),"")</f>
        <v>0.54833444490753414</v>
      </c>
      <c r="BU44" s="23"/>
      <c r="BY44" s="25">
        <f t="shared" si="105"/>
        <v>38</v>
      </c>
      <c r="BZ44" s="3">
        <f t="shared" si="106"/>
        <v>27517.129665433597</v>
      </c>
      <c r="CA44" s="3">
        <f t="shared" si="30"/>
        <v>20218</v>
      </c>
      <c r="CB44" s="2">
        <f t="shared" si="31"/>
        <v>0.73474233126129429</v>
      </c>
      <c r="CC44" s="85">
        <f t="shared" si="32"/>
        <v>81</v>
      </c>
      <c r="CD44" s="3" t="str">
        <f t="shared" si="107"/>
        <v>Fixed</v>
      </c>
      <c r="CE44" s="58">
        <f t="shared" si="33"/>
        <v>-4.6054770908611306E-2</v>
      </c>
      <c r="CF44" s="2">
        <f t="array" ref="CF44:CG44">LINEST(AB44:AQ44,AB$6:AQ$6,TRUE,FALSE)</f>
        <v>-59.567647058823532</v>
      </c>
      <c r="CG44" s="2">
        <v>1769.95</v>
      </c>
      <c r="CH44" s="1">
        <f t="shared" si="34"/>
        <v>1.0007560620119289</v>
      </c>
      <c r="CI44" s="3"/>
      <c r="CJ44" s="3"/>
      <c r="CK44" s="3"/>
      <c r="CL44" s="3"/>
      <c r="CM44" s="3"/>
      <c r="CN44" s="3"/>
      <c r="CO44" s="3"/>
      <c r="CP44" s="3"/>
      <c r="CQ44" s="3"/>
      <c r="CR44" s="3"/>
      <c r="CS44" s="3"/>
      <c r="CT44" s="3"/>
      <c r="CU44" s="3"/>
      <c r="CV44" s="3"/>
      <c r="DC44" s="2">
        <f t="shared" si="36"/>
        <v>1.3333333333333333</v>
      </c>
      <c r="DD44">
        <f t="shared" si="108"/>
        <v>0</v>
      </c>
      <c r="DE44">
        <f t="shared" si="37"/>
        <v>16</v>
      </c>
      <c r="DT44">
        <f t="shared" si="38"/>
        <v>11470</v>
      </c>
      <c r="DU44" s="3">
        <f t="shared" si="39"/>
        <v>1785.2297246579021</v>
      </c>
      <c r="DV44" s="3">
        <f t="shared" si="40"/>
        <v>1776.3035760346127</v>
      </c>
      <c r="DW44" s="3">
        <f t="shared" si="41"/>
        <v>1767.4220581544396</v>
      </c>
      <c r="DX44" s="3">
        <f t="shared" si="42"/>
        <v>1758.5849478636674</v>
      </c>
      <c r="DY44" s="3">
        <f t="shared" si="43"/>
        <v>1749.792023124349</v>
      </c>
      <c r="DZ44" s="3">
        <f t="shared" si="44"/>
        <v>1741.0430630087274</v>
      </c>
      <c r="EA44" s="3">
        <f t="shared" si="45"/>
        <v>1732.3378476936839</v>
      </c>
      <c r="EB44" s="2">
        <f t="shared" si="46"/>
        <v>0.93170881133279626</v>
      </c>
      <c r="ED44" s="2" t="str">
        <f t="shared" si="47"/>
        <v xml:space="preserve"> </v>
      </c>
      <c r="EE44" s="58" t="str">
        <f t="shared" si="48"/>
        <v xml:space="preserve"> </v>
      </c>
      <c r="EF44" s="2" t="str">
        <f t="shared" si="49"/>
        <v xml:space="preserve"> </v>
      </c>
      <c r="EG44" s="58" t="str">
        <f t="shared" si="50"/>
        <v xml:space="preserve"> </v>
      </c>
      <c r="EI44" s="2" t="str">
        <f t="shared" si="51"/>
        <v xml:space="preserve"> </v>
      </c>
      <c r="EJ44" s="2" t="str">
        <f t="shared" si="52"/>
        <v xml:space="preserve"> </v>
      </c>
      <c r="EK44" s="2"/>
      <c r="EL44" s="2">
        <f t="array" ref="EL44:EM44">LINEST($AB44:$AH44,$AB$6:$AH$6,TRUE,FALSE)</f>
        <v>-48.892857142857139</v>
      </c>
      <c r="EM44" s="2">
        <v>1834.1428571428573</v>
      </c>
      <c r="EN44" s="58">
        <f t="shared" si="53"/>
        <v>-2.9838709677419348E-2</v>
      </c>
      <c r="EO44" s="2">
        <f t="array" ref="EO44:EP44">LINEST($AH44:$AQ44,$AH$6:$AQ$6,TRUE,FALSE)</f>
        <v>-1.5515151515151466</v>
      </c>
      <c r="EP44" s="2">
        <v>1039.6424242424241</v>
      </c>
      <c r="EQ44" s="58">
        <f t="shared" si="54"/>
        <v>-1.5184137321541855E-3</v>
      </c>
      <c r="ES44" s="3">
        <f t="shared" si="55"/>
        <v>217.56249999999329</v>
      </c>
      <c r="ET44" s="3">
        <f t="shared" si="92"/>
        <v>3064.4132653061511</v>
      </c>
      <c r="EU44" s="3">
        <f t="shared" si="93"/>
        <v>2073.5012755101775</v>
      </c>
      <c r="EV44" s="3">
        <f t="shared" si="94"/>
        <v>303.75510204080501</v>
      </c>
      <c r="EW44" s="3">
        <f t="shared" si="95"/>
        <v>2086.531887755114</v>
      </c>
      <c r="EX44" s="3">
        <f t="shared" si="96"/>
        <v>2044.3316326530464</v>
      </c>
      <c r="EY44" s="3">
        <f t="shared" si="97"/>
        <v>479.29719387755955</v>
      </c>
      <c r="EZ44" s="3">
        <f t="shared" si="56"/>
        <v>321750.2166758494</v>
      </c>
      <c r="FA44" s="3">
        <f t="shared" si="98"/>
        <v>133720.97590449941</v>
      </c>
      <c r="FB44" s="29">
        <f t="shared" si="99"/>
        <v>36912.888925619787</v>
      </c>
      <c r="FC44" s="3">
        <f t="shared" si="100"/>
        <v>298579.45270890731</v>
      </c>
      <c r="FD44" s="3">
        <f t="shared" si="101"/>
        <v>105609.24301193758</v>
      </c>
      <c r="FE44" s="3">
        <f t="shared" si="88"/>
        <v>28065.387107438048</v>
      </c>
      <c r="FF44" s="3">
        <f t="shared" si="89"/>
        <v>47.903177226813007</v>
      </c>
      <c r="FG44" s="29">
        <f t="shared" si="103"/>
        <v>58259.330615243292</v>
      </c>
      <c r="FH44" s="3">
        <f>($EP44+$EO44*FH$6-AQ44)^2</f>
        <v>11410.123966942136</v>
      </c>
      <c r="FI44" s="3"/>
      <c r="FQ44" s="4">
        <f>SQRT(AVERAGE(ES44:FH44))/AVERAGE(AB44:AQ44)</f>
        <v>0.19830048272048423</v>
      </c>
      <c r="FR44" s="160">
        <v>2.8000000000000001E-2</v>
      </c>
      <c r="FS44" s="161">
        <f t="shared" si="21"/>
        <v>0.14119985799261814</v>
      </c>
      <c r="FV44" s="4">
        <f t="shared" si="58"/>
        <v>2.3375342674182256E-2</v>
      </c>
      <c r="FW44" s="161">
        <f t="shared" si="59"/>
        <v>1.197843402352583</v>
      </c>
    </row>
    <row r="45" spans="1:179" x14ac:dyDescent="0.3">
      <c r="A45">
        <f t="shared" si="109"/>
        <v>39</v>
      </c>
      <c r="B45" s="6">
        <v>54569</v>
      </c>
      <c r="C45" s="6" t="s">
        <v>135</v>
      </c>
      <c r="D45" s="6">
        <v>2010</v>
      </c>
      <c r="E45" s="6">
        <v>2007</v>
      </c>
      <c r="F45" s="6" t="s">
        <v>261</v>
      </c>
      <c r="G45" s="17" t="s">
        <v>636</v>
      </c>
      <c r="H45" s="17" t="s">
        <v>638</v>
      </c>
      <c r="I45" s="6" t="s">
        <v>35</v>
      </c>
      <c r="J45" s="17">
        <v>10</v>
      </c>
      <c r="K45" s="6" t="s">
        <v>52</v>
      </c>
      <c r="L45" s="12">
        <v>39.908999999999999</v>
      </c>
      <c r="M45" s="12">
        <v>-74.177999999999997</v>
      </c>
      <c r="N45" s="14">
        <v>0.28000000000000003</v>
      </c>
      <c r="O45" s="6">
        <v>0.5</v>
      </c>
      <c r="P45" s="94">
        <f>365.25*4.3</f>
        <v>1570.575</v>
      </c>
      <c r="Q45" s="15" t="s">
        <v>529</v>
      </c>
      <c r="R45" s="14">
        <v>11.7</v>
      </c>
      <c r="S45" s="3">
        <f t="shared" si="23"/>
        <v>34.822499999999998</v>
      </c>
      <c r="T45" s="128" t="str">
        <f t="shared" si="24"/>
        <v>C</v>
      </c>
      <c r="U45" s="154">
        <v>1486</v>
      </c>
      <c r="V45" s="154">
        <v>672</v>
      </c>
      <c r="W45" s="156">
        <v>0.50900000000000001</v>
      </c>
      <c r="X45" s="1">
        <f t="shared" si="63"/>
        <v>0.45222072678331088</v>
      </c>
      <c r="Y45" s="59">
        <f t="shared" si="25"/>
        <v>0</v>
      </c>
      <c r="Z45" s="1">
        <f t="shared" si="26"/>
        <v>1</v>
      </c>
      <c r="AA45" s="3">
        <f t="shared" si="64"/>
        <v>361.13465743894238</v>
      </c>
      <c r="AB45" s="6">
        <v>217</v>
      </c>
      <c r="AC45" s="6">
        <v>229</v>
      </c>
      <c r="AD45" s="6">
        <v>247</v>
      </c>
      <c r="AE45" s="6">
        <v>240</v>
      </c>
      <c r="AF45" s="93">
        <v>249</v>
      </c>
      <c r="AG45" s="6">
        <v>278</v>
      </c>
      <c r="AH45" s="6">
        <v>294</v>
      </c>
      <c r="AI45" s="6">
        <v>233</v>
      </c>
      <c r="AJ45" s="6">
        <v>217</v>
      </c>
      <c r="AK45" s="93">
        <v>91</v>
      </c>
      <c r="AL45" s="6">
        <v>96</v>
      </c>
      <c r="AM45" s="6">
        <v>239</v>
      </c>
      <c r="AN45" s="6">
        <v>218</v>
      </c>
      <c r="AO45" s="6">
        <v>185</v>
      </c>
      <c r="AP45" s="93">
        <v>173</v>
      </c>
      <c r="AU45" s="23"/>
      <c r="AY45" s="32">
        <v>15</v>
      </c>
      <c r="AZ45" s="1">
        <f t="shared" si="27"/>
        <v>0.48602157383972955</v>
      </c>
      <c r="BA45" s="24">
        <f t="shared" si="104"/>
        <v>39</v>
      </c>
      <c r="BB45" s="2">
        <f t="shared" si="75"/>
        <v>0.60088389615911775</v>
      </c>
      <c r="BC45" s="2">
        <f t="shared" si="76"/>
        <v>0.63729899368009613</v>
      </c>
      <c r="BD45" s="2">
        <f t="shared" si="77"/>
        <v>0.69084659734912002</v>
      </c>
      <c r="BE45" s="2">
        <f t="shared" si="78"/>
        <v>0.67464115461432184</v>
      </c>
      <c r="BF45" s="20">
        <f t="shared" si="79"/>
        <v>0.70345748533905417</v>
      </c>
      <c r="BG45" s="2">
        <f t="shared" si="80"/>
        <v>0.78933293343931321</v>
      </c>
      <c r="BH45" s="2">
        <f t="shared" si="81"/>
        <v>0.83895695177744145</v>
      </c>
      <c r="BI45" s="2">
        <f t="shared" si="82"/>
        <v>0.66822879624019371</v>
      </c>
      <c r="BJ45" s="2">
        <f t="shared" si="83"/>
        <v>0.62546918620623304</v>
      </c>
      <c r="BK45" s="20">
        <f t="shared" si="84"/>
        <v>0.26361158763757592</v>
      </c>
      <c r="BL45" s="2">
        <f t="shared" si="85"/>
        <v>0.27949320683866907</v>
      </c>
      <c r="BM45" s="2">
        <f t="shared" si="86"/>
        <v>0.6993182206285794</v>
      </c>
      <c r="BN45" s="2">
        <f t="shared" si="90"/>
        <v>0.64107723595816024</v>
      </c>
      <c r="BO45" s="2">
        <f t="shared" si="91"/>
        <v>0.54676727053736407</v>
      </c>
      <c r="BP45" s="20">
        <f t="shared" si="102"/>
        <v>0.51387063861449944</v>
      </c>
      <c r="BU45" s="23"/>
      <c r="BY45" s="25">
        <f t="shared" si="105"/>
        <v>39</v>
      </c>
      <c r="BZ45" s="3">
        <f t="shared" si="106"/>
        <v>5231.471126748489</v>
      </c>
      <c r="CA45" s="3">
        <f t="shared" si="30"/>
        <v>3206</v>
      </c>
      <c r="CB45" s="2">
        <f t="shared" si="31"/>
        <v>0.61282953156478992</v>
      </c>
      <c r="CC45" s="85">
        <f t="shared" si="32"/>
        <v>95</v>
      </c>
      <c r="CD45" s="3" t="str">
        <f t="shared" si="107"/>
        <v>Fixed</v>
      </c>
      <c r="CE45" s="58">
        <f t="shared" si="33"/>
        <v>-2.6887200692374269E-2</v>
      </c>
      <c r="CF45" s="2">
        <f t="array" ref="CF45:CG45">LINEST(AB45:AP45,AB$6:AP$6,TRUE,FALSE)</f>
        <v>-5.8250000000000002</v>
      </c>
      <c r="CG45" s="2">
        <v>260.33333333333331</v>
      </c>
      <c r="CH45" s="1">
        <f t="shared" si="34"/>
        <v>1.0265083120119289</v>
      </c>
      <c r="CI45" s="3"/>
      <c r="CJ45" s="3"/>
      <c r="CK45" s="3"/>
      <c r="CL45" s="3"/>
      <c r="CM45" s="3"/>
      <c r="CN45" s="3"/>
      <c r="CO45" s="3"/>
      <c r="CP45" s="3"/>
      <c r="CQ45" s="3"/>
      <c r="CR45" s="3"/>
      <c r="CS45" s="3"/>
      <c r="CT45" s="3"/>
      <c r="CU45" s="3"/>
      <c r="CV45" s="3"/>
      <c r="DC45" s="2">
        <f t="shared" si="36"/>
        <v>0.56000000000000005</v>
      </c>
      <c r="DD45">
        <f t="shared" si="108"/>
        <v>3</v>
      </c>
      <c r="DE45">
        <f t="shared" si="37"/>
        <v>18</v>
      </c>
      <c r="DT45">
        <f t="shared" si="38"/>
        <v>1754</v>
      </c>
      <c r="DU45" s="3">
        <f t="shared" si="39"/>
        <v>361.13465743894238</v>
      </c>
      <c r="DV45" s="3">
        <f t="shared" si="40"/>
        <v>359.32898415174765</v>
      </c>
      <c r="DW45" s="3">
        <f t="shared" si="41"/>
        <v>357.53233923098895</v>
      </c>
      <c r="DX45" s="3">
        <f t="shared" si="42"/>
        <v>355.74467753483401</v>
      </c>
      <c r="DY45" s="3">
        <f t="shared" si="43"/>
        <v>353.96595414715983</v>
      </c>
      <c r="DZ45" s="3">
        <f t="shared" si="44"/>
        <v>352.19612437642405</v>
      </c>
      <c r="EA45" s="3">
        <f t="shared" si="45"/>
        <v>350.43514375454191</v>
      </c>
      <c r="EB45" s="2">
        <f t="shared" si="46"/>
        <v>0.70432209767174636</v>
      </c>
      <c r="ED45" s="2" t="str">
        <f t="shared" si="47"/>
        <v xml:space="preserve"> </v>
      </c>
      <c r="EE45" s="58" t="str">
        <f t="shared" si="48"/>
        <v xml:space="preserve"> </v>
      </c>
      <c r="EF45" s="2">
        <f t="shared" si="49"/>
        <v>0.61282953156478992</v>
      </c>
      <c r="EG45" s="58">
        <f t="shared" si="50"/>
        <v>-2.6887200692374269E-2</v>
      </c>
      <c r="EI45" s="2" t="str">
        <f t="shared" si="51"/>
        <v xml:space="preserve"> </v>
      </c>
      <c r="EJ45" s="2">
        <f t="shared" si="52"/>
        <v>0.70432209767174636</v>
      </c>
      <c r="EK45" s="2"/>
      <c r="EL45" s="2">
        <f t="array" ref="EL45:EM45">LINEST($AB45:$AH45,$AB$6:$AH$6,TRUE,FALSE)</f>
        <v>11.821428571428569</v>
      </c>
      <c r="EM45" s="2">
        <v>203.28571428571431</v>
      </c>
      <c r="EN45" s="58">
        <f t="shared" si="53"/>
        <v>4.7177879133409338E-2</v>
      </c>
      <c r="EO45" s="2">
        <f t="array" ref="EO45:EP45">LINEST($AH45:$AP45,$AH$6:$AP$6,TRUE,FALSE)</f>
        <v>-7.966666666666665</v>
      </c>
      <c r="EP45" s="2">
        <v>281.63333333333333</v>
      </c>
      <c r="EQ45" s="58">
        <f t="shared" si="54"/>
        <v>-4.1065292096219924E-2</v>
      </c>
      <c r="ES45" s="3">
        <f t="shared" si="55"/>
        <v>3.5829081632651834</v>
      </c>
      <c r="ET45" s="3">
        <f t="shared" si="92"/>
        <v>4.2908163265305452</v>
      </c>
      <c r="EU45" s="3">
        <f t="shared" si="93"/>
        <v>68.0625</v>
      </c>
      <c r="EV45" s="3">
        <f t="shared" si="94"/>
        <v>111.75510204081658</v>
      </c>
      <c r="EW45" s="3">
        <f t="shared" si="95"/>
        <v>179.36862244898023</v>
      </c>
      <c r="EX45" s="3">
        <f t="shared" si="96"/>
        <v>14.331632653061163</v>
      </c>
      <c r="EY45" s="3">
        <f t="shared" si="97"/>
        <v>63.42984693877564</v>
      </c>
      <c r="EZ45" s="3">
        <f t="shared" si="56"/>
        <v>228.00999999999982</v>
      </c>
      <c r="FA45" s="3">
        <f t="shared" si="98"/>
        <v>49.937777777777725</v>
      </c>
      <c r="FB45" s="29">
        <f t="shared" si="99"/>
        <v>12313.601111111111</v>
      </c>
      <c r="FC45" s="3">
        <f t="shared" si="100"/>
        <v>9604</v>
      </c>
      <c r="FD45" s="3">
        <f t="shared" si="101"/>
        <v>2805.4677777777752</v>
      </c>
      <c r="FE45" s="3">
        <f t="shared" si="88"/>
        <v>1594.6711111111115</v>
      </c>
      <c r="FF45" s="3">
        <f t="shared" si="89"/>
        <v>222.00999999999931</v>
      </c>
      <c r="FG45" s="29">
        <f t="shared" si="103"/>
        <v>118.08444444444399</v>
      </c>
      <c r="FH45" s="3"/>
      <c r="FI45" s="3"/>
      <c r="FQ45" s="4">
        <f>SQRT(AVERAGE(ES45:FG45))/AVERAGE(AB45:AP45)</f>
        <v>0.1998957777026048</v>
      </c>
      <c r="FR45" s="160">
        <v>2.75E-2</v>
      </c>
      <c r="FS45" s="161">
        <f t="shared" si="21"/>
        <v>0.13757169018803969</v>
      </c>
      <c r="FV45" s="4">
        <f t="shared" si="58"/>
        <v>3.1813560806372383E-2</v>
      </c>
      <c r="FW45" s="161">
        <f t="shared" si="59"/>
        <v>0.86441125428787713</v>
      </c>
    </row>
    <row r="46" spans="1:179" x14ac:dyDescent="0.3">
      <c r="A46">
        <f t="shared" si="109"/>
        <v>40</v>
      </c>
      <c r="B46" s="6">
        <v>57197</v>
      </c>
      <c r="C46" s="6" t="s">
        <v>139</v>
      </c>
      <c r="D46" s="6">
        <v>2011</v>
      </c>
      <c r="E46" s="6">
        <v>2010</v>
      </c>
      <c r="F46" s="6" t="s">
        <v>252</v>
      </c>
      <c r="G46" s="17" t="s">
        <v>634</v>
      </c>
      <c r="H46" s="17" t="s">
        <v>630</v>
      </c>
      <c r="I46" s="6" t="s">
        <v>35</v>
      </c>
      <c r="J46" s="17">
        <v>20</v>
      </c>
      <c r="K46" s="6" t="s">
        <v>138</v>
      </c>
      <c r="L46" s="12">
        <v>29.303999999999998</v>
      </c>
      <c r="M46" s="12">
        <v>-98.4</v>
      </c>
      <c r="N46" s="14">
        <v>16.7</v>
      </c>
      <c r="O46" s="6">
        <v>13.9</v>
      </c>
      <c r="P46" s="94">
        <f>365.25*(5.3+(5.4-5.3)*0.6)</f>
        <v>1957.74</v>
      </c>
      <c r="Q46" s="15" t="s">
        <v>564</v>
      </c>
      <c r="R46" s="14">
        <v>20.3</v>
      </c>
      <c r="S46" s="3">
        <f t="shared" si="23"/>
        <v>46.300399999999996</v>
      </c>
      <c r="T46" s="128" t="str">
        <f t="shared" si="24"/>
        <v>M</v>
      </c>
      <c r="U46" s="154">
        <v>1815</v>
      </c>
      <c r="V46" s="154">
        <v>758</v>
      </c>
      <c r="W46" s="156">
        <v>0.56000000000000005</v>
      </c>
      <c r="X46" s="1">
        <f t="shared" si="63"/>
        <v>0.41763085399449035</v>
      </c>
      <c r="Y46" s="59">
        <f t="shared" si="25"/>
        <v>1.2949198725171973E-2</v>
      </c>
      <c r="Z46" s="1">
        <f t="shared" si="26"/>
        <v>0.8461618178985455</v>
      </c>
      <c r="AA46" s="3">
        <f t="shared" si="64"/>
        <v>25838.218348234852</v>
      </c>
      <c r="AB46" s="6">
        <v>28639</v>
      </c>
      <c r="AC46" s="6">
        <v>25193</v>
      </c>
      <c r="AD46" s="6">
        <v>23688</v>
      </c>
      <c r="AE46" s="6">
        <v>23141</v>
      </c>
      <c r="AF46" s="93">
        <v>21969</v>
      </c>
      <c r="AG46" s="6">
        <v>23182</v>
      </c>
      <c r="AH46" s="6">
        <v>22594</v>
      </c>
      <c r="AI46" s="6">
        <v>21795</v>
      </c>
      <c r="AJ46" s="6">
        <v>21717</v>
      </c>
      <c r="AK46" s="93">
        <v>20442</v>
      </c>
      <c r="AL46" s="6">
        <v>19846</v>
      </c>
      <c r="AM46" s="6">
        <v>21319</v>
      </c>
      <c r="AN46" s="6">
        <v>17787</v>
      </c>
      <c r="AO46" s="6">
        <v>19079</v>
      </c>
      <c r="AP46" s="23"/>
      <c r="AU46" s="23"/>
      <c r="AY46" s="32">
        <v>14</v>
      </c>
      <c r="AZ46" s="1">
        <f t="shared" si="27"/>
        <v>0.67812475555449869</v>
      </c>
      <c r="BA46" s="24">
        <f t="shared" si="104"/>
        <v>40</v>
      </c>
      <c r="BB46" s="2">
        <f t="shared" si="75"/>
        <v>1.1083968567034146</v>
      </c>
      <c r="BC46" s="2">
        <f t="shared" si="76"/>
        <v>0.97992816875779154</v>
      </c>
      <c r="BD46" s="2">
        <f t="shared" si="77"/>
        <v>0.92601851242217381</v>
      </c>
      <c r="BE46" s="2">
        <f t="shared" si="78"/>
        <v>0.90918092641362525</v>
      </c>
      <c r="BF46" s="20">
        <f t="shared" si="79"/>
        <v>0.86747187266790426</v>
      </c>
      <c r="BG46" s="2">
        <f t="shared" si="80"/>
        <v>0.91996845039011599</v>
      </c>
      <c r="BH46" s="2">
        <f t="shared" si="81"/>
        <v>0.90113960225223599</v>
      </c>
      <c r="BI46" s="2">
        <f t="shared" si="82"/>
        <v>0.87364047070296547</v>
      </c>
      <c r="BJ46" s="2">
        <f t="shared" si="83"/>
        <v>0.8748883256501041</v>
      </c>
      <c r="BK46" s="20">
        <f t="shared" si="84"/>
        <v>0.82766214703574648</v>
      </c>
      <c r="BL46" s="2">
        <f t="shared" si="85"/>
        <v>0.80756895573019305</v>
      </c>
      <c r="BM46" s="2">
        <f t="shared" si="86"/>
        <v>0.87186727587407886</v>
      </c>
      <c r="BN46" s="2">
        <f t="shared" si="90"/>
        <v>0.73107708607167554</v>
      </c>
      <c r="BO46" s="2">
        <f t="shared" si="91"/>
        <v>0.7881211717304405</v>
      </c>
      <c r="BP46" s="23"/>
      <c r="BU46" s="23"/>
      <c r="BY46" s="25">
        <f t="shared" si="105"/>
        <v>40</v>
      </c>
      <c r="BZ46" s="3">
        <f t="shared" si="106"/>
        <v>350210.59439571283</v>
      </c>
      <c r="CA46" s="3">
        <f t="shared" si="30"/>
        <v>310391</v>
      </c>
      <c r="CB46" s="2">
        <f t="shared" si="31"/>
        <v>0.88629814450810263</v>
      </c>
      <c r="CC46" s="85">
        <f t="shared" si="32"/>
        <v>44</v>
      </c>
      <c r="CD46" s="3" t="str">
        <f t="shared" si="107"/>
        <v>Fixed</v>
      </c>
      <c r="CE46" s="58">
        <f t="shared" si="33"/>
        <v>-2.5732083605859889E-2</v>
      </c>
      <c r="CF46" s="2">
        <f t="array" ref="CF46:CG46">LINEST(AB46:AO46,AB$6:AO$6,TRUE,FALSE)</f>
        <v>-577.93626373626398</v>
      </c>
      <c r="CG46" s="2">
        <v>26505.307692307695</v>
      </c>
      <c r="CH46" s="1">
        <f t="shared" si="34"/>
        <v>0.98787294500745559</v>
      </c>
      <c r="CI46" s="3"/>
      <c r="CJ46" s="3"/>
      <c r="CK46" s="3"/>
      <c r="CL46" s="3"/>
      <c r="CM46" s="3"/>
      <c r="CN46" s="3"/>
      <c r="CO46" s="3"/>
      <c r="CP46" s="3"/>
      <c r="CQ46" s="3"/>
      <c r="CR46" s="3"/>
      <c r="CS46" s="3"/>
      <c r="CT46" s="3"/>
      <c r="CU46" s="3"/>
      <c r="CV46" s="3"/>
      <c r="DC46" s="2">
        <f t="shared" si="36"/>
        <v>1.2014388489208632</v>
      </c>
      <c r="DD46">
        <f t="shared" si="108"/>
        <v>1</v>
      </c>
      <c r="DE46">
        <f t="shared" si="37"/>
        <v>15</v>
      </c>
      <c r="DT46">
        <f t="shared" si="38"/>
        <v>168406</v>
      </c>
      <c r="DU46" s="3">
        <f t="shared" si="39"/>
        <v>25838.218348234848</v>
      </c>
      <c r="DV46" s="3">
        <f t="shared" si="40"/>
        <v>25709.027256493679</v>
      </c>
      <c r="DW46" s="3">
        <f t="shared" si="41"/>
        <v>25580.482120211211</v>
      </c>
      <c r="DX46" s="3">
        <f t="shared" si="42"/>
        <v>25452.579709610152</v>
      </c>
      <c r="DY46" s="3">
        <f t="shared" si="43"/>
        <v>25325.316811062105</v>
      </c>
      <c r="DZ46" s="3">
        <f t="shared" si="44"/>
        <v>25198.690227006795</v>
      </c>
      <c r="EA46" s="3">
        <f t="shared" si="45"/>
        <v>25072.696775871762</v>
      </c>
      <c r="EB46" s="2">
        <f t="shared" si="46"/>
        <v>0.94516121254911156</v>
      </c>
      <c r="ED46" s="2" t="str">
        <f t="shared" si="47"/>
        <v xml:space="preserve"> </v>
      </c>
      <c r="EE46" s="58" t="str">
        <f t="shared" si="48"/>
        <v xml:space="preserve"> </v>
      </c>
      <c r="EF46" s="2" t="str">
        <f t="shared" si="49"/>
        <v xml:space="preserve"> </v>
      </c>
      <c r="EG46" s="58" t="str">
        <f t="shared" si="50"/>
        <v xml:space="preserve"> </v>
      </c>
      <c r="EI46" s="2" t="str">
        <f t="shared" si="51"/>
        <v xml:space="preserve"> </v>
      </c>
      <c r="EJ46" s="2" t="str">
        <f t="shared" si="52"/>
        <v xml:space="preserve"> </v>
      </c>
      <c r="EK46" s="2"/>
      <c r="EL46" s="2">
        <f t="array" ref="EL46:EM46">LINEST($AB46:$AH46,$AB$6:$AH$6,TRUE,FALSE)</f>
        <v>-852.71428571428578</v>
      </c>
      <c r="EM46" s="2">
        <v>27468.857142857145</v>
      </c>
      <c r="EN46" s="58">
        <f t="shared" si="53"/>
        <v>-3.5444105316912701E-2</v>
      </c>
      <c r="EO46" s="2">
        <f t="array" ref="EO46:EP46">LINEST($AH46:$AO46,$AH$6:$AO$6,TRUE,FALSE)</f>
        <v>-552.79761904761915</v>
      </c>
      <c r="EP46" s="2">
        <v>26376.75</v>
      </c>
      <c r="EQ46" s="58">
        <f t="shared" si="54"/>
        <v>-2.6870870234847417E-2</v>
      </c>
      <c r="ES46" s="3">
        <f t="shared" si="55"/>
        <v>4091951.0204081568</v>
      </c>
      <c r="ET46" s="3">
        <f t="shared" si="92"/>
        <v>325388.75510204199</v>
      </c>
      <c r="EU46" s="3">
        <f t="shared" si="93"/>
        <v>1495030.2244897971</v>
      </c>
      <c r="EV46" s="3">
        <f t="shared" si="94"/>
        <v>840889</v>
      </c>
      <c r="EW46" s="3">
        <f t="shared" si="95"/>
        <v>1528402.3673469464</v>
      </c>
      <c r="EX46" s="3">
        <f t="shared" si="96"/>
        <v>687951.75510203652</v>
      </c>
      <c r="EY46" s="3">
        <f t="shared" si="97"/>
        <v>1197148.5918367303</v>
      </c>
      <c r="EZ46" s="3">
        <f t="shared" si="56"/>
        <v>25398.493339001714</v>
      </c>
      <c r="FA46" s="3">
        <f t="shared" si="98"/>
        <v>99495.183673470048</v>
      </c>
      <c r="FB46" s="29">
        <f t="shared" si="99"/>
        <v>165464.93211451219</v>
      </c>
      <c r="FC46" s="3">
        <f t="shared" si="100"/>
        <v>202478.57199546517</v>
      </c>
      <c r="FD46" s="3">
        <f t="shared" si="101"/>
        <v>2483213.1747448947</v>
      </c>
      <c r="FE46" s="3">
        <f t="shared" si="88"/>
        <v>1969478.0975056635</v>
      </c>
      <c r="FF46" s="3">
        <f t="shared" si="89"/>
        <v>194848.67361111217</v>
      </c>
      <c r="FG46" s="29"/>
      <c r="FH46" s="3"/>
      <c r="FI46" s="3"/>
      <c r="FQ46" s="4">
        <f>SQRT(AVERAGE(ES46:FF46))/AVERAGE(AB46:AO46)</f>
        <v>4.7163052781303713E-2</v>
      </c>
      <c r="FR46" s="160">
        <v>2.4E-2</v>
      </c>
      <c r="FS46" s="161">
        <f t="shared" si="21"/>
        <v>0.50887291183818439</v>
      </c>
      <c r="FV46" s="4">
        <f t="shared" si="58"/>
        <v>5.0093662085376495E-2</v>
      </c>
      <c r="FW46" s="161">
        <f t="shared" si="59"/>
        <v>0.47910252516767304</v>
      </c>
    </row>
    <row r="47" spans="1:179" x14ac:dyDescent="0.3">
      <c r="A47">
        <f t="shared" si="109"/>
        <v>41</v>
      </c>
      <c r="B47" s="6">
        <v>57205</v>
      </c>
      <c r="C47" s="6" t="s">
        <v>140</v>
      </c>
      <c r="D47" s="6">
        <v>2011</v>
      </c>
      <c r="E47" s="6">
        <v>2010</v>
      </c>
      <c r="F47" s="6" t="s">
        <v>252</v>
      </c>
      <c r="G47" s="17" t="s">
        <v>634</v>
      </c>
      <c r="H47" s="17" t="s">
        <v>630</v>
      </c>
      <c r="I47" s="6" t="s">
        <v>35</v>
      </c>
      <c r="J47" s="17">
        <v>24</v>
      </c>
      <c r="K47" s="6" t="s">
        <v>47</v>
      </c>
      <c r="L47" s="12">
        <v>35.781399999999998</v>
      </c>
      <c r="M47" s="12">
        <v>-114.99299999999999</v>
      </c>
      <c r="N47" s="14">
        <v>60.5</v>
      </c>
      <c r="O47" s="6">
        <v>48</v>
      </c>
      <c r="P47" s="94">
        <f>365.25*6.4</f>
        <v>2337.6</v>
      </c>
      <c r="Q47" s="15" t="s">
        <v>510</v>
      </c>
      <c r="R47" s="14">
        <v>19.5</v>
      </c>
      <c r="S47" s="3">
        <f t="shared" si="23"/>
        <v>48.323999999999998</v>
      </c>
      <c r="T47" s="128" t="str">
        <f t="shared" si="24"/>
        <v>M</v>
      </c>
      <c r="U47" s="154">
        <v>2078</v>
      </c>
      <c r="V47" s="154">
        <v>550</v>
      </c>
      <c r="W47" s="156">
        <v>0.68400000000000005</v>
      </c>
      <c r="X47" s="1">
        <f t="shared" si="63"/>
        <v>0.26467757459095281</v>
      </c>
      <c r="Y47" s="59">
        <f t="shared" si="25"/>
        <v>2.1787305495668929E-2</v>
      </c>
      <c r="Z47" s="1">
        <f t="shared" si="26"/>
        <v>0.75498587320559707</v>
      </c>
      <c r="AA47" s="3">
        <f t="shared" si="64"/>
        <v>111195.41248791231</v>
      </c>
      <c r="AB47" s="6">
        <v>108044</v>
      </c>
      <c r="AC47" s="6">
        <v>106378</v>
      </c>
      <c r="AD47" s="6">
        <v>105251</v>
      </c>
      <c r="AE47" s="6">
        <v>103456</v>
      </c>
      <c r="AF47" s="93">
        <v>101936</v>
      </c>
      <c r="AG47" s="6">
        <v>98291</v>
      </c>
      <c r="AH47" s="6">
        <v>101204</v>
      </c>
      <c r="AI47" s="6">
        <v>100205</v>
      </c>
      <c r="AJ47" s="6">
        <v>97974</v>
      </c>
      <c r="AK47" s="93">
        <v>100294</v>
      </c>
      <c r="AL47" s="6">
        <v>94345</v>
      </c>
      <c r="AM47" s="6">
        <v>98100</v>
      </c>
      <c r="AN47" s="6">
        <v>93271</v>
      </c>
      <c r="AO47" s="6">
        <v>94346</v>
      </c>
      <c r="AP47" s="23"/>
      <c r="AU47" s="23"/>
      <c r="AY47" s="32">
        <v>14</v>
      </c>
      <c r="AZ47" s="1">
        <f t="shared" si="27"/>
        <v>0.70865273579012622</v>
      </c>
      <c r="BA47" s="24">
        <f t="shared" si="104"/>
        <v>41</v>
      </c>
      <c r="BB47" s="2">
        <f t="shared" si="75"/>
        <v>0.97165879043566761</v>
      </c>
      <c r="BC47" s="2">
        <f t="shared" si="76"/>
        <v>0.96148357582371002</v>
      </c>
      <c r="BD47" s="2">
        <f t="shared" si="77"/>
        <v>0.95607772301713589</v>
      </c>
      <c r="BE47" s="2">
        <f t="shared" si="78"/>
        <v>0.94449479836366101</v>
      </c>
      <c r="BF47" s="20">
        <f t="shared" si="79"/>
        <v>0.93529453024088649</v>
      </c>
      <c r="BG47" s="2">
        <f t="shared" si="80"/>
        <v>0.90638243280350661</v>
      </c>
      <c r="BH47" s="2">
        <f t="shared" si="81"/>
        <v>0.93793409498424662</v>
      </c>
      <c r="BI47" s="2">
        <f t="shared" si="82"/>
        <v>0.93334231717355631</v>
      </c>
      <c r="BJ47" s="2">
        <f t="shared" si="83"/>
        <v>0.91714778856873069</v>
      </c>
      <c r="BK47" s="20">
        <f t="shared" si="84"/>
        <v>0.94358353823039987</v>
      </c>
      <c r="BL47" s="2">
        <f t="shared" si="85"/>
        <v>0.8920746764747528</v>
      </c>
      <c r="BM47" s="2">
        <f t="shared" si="86"/>
        <v>0.9322411065574655</v>
      </c>
      <c r="BN47" s="2">
        <f t="shared" si="90"/>
        <v>0.89080530327192908</v>
      </c>
      <c r="BO47" s="2">
        <f t="shared" si="91"/>
        <v>0.90560033005345164</v>
      </c>
      <c r="BP47" s="23"/>
      <c r="BU47" s="23"/>
      <c r="BY47" s="25">
        <f t="shared" si="105"/>
        <v>41</v>
      </c>
      <c r="BZ47" s="3">
        <f t="shared" si="106"/>
        <v>1507139.9651721173</v>
      </c>
      <c r="CA47" s="3">
        <f t="shared" si="30"/>
        <v>1403095</v>
      </c>
      <c r="CB47" s="2">
        <f t="shared" si="31"/>
        <v>0.93096529348537627</v>
      </c>
      <c r="CC47" s="85">
        <f t="shared" si="32"/>
        <v>28</v>
      </c>
      <c r="CD47" s="3" t="str">
        <f t="shared" si="107"/>
        <v>Fixed</v>
      </c>
      <c r="CE47" s="58">
        <f t="shared" si="33"/>
        <v>-1.0048840234531051E-2</v>
      </c>
      <c r="CF47" s="2">
        <f t="array" ref="CF47:CG47">LINEST(AB47:AO47,AB$6:AO$6,TRUE,FALSE)</f>
        <v>-1012.191208791209</v>
      </c>
      <c r="CG47" s="2">
        <v>107812.5054945055</v>
      </c>
      <c r="CH47" s="1">
        <f t="shared" si="34"/>
        <v>0.98281394500745556</v>
      </c>
      <c r="CI47" s="3"/>
      <c r="CJ47" s="3"/>
      <c r="CK47" s="3"/>
      <c r="CL47" s="3"/>
      <c r="CM47" s="3"/>
      <c r="CN47" s="3"/>
      <c r="CO47" s="3"/>
      <c r="CP47" s="3"/>
      <c r="CQ47" s="3"/>
      <c r="CR47" s="3"/>
      <c r="CS47" s="3"/>
      <c r="CT47" s="3"/>
      <c r="CU47" s="3"/>
      <c r="CV47" s="3"/>
      <c r="DC47" s="2">
        <f t="shared" si="36"/>
        <v>1.2604166666666667</v>
      </c>
      <c r="DD47">
        <f t="shared" si="108"/>
        <v>1</v>
      </c>
      <c r="DE47">
        <f t="shared" si="37"/>
        <v>15</v>
      </c>
      <c r="DT47">
        <f t="shared" si="38"/>
        <v>724560</v>
      </c>
      <c r="DU47" s="3">
        <f t="shared" si="39"/>
        <v>111195.41248791231</v>
      </c>
      <c r="DV47" s="3">
        <f t="shared" si="40"/>
        <v>110639.43542547275</v>
      </c>
      <c r="DW47" s="3">
        <f t="shared" si="41"/>
        <v>110086.2382483454</v>
      </c>
      <c r="DX47" s="3">
        <f t="shared" si="42"/>
        <v>109535.80705710367</v>
      </c>
      <c r="DY47" s="3">
        <f t="shared" si="43"/>
        <v>108988.12802181815</v>
      </c>
      <c r="DZ47" s="3">
        <f t="shared" si="44"/>
        <v>108443.18738170907</v>
      </c>
      <c r="EA47" s="3">
        <f t="shared" si="45"/>
        <v>107900.97144480051</v>
      </c>
      <c r="EB47" s="2">
        <f t="shared" si="46"/>
        <v>0.94492726141041383</v>
      </c>
      <c r="ED47" s="2" t="str">
        <f t="shared" si="47"/>
        <v xml:space="preserve"> </v>
      </c>
      <c r="EE47" s="58" t="str">
        <f t="shared" si="48"/>
        <v xml:space="preserve"> </v>
      </c>
      <c r="EF47" s="2" t="str">
        <f t="shared" si="49"/>
        <v xml:space="preserve"> </v>
      </c>
      <c r="EG47" s="58" t="str">
        <f t="shared" si="50"/>
        <v xml:space="preserve"> </v>
      </c>
      <c r="EI47" s="2" t="str">
        <f t="shared" si="51"/>
        <v xml:space="preserve"> </v>
      </c>
      <c r="EJ47" s="2" t="str">
        <f t="shared" si="52"/>
        <v xml:space="preserve"> </v>
      </c>
      <c r="EK47" s="2"/>
      <c r="EL47" s="3">
        <f t="array" ref="EL47:EM47">LINEST($AB47:$AH47,$AB$6:$AH$6,TRUE,FALSE)</f>
        <v>-1428.8928571428569</v>
      </c>
      <c r="EM47" s="3">
        <v>109224.14285714287</v>
      </c>
      <c r="EN47" s="58">
        <f t="shared" si="53"/>
        <v>-1.3804584851496075E-2</v>
      </c>
      <c r="EO47" s="3">
        <f t="array" ref="EO47:EP47">LINEST($AH47:$AO47,$AH$6:$AO$6,TRUE,FALSE)</f>
        <v>-1050.5595238095236</v>
      </c>
      <c r="EP47" s="3">
        <v>108498.25</v>
      </c>
      <c r="EQ47" s="58">
        <f t="shared" si="54"/>
        <v>-1.0778576152374306E-2</v>
      </c>
      <c r="ES47" s="3">
        <f t="shared" si="55"/>
        <v>61876.56249999276</v>
      </c>
      <c r="ET47" s="3">
        <f t="shared" si="92"/>
        <v>135.55612244859233</v>
      </c>
      <c r="EU47" s="3">
        <f t="shared" si="93"/>
        <v>98304.644132641333</v>
      </c>
      <c r="EV47" s="3">
        <f t="shared" si="94"/>
        <v>2763.7551020430019</v>
      </c>
      <c r="EW47" s="3">
        <f t="shared" si="95"/>
        <v>20643.53188775749</v>
      </c>
      <c r="EX47" s="3">
        <f t="shared" si="96"/>
        <v>5568588.6173469881</v>
      </c>
      <c r="EY47" s="3">
        <f t="shared" si="97"/>
        <v>3928748.7257652567</v>
      </c>
      <c r="EZ47" s="3">
        <f t="shared" si="56"/>
        <v>12371.265447844264</v>
      </c>
      <c r="FA47" s="3">
        <f t="shared" si="98"/>
        <v>1143219.1887755191</v>
      </c>
      <c r="FB47" s="29">
        <f t="shared" si="99"/>
        <v>5296189.9049036214</v>
      </c>
      <c r="FC47" s="3">
        <f t="shared" si="100"/>
        <v>6744903.6757369544</v>
      </c>
      <c r="FD47" s="3">
        <f t="shared" si="101"/>
        <v>4877314.5012755282</v>
      </c>
      <c r="FE47" s="3">
        <f t="shared" si="88"/>
        <v>2464825.2386621553</v>
      </c>
      <c r="FF47" s="3">
        <f t="shared" si="89"/>
        <v>308672.8402777724</v>
      </c>
      <c r="FG47" s="29"/>
      <c r="FH47" s="3"/>
      <c r="FI47" s="3"/>
      <c r="FQ47" s="4">
        <f>SQRT(AVERAGE(ES47:FF47))/AVERAGE(AB47:AO47)</f>
        <v>1.4734319620817189E-2</v>
      </c>
      <c r="FR47" s="160">
        <v>0.03</v>
      </c>
      <c r="FS47" s="161">
        <f t="shared" si="21"/>
        <v>2.0360627957068949</v>
      </c>
      <c r="FV47" s="4">
        <f t="shared" si="58"/>
        <v>1.1361512546095444E-2</v>
      </c>
      <c r="FW47" s="161">
        <f t="shared" si="59"/>
        <v>2.6404934975237917</v>
      </c>
    </row>
    <row r="48" spans="1:179" x14ac:dyDescent="0.3">
      <c r="A48">
        <f t="shared" si="109"/>
        <v>42</v>
      </c>
      <c r="B48" s="6">
        <v>56768</v>
      </c>
      <c r="C48" s="6" t="s">
        <v>141</v>
      </c>
      <c r="D48" s="6">
        <v>2011</v>
      </c>
      <c r="E48" s="6">
        <v>2010</v>
      </c>
      <c r="F48" s="6" t="s">
        <v>252</v>
      </c>
      <c r="G48" s="17" t="s">
        <v>636</v>
      </c>
      <c r="H48" s="17" t="s">
        <v>638</v>
      </c>
      <c r="I48" s="6" t="s">
        <v>35</v>
      </c>
      <c r="J48" s="17">
        <v>20</v>
      </c>
      <c r="K48" s="6" t="s">
        <v>24</v>
      </c>
      <c r="L48" s="12">
        <v>36.7575</v>
      </c>
      <c r="M48" s="12">
        <v>-120.366</v>
      </c>
      <c r="N48" s="14">
        <v>6.3</v>
      </c>
      <c r="O48" s="6">
        <v>5</v>
      </c>
      <c r="P48" s="94">
        <f>365.25*5.7</f>
        <v>2081.9250000000002</v>
      </c>
      <c r="Q48" s="15" t="s">
        <v>513</v>
      </c>
      <c r="R48" s="14">
        <v>17.399999999999999</v>
      </c>
      <c r="S48" s="3">
        <f t="shared" si="23"/>
        <v>44.323499999999996</v>
      </c>
      <c r="T48" s="128" t="str">
        <f t="shared" si="24"/>
        <v>M</v>
      </c>
      <c r="U48" s="154">
        <v>1910</v>
      </c>
      <c r="V48" s="154">
        <v>578</v>
      </c>
      <c r="W48" s="156">
        <v>0.63400000000000001</v>
      </c>
      <c r="X48" s="1">
        <f t="shared" si="63"/>
        <v>0.30261780104712044</v>
      </c>
      <c r="Y48" s="59">
        <f t="shared" si="25"/>
        <v>2.128300563874419E-3</v>
      </c>
      <c r="Z48" s="1">
        <f t="shared" si="26"/>
        <v>0.97291838771794037</v>
      </c>
      <c r="AA48" s="3">
        <f t="shared" si="64"/>
        <v>10372.278872518596</v>
      </c>
      <c r="AB48" s="6">
        <v>9887</v>
      </c>
      <c r="AC48" s="6">
        <v>10478</v>
      </c>
      <c r="AD48" s="6">
        <v>10786</v>
      </c>
      <c r="AE48" s="6">
        <v>10420</v>
      </c>
      <c r="AF48" s="93">
        <v>10185</v>
      </c>
      <c r="AG48" s="6">
        <v>9358</v>
      </c>
      <c r="AH48" s="6">
        <v>9825</v>
      </c>
      <c r="AI48" s="6">
        <v>9855</v>
      </c>
      <c r="AJ48" s="6">
        <v>8964</v>
      </c>
      <c r="AK48" s="93">
        <v>9180</v>
      </c>
      <c r="AL48" s="6">
        <v>5268</v>
      </c>
      <c r="AM48" s="6">
        <v>8479</v>
      </c>
      <c r="AN48" s="6">
        <v>6326</v>
      </c>
      <c r="AO48" s="6">
        <v>1334</v>
      </c>
      <c r="AP48" s="23"/>
      <c r="AU48" s="23"/>
      <c r="AY48" s="32">
        <v>14</v>
      </c>
      <c r="AZ48" s="1">
        <f t="shared" si="27"/>
        <v>0.65538181361620862</v>
      </c>
      <c r="BA48" s="24">
        <f t="shared" si="104"/>
        <v>42</v>
      </c>
      <c r="BB48" s="2">
        <f t="shared" si="75"/>
        <v>0.95321386182506673</v>
      </c>
      <c r="BC48" s="2">
        <f t="shared" si="76"/>
        <v>1.0152690065278398</v>
      </c>
      <c r="BD48" s="2">
        <f t="shared" si="77"/>
        <v>1.0503645834065614</v>
      </c>
      <c r="BE48" s="2">
        <f t="shared" si="78"/>
        <v>1.0198218013017404</v>
      </c>
      <c r="BF48" s="20">
        <f t="shared" si="79"/>
        <v>1.0018311370922006</v>
      </c>
      <c r="BG48" s="2">
        <f t="shared" si="80"/>
        <v>0.9251101635727792</v>
      </c>
      <c r="BH48" s="2">
        <f t="shared" si="81"/>
        <v>0.9761574872763642</v>
      </c>
      <c r="BI48" s="2">
        <f t="shared" si="82"/>
        <v>0.98405841288974849</v>
      </c>
      <c r="BJ48" s="2">
        <f t="shared" si="83"/>
        <v>0.89958668157058308</v>
      </c>
      <c r="BK48" s="20">
        <f t="shared" si="84"/>
        <v>0.92589293374704318</v>
      </c>
      <c r="BL48" s="2">
        <f t="shared" si="85"/>
        <v>0.53399940606950036</v>
      </c>
      <c r="BM48" s="2">
        <f t="shared" si="86"/>
        <v>0.86380668796970694</v>
      </c>
      <c r="BN48" s="2">
        <f t="shared" si="90"/>
        <v>0.64770616949547422</v>
      </c>
      <c r="BO48" s="2">
        <f t="shared" si="91"/>
        <v>0.13727188425640097</v>
      </c>
      <c r="BP48" s="23"/>
      <c r="BU48" s="23"/>
      <c r="BY48" s="25">
        <f t="shared" si="105"/>
        <v>42</v>
      </c>
      <c r="BZ48" s="3">
        <f t="shared" si="106"/>
        <v>140585.62011614032</v>
      </c>
      <c r="CA48" s="3">
        <f t="shared" si="30"/>
        <v>120345</v>
      </c>
      <c r="CB48" s="2">
        <f t="shared" si="31"/>
        <v>0.85602638378363893</v>
      </c>
      <c r="CC48" s="85">
        <f t="shared" si="32"/>
        <v>55</v>
      </c>
      <c r="CD48" s="3" t="str">
        <f t="shared" si="107"/>
        <v>Fixed</v>
      </c>
      <c r="CE48" s="58">
        <f t="shared" si="33"/>
        <v>-5.4677212584972684E-2</v>
      </c>
      <c r="CF48" s="2">
        <f t="array" ref="CF48:CG48">LINEST(AB48:AO48,AB$6:AO$6,TRUE,FALSE)</f>
        <v>-483.21978021978026</v>
      </c>
      <c r="CG48" s="2">
        <v>12220.219780219781</v>
      </c>
      <c r="CH48" s="1">
        <f t="shared" si="34"/>
        <v>0.98850431201192901</v>
      </c>
      <c r="CI48" s="3"/>
      <c r="CJ48" s="3"/>
      <c r="CK48" s="3"/>
      <c r="CL48" s="3"/>
      <c r="CM48" s="3"/>
      <c r="CN48" s="3"/>
      <c r="CO48" s="3"/>
      <c r="CP48" s="3"/>
      <c r="CQ48" s="3"/>
      <c r="CR48" s="3"/>
      <c r="CS48" s="3"/>
      <c r="CT48" s="3"/>
      <c r="CU48" s="3"/>
      <c r="CV48" s="3"/>
      <c r="DC48" s="2">
        <f t="shared" si="36"/>
        <v>1.26</v>
      </c>
      <c r="DD48">
        <f t="shared" si="108"/>
        <v>1</v>
      </c>
      <c r="DE48">
        <f t="shared" si="37"/>
        <v>15</v>
      </c>
      <c r="DT48">
        <f t="shared" si="38"/>
        <v>70939</v>
      </c>
      <c r="DU48" s="3">
        <f t="shared" si="39"/>
        <v>10372.278872518596</v>
      </c>
      <c r="DV48" s="3">
        <f t="shared" si="40"/>
        <v>10320.417478156003</v>
      </c>
      <c r="DW48" s="3">
        <f t="shared" si="41"/>
        <v>10268.815390765223</v>
      </c>
      <c r="DX48" s="3">
        <f t="shared" si="42"/>
        <v>10217.471313811398</v>
      </c>
      <c r="DY48" s="3">
        <f t="shared" si="43"/>
        <v>10166.38395724234</v>
      </c>
      <c r="DZ48" s="3">
        <f t="shared" si="44"/>
        <v>10115.552037456129</v>
      </c>
      <c r="EA48" s="3">
        <f t="shared" si="45"/>
        <v>10064.97427726885</v>
      </c>
      <c r="EB48" s="2">
        <f t="shared" si="46"/>
        <v>0.99179467323066339</v>
      </c>
      <c r="ED48" s="2" t="str">
        <f t="shared" si="47"/>
        <v xml:space="preserve"> </v>
      </c>
      <c r="EE48" s="58" t="str">
        <f t="shared" si="48"/>
        <v xml:space="preserve"> </v>
      </c>
      <c r="EF48" s="2" t="str">
        <f t="shared" si="49"/>
        <v xml:space="preserve"> </v>
      </c>
      <c r="EG48" s="58" t="str">
        <f t="shared" si="50"/>
        <v xml:space="preserve"> </v>
      </c>
      <c r="EI48" s="2" t="str">
        <f t="shared" si="51"/>
        <v xml:space="preserve"> </v>
      </c>
      <c r="EJ48" s="2" t="str">
        <f t="shared" si="52"/>
        <v xml:space="preserve"> </v>
      </c>
      <c r="EK48" s="2"/>
      <c r="EL48" s="2">
        <f t="array" ref="EL48:EM48">LINEST($AB48:$AH48,$AB$6:$AH$6,TRUE,FALSE)</f>
        <v>-108.10714285714286</v>
      </c>
      <c r="EM48" s="2">
        <v>10566.571428571428</v>
      </c>
      <c r="EN48" s="58">
        <f t="shared" si="53"/>
        <v>-1.0667615838960235E-2</v>
      </c>
      <c r="EO48" s="2">
        <f t="array" ref="EO48:EP48">LINEST($AH48:$AO48,$AH$6:$AO$6,TRUE,FALSE)</f>
        <v>-981.53571428571433</v>
      </c>
      <c r="EP48" s="2">
        <v>17710</v>
      </c>
      <c r="EQ48" s="58">
        <f t="shared" si="54"/>
        <v>-0.13257054100531335</v>
      </c>
      <c r="ES48" s="3">
        <f t="shared" si="55"/>
        <v>326571.4298469373</v>
      </c>
      <c r="ET48" s="3">
        <f t="shared" si="92"/>
        <v>16292.698979592235</v>
      </c>
      <c r="EU48" s="3">
        <f t="shared" si="93"/>
        <v>295664.06250000198</v>
      </c>
      <c r="EV48" s="3">
        <f t="shared" si="94"/>
        <v>81714.306122449125</v>
      </c>
      <c r="EW48" s="3">
        <f t="shared" si="95"/>
        <v>25269.644132653226</v>
      </c>
      <c r="EX48" s="3">
        <f t="shared" si="96"/>
        <v>313520.00510203996</v>
      </c>
      <c r="EY48" s="3">
        <f t="shared" si="97"/>
        <v>230.38903061227646</v>
      </c>
      <c r="EZ48" s="3">
        <f t="shared" si="56"/>
        <v>7.3673469387783319</v>
      </c>
      <c r="FA48" s="3">
        <f t="shared" si="98"/>
        <v>7712.6033163266675</v>
      </c>
      <c r="FB48" s="29">
        <f t="shared" si="99"/>
        <v>1652142.9846938783</v>
      </c>
      <c r="FC48" s="3">
        <f t="shared" si="100"/>
        <v>2706377.5114795929</v>
      </c>
      <c r="FD48" s="3">
        <f t="shared" si="101"/>
        <v>6489392.3265306177</v>
      </c>
      <c r="FE48" s="3">
        <f t="shared" si="88"/>
        <v>1893277.715561226</v>
      </c>
      <c r="FF48" s="3">
        <f t="shared" si="89"/>
        <v>6940590.25</v>
      </c>
      <c r="FG48" s="29"/>
      <c r="FH48" s="3"/>
      <c r="FI48" s="3"/>
      <c r="FQ48" s="4">
        <f>SQRT(AVERAGE(ES48:FF48))/AVERAGE(AB48:AO48)</f>
        <v>0.14162244070203645</v>
      </c>
      <c r="FR48" s="160">
        <v>3.5999999999999997E-2</v>
      </c>
      <c r="FS48" s="161">
        <f t="shared" si="21"/>
        <v>0.25419700311295607</v>
      </c>
      <c r="FV48" s="4">
        <f t="shared" si="58"/>
        <v>3.8385372907867477E-2</v>
      </c>
      <c r="FW48" s="161">
        <f t="shared" si="59"/>
        <v>0.9378572428202574</v>
      </c>
    </row>
    <row r="49" spans="1:179" x14ac:dyDescent="0.3">
      <c r="A49">
        <f t="shared" si="109"/>
        <v>43</v>
      </c>
      <c r="B49" s="6">
        <v>57509</v>
      </c>
      <c r="C49" s="6" t="s">
        <v>142</v>
      </c>
      <c r="D49" s="6">
        <v>2010</v>
      </c>
      <c r="E49" s="6">
        <v>2007</v>
      </c>
      <c r="F49" s="6" t="s">
        <v>252</v>
      </c>
      <c r="G49" s="17" t="s">
        <v>636</v>
      </c>
      <c r="H49" s="17" t="s">
        <v>638</v>
      </c>
      <c r="I49" s="6" t="s">
        <v>35</v>
      </c>
      <c r="J49" s="17">
        <v>25</v>
      </c>
      <c r="K49" s="6" t="s">
        <v>51</v>
      </c>
      <c r="L49" s="12">
        <v>38.722799999999999</v>
      </c>
      <c r="M49" s="12">
        <v>-104.7817</v>
      </c>
      <c r="N49" s="14">
        <v>2</v>
      </c>
      <c r="O49" s="6">
        <v>2</v>
      </c>
      <c r="P49" s="94">
        <f>365.25*5.5</f>
        <v>2008.875</v>
      </c>
      <c r="Q49" s="15" t="s">
        <v>508</v>
      </c>
      <c r="R49" s="14">
        <v>9.1999999999999993</v>
      </c>
      <c r="S49" s="3">
        <f t="shared" si="23"/>
        <v>35.580500000000001</v>
      </c>
      <c r="T49" s="128" t="str">
        <f t="shared" si="24"/>
        <v>C</v>
      </c>
      <c r="U49" s="154">
        <v>1726.5</v>
      </c>
      <c r="V49" s="154">
        <v>544.70000000000005</v>
      </c>
      <c r="W49" s="156">
        <v>0.58699999999999997</v>
      </c>
      <c r="X49" s="1">
        <f t="shared" si="63"/>
        <v>0.31549377353026359</v>
      </c>
      <c r="Y49" s="59">
        <f t="shared" si="25"/>
        <v>0</v>
      </c>
      <c r="Z49" s="1">
        <f t="shared" si="26"/>
        <v>1</v>
      </c>
      <c r="AA49" s="3">
        <f t="shared" si="64"/>
        <v>3289.6575620687427</v>
      </c>
      <c r="AB49" s="6">
        <v>3037</v>
      </c>
      <c r="AC49" s="6">
        <v>3126</v>
      </c>
      <c r="AD49" s="6">
        <v>3112</v>
      </c>
      <c r="AE49" s="6">
        <v>2501</v>
      </c>
      <c r="AF49" s="93">
        <v>2110</v>
      </c>
      <c r="AG49" s="6">
        <v>2411</v>
      </c>
      <c r="AH49" s="6">
        <v>2695</v>
      </c>
      <c r="AI49" s="6">
        <v>2189</v>
      </c>
      <c r="AJ49" s="6">
        <v>1645</v>
      </c>
      <c r="AK49" s="93">
        <v>0</v>
      </c>
      <c r="AL49" s="6">
        <v>2287</v>
      </c>
      <c r="AM49" s="6">
        <v>3326</v>
      </c>
      <c r="AN49" s="6">
        <v>2962</v>
      </c>
      <c r="AO49" s="6">
        <v>3012</v>
      </c>
      <c r="AP49" s="93">
        <v>3149</v>
      </c>
      <c r="AU49" s="23"/>
      <c r="AY49" s="32">
        <v>15</v>
      </c>
      <c r="AZ49" s="1">
        <f t="shared" si="27"/>
        <v>0.6232675834318544</v>
      </c>
      <c r="BA49" s="24">
        <f t="shared" si="104"/>
        <v>43</v>
      </c>
      <c r="BB49" s="2">
        <f t="shared" si="75"/>
        <v>0.92319639436578449</v>
      </c>
      <c r="BC49" s="2">
        <f t="shared" si="76"/>
        <v>0.95502601211107963</v>
      </c>
      <c r="BD49" s="2">
        <f t="shared" si="77"/>
        <v>0.95552649674787249</v>
      </c>
      <c r="BE49" s="2">
        <f t="shared" si="78"/>
        <v>0.77178042150548021</v>
      </c>
      <c r="BF49" s="20">
        <f t="shared" si="79"/>
        <v>0.65439419784912689</v>
      </c>
      <c r="BG49" s="2">
        <f t="shared" si="80"/>
        <v>0.75150368478136886</v>
      </c>
      <c r="BH49" s="2">
        <f t="shared" si="81"/>
        <v>0.84424712966982951</v>
      </c>
      <c r="BI49" s="2">
        <f t="shared" si="82"/>
        <v>0.68918133034271789</v>
      </c>
      <c r="BJ49" s="2">
        <f t="shared" si="83"/>
        <v>0.52051178157290379</v>
      </c>
      <c r="BK49" s="20">
        <f t="shared" si="84"/>
        <v>0</v>
      </c>
      <c r="BL49" s="2">
        <f t="shared" si="85"/>
        <v>0.73094494141814204</v>
      </c>
      <c r="BM49" s="2">
        <f t="shared" si="86"/>
        <v>1.0683601106348271</v>
      </c>
      <c r="BN49" s="2">
        <f t="shared" si="90"/>
        <v>0.95621905308271904</v>
      </c>
      <c r="BO49" s="2">
        <f t="shared" si="91"/>
        <v>0.97724672921839095</v>
      </c>
      <c r="BP49" s="20">
        <f>IF(ISNUMBER(AP49),MIN(1.15,AP49/($AA49*(1-$K$3)^(BP$6-1))),"")</f>
        <v>1.0268306840673196</v>
      </c>
      <c r="BU49" s="23"/>
      <c r="BY49" s="25">
        <f t="shared" si="105"/>
        <v>43</v>
      </c>
      <c r="BZ49" s="3">
        <f t="shared" si="106"/>
        <v>47654.657891044793</v>
      </c>
      <c r="CA49" s="3">
        <f t="shared" si="30"/>
        <v>37562</v>
      </c>
      <c r="CB49" s="2">
        <f t="shared" si="31"/>
        <v>0.78821256226159175</v>
      </c>
      <c r="CC49" s="85">
        <f t="shared" si="32"/>
        <v>69</v>
      </c>
      <c r="CD49" s="3" t="str">
        <f t="shared" si="107"/>
        <v>Fixed</v>
      </c>
      <c r="CE49" s="58">
        <f t="shared" si="33"/>
        <v>-3.8305895326163609E-3</v>
      </c>
      <c r="CF49" s="2">
        <f t="array" ref="CF49:CG49">LINEST(AB49:AP49,AB$6:AP$6,TRUE,FALSE)</f>
        <v>-9.6107142857142929</v>
      </c>
      <c r="CG49" s="2">
        <v>2581.0190476190473</v>
      </c>
      <c r="CH49" s="1">
        <f t="shared" si="34"/>
        <v>1.023476312011929</v>
      </c>
      <c r="CI49" s="3"/>
      <c r="CJ49" s="3"/>
      <c r="CK49" s="3"/>
      <c r="CL49" s="3"/>
      <c r="CM49" s="3"/>
      <c r="CN49" s="3"/>
      <c r="CO49" s="3"/>
      <c r="CP49" s="3"/>
      <c r="CQ49" s="3"/>
      <c r="CR49" s="3"/>
      <c r="CS49" s="3"/>
      <c r="CT49" s="3"/>
      <c r="CU49" s="3"/>
      <c r="CV49" s="3"/>
      <c r="DC49" s="2">
        <f t="shared" si="36"/>
        <v>1</v>
      </c>
      <c r="DD49">
        <f t="shared" si="108"/>
        <v>3</v>
      </c>
      <c r="DE49">
        <f t="shared" si="37"/>
        <v>18</v>
      </c>
      <c r="DT49">
        <f t="shared" si="38"/>
        <v>18992</v>
      </c>
      <c r="DU49" s="3">
        <f t="shared" si="39"/>
        <v>3289.6575620687427</v>
      </c>
      <c r="DV49" s="3">
        <f t="shared" si="40"/>
        <v>3273.2092742583991</v>
      </c>
      <c r="DW49" s="3">
        <f t="shared" si="41"/>
        <v>3256.8432278871069</v>
      </c>
      <c r="DX49" s="3">
        <f t="shared" si="42"/>
        <v>3240.5590117476713</v>
      </c>
      <c r="DY49" s="3">
        <f t="shared" si="43"/>
        <v>3224.3562166889333</v>
      </c>
      <c r="DZ49" s="3">
        <f t="shared" si="44"/>
        <v>3208.2344356054887</v>
      </c>
      <c r="EA49" s="3">
        <f t="shared" si="45"/>
        <v>3192.1932634274613</v>
      </c>
      <c r="EB49" s="2">
        <f t="shared" si="46"/>
        <v>0.83720324598590745</v>
      </c>
      <c r="ED49" s="2" t="str">
        <f t="shared" si="47"/>
        <v xml:space="preserve"> </v>
      </c>
      <c r="EE49" s="58" t="str">
        <f t="shared" si="48"/>
        <v xml:space="preserve"> </v>
      </c>
      <c r="EF49" s="2">
        <f t="shared" si="49"/>
        <v>0.78821256226159175</v>
      </c>
      <c r="EG49" s="58">
        <f t="shared" si="50"/>
        <v>-3.8305895326163609E-3</v>
      </c>
      <c r="EI49" s="2" t="str">
        <f t="shared" si="51"/>
        <v xml:space="preserve"> </v>
      </c>
      <c r="EJ49" s="2">
        <f t="shared" si="52"/>
        <v>0.83720324598590745</v>
      </c>
      <c r="EK49" s="2"/>
      <c r="EL49" s="2">
        <f t="array" ref="EL49:EM49">LINEST($AB49:$AH49,$AB$6:$AH$6,TRUE,FALSE)</f>
        <v>-123.5</v>
      </c>
      <c r="EM49" s="2">
        <v>3207.1428571428573</v>
      </c>
      <c r="EN49" s="58">
        <f t="shared" si="53"/>
        <v>-4.5519165964616679E-2</v>
      </c>
      <c r="EO49" s="2">
        <f t="array" ref="EO49:EP49">LINEST($AH49:$AP49,$AH$6:$AP$6,TRUE,FALSE)</f>
        <v>170.75</v>
      </c>
      <c r="EP49" s="2">
        <v>484.52777777777783</v>
      </c>
      <c r="EQ49" s="58">
        <f t="shared" si="54"/>
        <v>7.2266635316247357E-2</v>
      </c>
      <c r="ES49" s="3">
        <f t="shared" si="55"/>
        <v>2175.5561224489979</v>
      </c>
      <c r="ET49" s="3">
        <f t="shared" si="92"/>
        <v>27508.591836734628</v>
      </c>
      <c r="EU49" s="3">
        <f t="shared" si="93"/>
        <v>75821.556122448877</v>
      </c>
      <c r="EV49" s="3">
        <f t="shared" si="94"/>
        <v>45004.591836734777</v>
      </c>
      <c r="EW49" s="3">
        <f t="shared" si="95"/>
        <v>230057.27040816346</v>
      </c>
      <c r="EX49" s="3">
        <f t="shared" si="96"/>
        <v>3040.7346938775727</v>
      </c>
      <c r="EY49" s="3">
        <f t="shared" si="97"/>
        <v>124155.55612244885</v>
      </c>
      <c r="EZ49" s="3">
        <f t="shared" si="56"/>
        <v>114563.44521604935</v>
      </c>
      <c r="FA49" s="3">
        <f t="shared" si="98"/>
        <v>141584.96604938275</v>
      </c>
      <c r="FB49" s="29">
        <f t="shared" si="99"/>
        <v>4804985.7785493834</v>
      </c>
      <c r="FC49" s="3">
        <f t="shared" si="100"/>
        <v>5742.2716049382789</v>
      </c>
      <c r="FD49" s="3">
        <f t="shared" si="101"/>
        <v>628012.22299382708</v>
      </c>
      <c r="FE49" s="3">
        <f t="shared" si="88"/>
        <v>66420.743827160462</v>
      </c>
      <c r="FF49" s="3">
        <f t="shared" si="89"/>
        <v>18761.389660493813</v>
      </c>
      <c r="FG49" s="29">
        <f>($EP49+$EO49*FG$6-AP49)^2</f>
        <v>10654.827160493816</v>
      </c>
      <c r="FH49" s="3"/>
      <c r="FI49" s="3"/>
      <c r="FQ49" s="4">
        <f>SQRT(AVERAGE(ES49:FG49))/AVERAGE(AB49:AP49)</f>
        <v>0.25877071517492972</v>
      </c>
      <c r="FR49" s="160">
        <v>3.1E-2</v>
      </c>
      <c r="FS49" s="161">
        <f t="shared" si="21"/>
        <v>0.11979717248547199</v>
      </c>
      <c r="FV49" s="4">
        <f t="shared" si="58"/>
        <v>9.9267985954167526E-2</v>
      </c>
      <c r="FW49" s="161">
        <f t="shared" si="59"/>
        <v>0.31228597721638918</v>
      </c>
    </row>
    <row r="50" spans="1:179" x14ac:dyDescent="0.3">
      <c r="A50">
        <f t="shared" si="109"/>
        <v>44</v>
      </c>
      <c r="B50" s="6">
        <v>57243</v>
      </c>
      <c r="C50" s="6" t="s">
        <v>143</v>
      </c>
      <c r="D50" s="6">
        <v>2011</v>
      </c>
      <c r="E50" s="6">
        <v>2010</v>
      </c>
      <c r="F50" s="6" t="s">
        <v>252</v>
      </c>
      <c r="G50" s="17" t="s">
        <v>634</v>
      </c>
      <c r="H50" s="17" t="s">
        <v>630</v>
      </c>
      <c r="I50" s="6" t="s">
        <v>35</v>
      </c>
      <c r="J50" s="17">
        <v>25</v>
      </c>
      <c r="K50" s="6" t="s">
        <v>144</v>
      </c>
      <c r="L50" s="12">
        <v>36.468000000000004</v>
      </c>
      <c r="M50" s="12">
        <v>-104.636</v>
      </c>
      <c r="N50" s="14">
        <v>37.4</v>
      </c>
      <c r="O50" s="6">
        <v>30.6</v>
      </c>
      <c r="P50" s="94">
        <f>365.25*6.1</f>
        <v>2228.0250000000001</v>
      </c>
      <c r="Q50" s="15" t="s">
        <v>511</v>
      </c>
      <c r="R50" s="14">
        <v>5.0999999999999996</v>
      </c>
      <c r="S50" s="3">
        <f t="shared" si="23"/>
        <v>33.109499999999997</v>
      </c>
      <c r="T50" s="128" t="str">
        <f t="shared" si="24"/>
        <v>C</v>
      </c>
      <c r="U50" s="154">
        <v>1926</v>
      </c>
      <c r="V50" s="154">
        <v>518</v>
      </c>
      <c r="W50" s="156">
        <v>0.64400000000000002</v>
      </c>
      <c r="X50" s="1">
        <f t="shared" si="63"/>
        <v>0.26895119418483904</v>
      </c>
      <c r="Y50" s="59">
        <f t="shared" si="25"/>
        <v>1.0038538369677719E-3</v>
      </c>
      <c r="Z50" s="1">
        <f t="shared" si="26"/>
        <v>0.9871337722906417</v>
      </c>
      <c r="AA50" s="3">
        <f t="shared" si="64"/>
        <v>68052.434291486061</v>
      </c>
      <c r="AB50" s="6">
        <v>67978</v>
      </c>
      <c r="AC50" s="6">
        <v>69919</v>
      </c>
      <c r="AD50" s="6">
        <v>66592</v>
      </c>
      <c r="AE50" s="6">
        <v>62443</v>
      </c>
      <c r="AF50" s="93">
        <v>60785</v>
      </c>
      <c r="AG50" s="6">
        <v>63694</v>
      </c>
      <c r="AH50" s="6">
        <v>60971</v>
      </c>
      <c r="AI50" s="6">
        <v>63266</v>
      </c>
      <c r="AJ50" s="6">
        <v>61710</v>
      </c>
      <c r="AK50" s="93">
        <v>62525</v>
      </c>
      <c r="AL50" s="6">
        <v>63263</v>
      </c>
      <c r="AM50" s="6">
        <v>60678</v>
      </c>
      <c r="AN50" s="6">
        <v>57027</v>
      </c>
      <c r="AO50" s="6">
        <v>44625</v>
      </c>
      <c r="AP50" s="23"/>
      <c r="AU50" s="23"/>
      <c r="AY50" s="32">
        <v>14</v>
      </c>
      <c r="AZ50" s="1">
        <f t="shared" si="27"/>
        <v>0.74188285008075949</v>
      </c>
      <c r="BA50" s="24">
        <f t="shared" si="104"/>
        <v>44</v>
      </c>
      <c r="BB50" s="2">
        <f t="shared" si="75"/>
        <v>0.99890622147082586</v>
      </c>
      <c r="BC50" s="2">
        <f t="shared" si="76"/>
        <v>1.0325913024331796</v>
      </c>
      <c r="BD50" s="2">
        <f t="shared" si="77"/>
        <v>0.98839885164506291</v>
      </c>
      <c r="BE50" s="2">
        <f t="shared" si="78"/>
        <v>0.93147424854438976</v>
      </c>
      <c r="BF50" s="20">
        <f t="shared" si="79"/>
        <v>0.91129803362006012</v>
      </c>
      <c r="BG50" s="2">
        <f t="shared" si="80"/>
        <v>0.95970875109934994</v>
      </c>
      <c r="BH50" s="2">
        <f t="shared" si="81"/>
        <v>0.92329645627071621</v>
      </c>
      <c r="BI50" s="2">
        <f t="shared" si="82"/>
        <v>0.96286443785777287</v>
      </c>
      <c r="BJ50" s="2">
        <f t="shared" si="83"/>
        <v>0.94390271561714545</v>
      </c>
      <c r="BK50" s="20">
        <f t="shared" si="84"/>
        <v>0.96117465131461921</v>
      </c>
      <c r="BL50" s="2">
        <f t="shared" si="85"/>
        <v>0.97740669707782013</v>
      </c>
      <c r="BM50" s="2">
        <f t="shared" si="86"/>
        <v>0.94217961700902875</v>
      </c>
      <c r="BN50" s="2">
        <f t="shared" si="90"/>
        <v>0.88993828728953905</v>
      </c>
      <c r="BO50" s="2">
        <f t="shared" si="91"/>
        <v>0.69989761651816829</v>
      </c>
      <c r="BP50" s="23"/>
      <c r="BU50" s="23"/>
      <c r="BY50" s="25">
        <f t="shared" si="105"/>
        <v>44</v>
      </c>
      <c r="BZ50" s="3">
        <f t="shared" si="106"/>
        <v>922381.06908499985</v>
      </c>
      <c r="CA50" s="3">
        <f t="shared" si="30"/>
        <v>865476</v>
      </c>
      <c r="CB50" s="2">
        <f t="shared" si="31"/>
        <v>0.93830633455926238</v>
      </c>
      <c r="CC50" s="85">
        <f t="shared" si="32"/>
        <v>26</v>
      </c>
      <c r="CD50" s="3" t="str">
        <f t="shared" si="107"/>
        <v>Fixed</v>
      </c>
      <c r="CE50" s="58">
        <f t="shared" si="33"/>
        <v>-1.719462346747971E-2</v>
      </c>
      <c r="CF50" s="2">
        <f t="array" ref="CF50:CG50">LINEST(AB50:AO50,AB$6:AO$6,TRUE,FALSE)</f>
        <v>-1072.1846153846152</v>
      </c>
      <c r="CG50" s="2">
        <v>69861.0989010989</v>
      </c>
      <c r="CH50" s="1">
        <f t="shared" si="34"/>
        <v>1.0208501950074556</v>
      </c>
      <c r="CI50" s="3"/>
      <c r="CJ50" s="3"/>
      <c r="CK50" s="3"/>
      <c r="CL50" s="3"/>
      <c r="CM50" s="3"/>
      <c r="CN50" s="3"/>
      <c r="CO50" s="3"/>
      <c r="CP50" s="3"/>
      <c r="CQ50" s="3"/>
      <c r="CR50" s="3"/>
      <c r="CS50" s="3"/>
      <c r="CT50" s="3"/>
      <c r="CU50" s="3"/>
      <c r="CV50" s="3"/>
      <c r="DC50" s="2">
        <f t="shared" si="36"/>
        <v>1.2222222222222221</v>
      </c>
      <c r="DD50">
        <f t="shared" si="108"/>
        <v>1</v>
      </c>
      <c r="DE50">
        <f t="shared" si="37"/>
        <v>15</v>
      </c>
      <c r="DT50">
        <f t="shared" si="38"/>
        <v>452382</v>
      </c>
      <c r="DU50" s="3">
        <f t="shared" si="39"/>
        <v>68052.434291486061</v>
      </c>
      <c r="DV50" s="3">
        <f t="shared" si="40"/>
        <v>67712.172120028627</v>
      </c>
      <c r="DW50" s="3">
        <f t="shared" si="41"/>
        <v>67373.611259428493</v>
      </c>
      <c r="DX50" s="3">
        <f t="shared" si="42"/>
        <v>67036.743203131351</v>
      </c>
      <c r="DY50" s="3">
        <f t="shared" si="43"/>
        <v>66701.559487115694</v>
      </c>
      <c r="DZ50" s="3">
        <f t="shared" si="44"/>
        <v>66368.051689680113</v>
      </c>
      <c r="EA50" s="3">
        <f t="shared" si="45"/>
        <v>66036.211431231714</v>
      </c>
      <c r="EB50" s="2">
        <f t="shared" si="46"/>
        <v>0.96399003735735411</v>
      </c>
      <c r="ED50" s="2" t="str">
        <f t="shared" si="47"/>
        <v xml:space="preserve"> </v>
      </c>
      <c r="EE50" s="58" t="str">
        <f t="shared" si="48"/>
        <v xml:space="preserve"> </v>
      </c>
      <c r="EF50" s="2">
        <f t="shared" si="49"/>
        <v>0.93830633455926238</v>
      </c>
      <c r="EG50" s="58">
        <f t="shared" si="50"/>
        <v>-1.719462346747971E-2</v>
      </c>
      <c r="EI50" s="2" t="str">
        <f t="shared" si="51"/>
        <v xml:space="preserve"> </v>
      </c>
      <c r="EJ50" s="2">
        <f t="shared" si="52"/>
        <v>0.96399003735735411</v>
      </c>
      <c r="EK50" s="2"/>
      <c r="EL50" s="2">
        <f t="array" ref="EL50:EM50">LINEST($AB50:$AH50,$AB$6:$AH$6,TRUE,FALSE)</f>
        <v>-1402.7857142857142</v>
      </c>
      <c r="EM50" s="2">
        <v>70237.142857142855</v>
      </c>
      <c r="EN50" s="58">
        <f t="shared" si="53"/>
        <v>-2.1706212890875411E-2</v>
      </c>
      <c r="EO50" s="2">
        <f t="array" ref="EO50:EP50">LINEST($AH50:$AO50,$AH$6:$AO$6,TRUE,FALSE)</f>
        <v>-1761.6071428571429</v>
      </c>
      <c r="EP50" s="2">
        <v>77755</v>
      </c>
      <c r="EQ50" s="58">
        <f t="shared" si="54"/>
        <v>-2.972768954227193E-2</v>
      </c>
      <c r="ES50" s="3">
        <f t="shared" si="55"/>
        <v>733347.55612245249</v>
      </c>
      <c r="ET50" s="3">
        <f t="shared" si="92"/>
        <v>6187300.8979592249</v>
      </c>
      <c r="EU50" s="3">
        <f t="shared" si="93"/>
        <v>317210.33163265773</v>
      </c>
      <c r="EV50" s="3">
        <f t="shared" si="94"/>
        <v>4765489</v>
      </c>
      <c r="EW50" s="3">
        <f t="shared" si="95"/>
        <v>5944888.9030612092</v>
      </c>
      <c r="EX50" s="3">
        <f t="shared" si="96"/>
        <v>3510269.8979592072</v>
      </c>
      <c r="EY50" s="3">
        <f t="shared" si="97"/>
        <v>306204.12755102268</v>
      </c>
      <c r="EZ50" s="3">
        <f t="shared" si="56"/>
        <v>156929.16326530447</v>
      </c>
      <c r="FA50" s="3">
        <f t="shared" si="98"/>
        <v>36303.858418365766</v>
      </c>
      <c r="FB50" s="29">
        <f t="shared" si="99"/>
        <v>5693336.8622448929</v>
      </c>
      <c r="FC50" s="3">
        <f t="shared" si="100"/>
        <v>23869855.103316337</v>
      </c>
      <c r="FD50" s="3">
        <f t="shared" si="101"/>
        <v>16502165.224489762</v>
      </c>
      <c r="FE50" s="3">
        <f t="shared" si="88"/>
        <v>4721463.3686224399</v>
      </c>
      <c r="FF50" s="3">
        <f t="shared" si="89"/>
        <v>71698556.25</v>
      </c>
      <c r="FG50" s="29"/>
      <c r="FH50" s="3"/>
      <c r="FI50" s="3"/>
      <c r="FQ50" s="4">
        <f>SQRT(AVERAGE(ES50:FF50))/AVERAGE(AB50:AO50)</f>
        <v>5.1958633470531333E-2</v>
      </c>
      <c r="FR50" s="160">
        <v>2.5000000000000001E-2</v>
      </c>
      <c r="FS50" s="161">
        <f t="shared" si="21"/>
        <v>0.48115199207806164</v>
      </c>
      <c r="FV50" s="4">
        <f t="shared" si="58"/>
        <v>2.7284760957557049E-2</v>
      </c>
      <c r="FW50" s="161">
        <f t="shared" si="59"/>
        <v>0.91626237953445444</v>
      </c>
    </row>
    <row r="51" spans="1:179" x14ac:dyDescent="0.3">
      <c r="A51">
        <f t="shared" si="109"/>
        <v>45</v>
      </c>
      <c r="B51" s="6">
        <v>57216</v>
      </c>
      <c r="C51" s="6" t="s">
        <v>148</v>
      </c>
      <c r="D51" s="6">
        <v>2013</v>
      </c>
      <c r="E51" s="6">
        <v>2010</v>
      </c>
      <c r="F51" s="6" t="s">
        <v>252</v>
      </c>
      <c r="G51" s="17" t="s">
        <v>636</v>
      </c>
      <c r="H51" s="17" t="s">
        <v>638</v>
      </c>
      <c r="I51" s="6" t="s">
        <v>35</v>
      </c>
      <c r="J51" s="17">
        <v>25</v>
      </c>
      <c r="K51" s="6" t="s">
        <v>83</v>
      </c>
      <c r="L51" s="12">
        <v>40.7605</v>
      </c>
      <c r="M51" s="12">
        <v>-75.238</v>
      </c>
      <c r="N51" s="14">
        <v>3.1</v>
      </c>
      <c r="O51" s="6">
        <v>2.8</v>
      </c>
      <c r="P51" s="94">
        <f>365.25*4.4</f>
        <v>1607.1000000000001</v>
      </c>
      <c r="Q51" s="15" t="s">
        <v>557</v>
      </c>
      <c r="R51" s="14">
        <v>10.7</v>
      </c>
      <c r="S51" s="3">
        <f t="shared" si="23"/>
        <v>34.094000000000001</v>
      </c>
      <c r="T51" s="128" t="str">
        <f t="shared" si="24"/>
        <v>C</v>
      </c>
      <c r="U51" s="154">
        <v>1419</v>
      </c>
      <c r="V51" s="154">
        <v>698</v>
      </c>
      <c r="W51" s="156">
        <v>0.49399999999999999</v>
      </c>
      <c r="X51" s="1">
        <f t="shared" si="63"/>
        <v>0.49189570119802678</v>
      </c>
      <c r="Y51" s="59">
        <f t="shared" si="25"/>
        <v>0</v>
      </c>
      <c r="Z51" s="1">
        <f t="shared" si="26"/>
        <v>1</v>
      </c>
      <c r="AA51" s="3">
        <f t="shared" si="64"/>
        <v>4102.8738021332401</v>
      </c>
      <c r="AB51" s="6">
        <v>2515</v>
      </c>
      <c r="AC51" s="6">
        <v>2989</v>
      </c>
      <c r="AD51" s="6">
        <v>3105</v>
      </c>
      <c r="AE51" s="6">
        <v>4401</v>
      </c>
      <c r="AF51" s="93">
        <v>2655</v>
      </c>
      <c r="AG51" s="6">
        <v>2560</v>
      </c>
      <c r="AH51" s="6">
        <v>2653</v>
      </c>
      <c r="AI51" s="6">
        <v>2666</v>
      </c>
      <c r="AJ51" s="6">
        <v>2505</v>
      </c>
      <c r="AK51" s="93">
        <v>2794</v>
      </c>
      <c r="AL51" s="6">
        <v>2709</v>
      </c>
      <c r="AM51" s="6">
        <v>2628</v>
      </c>
      <c r="AN51" s="6">
        <v>2340</v>
      </c>
      <c r="AP51" s="23"/>
      <c r="AU51" s="23"/>
      <c r="AY51" s="32">
        <v>13</v>
      </c>
      <c r="AZ51" s="1">
        <f t="shared" si="27"/>
        <v>0.56387497600983716</v>
      </c>
      <c r="BA51" s="24">
        <f t="shared" si="104"/>
        <v>45</v>
      </c>
      <c r="BB51" s="2">
        <f t="shared" si="75"/>
        <v>0.61298497621163872</v>
      </c>
      <c r="BC51" s="2">
        <f t="shared" si="76"/>
        <v>0.732174628169311</v>
      </c>
      <c r="BD51" s="2">
        <f t="shared" si="77"/>
        <v>0.76441162670687357</v>
      </c>
      <c r="BE51" s="2">
        <f t="shared" si="78"/>
        <v>1.0889149674740692</v>
      </c>
      <c r="BF51" s="20">
        <f t="shared" si="79"/>
        <v>0.66021295722960494</v>
      </c>
      <c r="BG51" s="2">
        <f t="shared" si="80"/>
        <v>0.63978846038394932</v>
      </c>
      <c r="BH51" s="2">
        <f t="shared" si="81"/>
        <v>0.66636258848877894</v>
      </c>
      <c r="BI51" s="2">
        <f t="shared" si="82"/>
        <v>0.67299280454707944</v>
      </c>
      <c r="BJ51" s="2">
        <f t="shared" si="83"/>
        <v>0.63552834517314027</v>
      </c>
      <c r="BK51" s="20">
        <f t="shared" si="84"/>
        <v>0.71241083517939152</v>
      </c>
      <c r="BL51" s="2">
        <f t="shared" si="85"/>
        <v>0.69420867850381884</v>
      </c>
      <c r="BM51" s="2">
        <f t="shared" si="86"/>
        <v>0.67683578731903749</v>
      </c>
      <c r="BN51" s="2">
        <f>IF(ISNUMBER(AN51),MIN(1.15,AN51/($AA51*(1-$K$3)^(BN$6-1))),"")</f>
        <v>0.60569045468076588</v>
      </c>
      <c r="BP51" s="23"/>
      <c r="BU51" s="23"/>
      <c r="BY51" s="25">
        <f t="shared" si="105"/>
        <v>45</v>
      </c>
      <c r="BZ51" s="3">
        <f t="shared" si="106"/>
        <v>51766.21077659625</v>
      </c>
      <c r="CA51" s="3">
        <f t="shared" si="30"/>
        <v>36520</v>
      </c>
      <c r="CB51" s="2">
        <f t="shared" si="31"/>
        <v>0.70547949042681068</v>
      </c>
      <c r="CC51" s="85">
        <f t="shared" si="32"/>
        <v>85</v>
      </c>
      <c r="CD51" s="3" t="str">
        <f t="shared" si="107"/>
        <v>Fixed</v>
      </c>
      <c r="CE51" s="58">
        <f t="shared" si="33"/>
        <v>-1.8321456879460941E-2</v>
      </c>
      <c r="CF51" s="2">
        <f t="array" ref="CF51:CG51">LINEST(AB51:AN51,AB$6:AN$6,TRUE,FALSE)</f>
        <v>-51.945054945054949</v>
      </c>
      <c r="CG51" s="2">
        <v>3172.8461538461538</v>
      </c>
      <c r="CH51" s="1">
        <f t="shared" si="34"/>
        <v>1.029422312011929</v>
      </c>
      <c r="CI51" s="3"/>
      <c r="CJ51" s="3"/>
      <c r="CK51" s="3"/>
      <c r="CL51" s="3"/>
      <c r="CM51" s="3"/>
      <c r="CN51" s="3"/>
      <c r="CO51" s="3"/>
      <c r="CP51" s="3"/>
      <c r="CQ51" s="3"/>
      <c r="CR51" s="3"/>
      <c r="CS51" s="3"/>
      <c r="CT51" s="3"/>
      <c r="CU51" s="3"/>
      <c r="CV51" s="3"/>
      <c r="DC51" s="2">
        <f t="shared" si="36"/>
        <v>1.1071428571428572</v>
      </c>
      <c r="DD51">
        <f t="shared" si="108"/>
        <v>3</v>
      </c>
      <c r="DE51">
        <f t="shared" si="37"/>
        <v>16</v>
      </c>
      <c r="DT51">
        <f t="shared" si="38"/>
        <v>20878</v>
      </c>
      <c r="DU51" s="3">
        <f t="shared" si="39"/>
        <v>4102.8738021332401</v>
      </c>
      <c r="DV51" s="3">
        <f t="shared" si="40"/>
        <v>4082.359433122574</v>
      </c>
      <c r="DW51" s="3">
        <f t="shared" si="41"/>
        <v>4061.9476359569608</v>
      </c>
      <c r="DX51" s="3">
        <f t="shared" si="42"/>
        <v>4041.6378977771769</v>
      </c>
      <c r="DY51" s="3">
        <f t="shared" si="43"/>
        <v>4021.4297082882908</v>
      </c>
      <c r="DZ51" s="3">
        <f t="shared" si="44"/>
        <v>4001.3225597468495</v>
      </c>
      <c r="EA51" s="3">
        <f t="shared" si="45"/>
        <v>3981.3159469481152</v>
      </c>
      <c r="EB51" s="2">
        <f t="shared" si="46"/>
        <v>0.73792398816799987</v>
      </c>
      <c r="ED51" s="2" t="str">
        <f t="shared" si="47"/>
        <v xml:space="preserve"> </v>
      </c>
      <c r="EE51" s="58" t="str">
        <f t="shared" si="48"/>
        <v xml:space="preserve"> </v>
      </c>
      <c r="EF51" s="2">
        <f t="shared" si="49"/>
        <v>0.70547949042681068</v>
      </c>
      <c r="EG51" s="58">
        <f t="shared" si="50"/>
        <v>-1.8321456879460941E-2</v>
      </c>
      <c r="EI51" s="2" t="str">
        <f t="shared" si="51"/>
        <v xml:space="preserve"> </v>
      </c>
      <c r="EJ51" s="2">
        <f t="shared" si="52"/>
        <v>0.73792398816799987</v>
      </c>
      <c r="EK51" s="2"/>
      <c r="EL51" s="2">
        <f t="array" ref="EL51:EM51">LINEST($AB51:$AH51,$AB$6:$AH$6,TRUE,FALSE)</f>
        <v>-31.928571428571406</v>
      </c>
      <c r="EM51" s="2">
        <v>3110.2857142857142</v>
      </c>
      <c r="EN51" s="58">
        <f t="shared" si="53"/>
        <v>-1.0705048376281246E-2</v>
      </c>
      <c r="EO51" s="2">
        <f t="array" ref="EO51:EP51">LINEST($AH51:$AN51,$AH$6:$AN$6,TRUE,FALSE)</f>
        <v>-28.964285714285715</v>
      </c>
      <c r="EP51" s="2">
        <v>2903.2142857142858</v>
      </c>
      <c r="EQ51" s="58">
        <f t="shared" si="54"/>
        <v>-1.1082262913364309E-2</v>
      </c>
      <c r="ES51" s="3">
        <f t="shared" si="55"/>
        <v>317371.27040816302</v>
      </c>
      <c r="ET51" s="3">
        <f t="shared" si="92"/>
        <v>3298.0408163265456</v>
      </c>
      <c r="EU51" s="3">
        <f t="shared" si="93"/>
        <v>8190.25</v>
      </c>
      <c r="EV51" s="3">
        <f t="shared" si="94"/>
        <v>2011939.6122448982</v>
      </c>
      <c r="EW51" s="3">
        <f t="shared" si="95"/>
        <v>87404.698979591951</v>
      </c>
      <c r="EX51" s="3">
        <f t="shared" si="96"/>
        <v>128675.93877551025</v>
      </c>
      <c r="EY51" s="3">
        <f t="shared" si="97"/>
        <v>54655.760204081605</v>
      </c>
      <c r="EZ51" s="3">
        <f t="shared" si="56"/>
        <v>30.25</v>
      </c>
      <c r="FA51" s="3">
        <f t="shared" si="98"/>
        <v>18916.072704081616</v>
      </c>
      <c r="FB51" s="29">
        <f t="shared" si="99"/>
        <v>32554.469387755147</v>
      </c>
      <c r="FC51" s="3">
        <f t="shared" si="100"/>
        <v>15473.5829081632</v>
      </c>
      <c r="FD51" s="3">
        <f t="shared" si="101"/>
        <v>5235.5561224489511</v>
      </c>
      <c r="FE51" s="3">
        <f t="shared" si="88"/>
        <v>34848.889030612292</v>
      </c>
      <c r="FF51" s="3"/>
      <c r="FG51" s="29"/>
      <c r="FH51" s="3"/>
      <c r="FI51" s="3"/>
      <c r="FQ51" s="4">
        <f>SQRT(AVERAGE(ES51:FE51))/AVERAGE(AB51:AN51)</f>
        <v>0.16278452462340798</v>
      </c>
      <c r="FR51" s="160">
        <v>2.9000000000000001E-2</v>
      </c>
      <c r="FS51" s="161">
        <f t="shared" si="21"/>
        <v>0.17814961260654061</v>
      </c>
      <c r="FV51" s="4">
        <f t="shared" si="58"/>
        <v>0.20478969519324999</v>
      </c>
      <c r="FW51" s="161">
        <f t="shared" si="59"/>
        <v>0.14160868774492838</v>
      </c>
    </row>
    <row r="52" spans="1:179" x14ac:dyDescent="0.3">
      <c r="A52">
        <f t="shared" si="109"/>
        <v>46</v>
      </c>
      <c r="B52" s="6">
        <v>57334</v>
      </c>
      <c r="C52" s="6" t="s">
        <v>149</v>
      </c>
      <c r="D52" s="6">
        <v>2012</v>
      </c>
      <c r="E52" s="6">
        <v>2010</v>
      </c>
      <c r="F52" s="6" t="s">
        <v>248</v>
      </c>
      <c r="G52" s="17" t="s">
        <v>636</v>
      </c>
      <c r="H52" s="17" t="s">
        <v>639</v>
      </c>
      <c r="I52" s="6" t="s">
        <v>35</v>
      </c>
      <c r="J52" s="17">
        <v>5</v>
      </c>
      <c r="K52" s="6" t="s">
        <v>86</v>
      </c>
      <c r="L52" s="12">
        <v>35.246000000000002</v>
      </c>
      <c r="M52" s="12">
        <v>-80.996700000000004</v>
      </c>
      <c r="N52" s="14">
        <v>2.2000000000000002</v>
      </c>
      <c r="O52" s="6">
        <v>1.9</v>
      </c>
      <c r="P52" s="94">
        <f>365.25*(4.4+(4.65-4.4)*0.5)</f>
        <v>1652.7562500000001</v>
      </c>
      <c r="Q52" s="15" t="s">
        <v>565</v>
      </c>
      <c r="R52" s="14">
        <v>15.6</v>
      </c>
      <c r="S52" s="3">
        <f t="shared" si="23"/>
        <v>39.333375000000004</v>
      </c>
      <c r="T52" s="128" t="str">
        <f t="shared" si="24"/>
        <v>C</v>
      </c>
      <c r="U52" s="154">
        <v>1635</v>
      </c>
      <c r="V52" s="154">
        <v>689</v>
      </c>
      <c r="W52" s="156">
        <v>0.53400000000000003</v>
      </c>
      <c r="X52" s="1">
        <f t="shared" si="63"/>
        <v>0.42140672782874616</v>
      </c>
      <c r="Y52" s="59">
        <f t="shared" si="25"/>
        <v>0</v>
      </c>
      <c r="Z52" s="1">
        <f t="shared" si="26"/>
        <v>1</v>
      </c>
      <c r="AA52" s="3">
        <f t="shared" si="64"/>
        <v>2933.4738768857119</v>
      </c>
      <c r="AB52" s="6">
        <v>2558</v>
      </c>
      <c r="AC52" s="6">
        <v>2847</v>
      </c>
      <c r="AD52" s="6">
        <v>2713</v>
      </c>
      <c r="AE52" s="6">
        <v>2712</v>
      </c>
      <c r="AF52" s="93">
        <v>2477</v>
      </c>
      <c r="AG52" s="6">
        <v>2541</v>
      </c>
      <c r="AH52" s="6">
        <v>1978</v>
      </c>
      <c r="AI52" s="6">
        <v>1661</v>
      </c>
      <c r="AJ52" s="6">
        <v>2010</v>
      </c>
      <c r="AK52" s="93">
        <v>2003</v>
      </c>
      <c r="AL52" s="6">
        <v>2067</v>
      </c>
      <c r="AM52" s="6">
        <v>1447</v>
      </c>
      <c r="AN52" s="6">
        <v>1534</v>
      </c>
      <c r="AP52" s="23"/>
      <c r="AU52" s="23"/>
      <c r="AY52" s="32">
        <v>13</v>
      </c>
      <c r="AZ52" s="1">
        <f t="shared" si="27"/>
        <v>0.60394980698564482</v>
      </c>
      <c r="BA52" s="24">
        <f t="shared" si="104"/>
        <v>46</v>
      </c>
      <c r="BB52" s="2">
        <f t="shared" ref="BB52:BB83" si="110">IF(ISNUMBER(AB52),MIN(1.15,AB52/($AA52*(1-$K$3)^(BB$6-1))),"")</f>
        <v>0.87200367460427863</v>
      </c>
      <c r="BC52" s="2">
        <f t="shared" ref="BC52:BC83" si="111">IF(ISNUMBER(AC52),MIN(1.15,AC52/($AA52*(1-$K$3)^(BC$6-1))),"")</f>
        <v>0.97539867500064092</v>
      </c>
      <c r="BD52" s="2">
        <f t="shared" ref="BD52:BD83" si="112">IF(ISNUMBER(AD52),MIN(1.15,AD52/($AA52*(1-$K$3)^(BD$6-1))),"")</f>
        <v>0.9341603010757118</v>
      </c>
      <c r="BE52" s="2">
        <f t="shared" ref="BE52:BE83" si="113">IF(ISNUMBER(AE52),MIN(1.15,AE52/($AA52*(1-$K$3)^(BE$6-1))),"")</f>
        <v>0.93850851623296372</v>
      </c>
      <c r="BF52" s="20">
        <f t="shared" ref="BF52:BF83" si="114">IF(ISNUMBER(AF52),MIN(1.15,AF52/($AA52*(1-$K$3)^(BF$6-1))),"")</f>
        <v>0.86149241588067593</v>
      </c>
      <c r="BG52" s="2">
        <f t="shared" ref="BG52:BG83" si="115">IF(ISNUMBER(AG52),MIN(1.15,AG52/($AA52*(1-$K$3)^(BG$6-1))),"")</f>
        <v>0.88819236625306475</v>
      </c>
      <c r="BH52" s="2">
        <f t="shared" ref="BH52:BH83" si="116">IF(ISNUMBER(AH52),MIN(1.15,AH52/($AA52*(1-$K$3)^(BH$6-1))),"")</f>
        <v>0.69487322501866366</v>
      </c>
      <c r="BI52" s="2">
        <f t="shared" ref="BI52:BI83" si="117">IF(ISNUMBER(AI52),MIN(1.15,AI52/($AA52*(1-$K$3)^(BI$6-1))),"")</f>
        <v>0.58644304777476886</v>
      </c>
      <c r="BJ52" s="2">
        <f t="shared" ref="BJ52:BJ83" si="118">IF(ISNUMBER(AJ52),MIN(1.15,AJ52/($AA52*(1-$K$3)^(BJ$6-1))),"")</f>
        <v>0.71322931698061975</v>
      </c>
      <c r="BK52" s="20">
        <f t="shared" ref="BK52:BK83" si="119">IF(ISNUMBER(AK52),MIN(1.15,AK52/($AA52*(1-$K$3)^(BK$6-1))),"")</f>
        <v>0.71431701888156274</v>
      </c>
      <c r="BL52" s="2">
        <f t="shared" ref="BL52:BL83" si="120">IF(ISNUMBER(AL52),MIN(1.15,AL52/($AA52*(1-$K$3)^(BL$6-1))),"")</f>
        <v>0.7408451533896091</v>
      </c>
      <c r="BM52" s="2">
        <f t="shared" ref="BM52:BM83" si="121">IF(ISNUMBER(AM52),MIN(1.15,AM52/($AA52*(1-$K$3)^(BM$6-1))),"")</f>
        <v>0.52123361702307602</v>
      </c>
      <c r="BN52" s="2">
        <f>IF(ISNUMBER(AN52),MIN(1.15,AN52/($AA52*(1-$K$3)^(BN$6-1))),"")</f>
        <v>0.55534921915270785</v>
      </c>
      <c r="BO52" s="2"/>
      <c r="BP52" s="23"/>
      <c r="BU52" s="23"/>
      <c r="BY52" s="25">
        <f t="shared" si="105"/>
        <v>46</v>
      </c>
      <c r="BZ52" s="3">
        <f t="shared" si="106"/>
        <v>37011.820090481364</v>
      </c>
      <c r="CA52" s="3">
        <f t="shared" si="30"/>
        <v>28548</v>
      </c>
      <c r="CB52" s="2">
        <f t="shared" si="31"/>
        <v>0.77132115984055394</v>
      </c>
      <c r="CC52" s="85">
        <f t="shared" si="32"/>
        <v>73</v>
      </c>
      <c r="CD52" s="3" t="str">
        <f t="shared" si="107"/>
        <v>Fixed</v>
      </c>
      <c r="CE52" s="58">
        <f t="shared" si="33"/>
        <v>-4.8030983635180401E-2</v>
      </c>
      <c r="CF52" s="2">
        <f t="array" ref="CF52:CG52">LINEST(AB52:AN52,AB$6:AN$6,TRUE,FALSE)</f>
        <v>-108.07142857142858</v>
      </c>
      <c r="CG52" s="2">
        <v>2952.5</v>
      </c>
      <c r="CH52" s="1">
        <f t="shared" si="34"/>
        <v>1.0084648120119288</v>
      </c>
      <c r="CI52" s="3"/>
      <c r="CJ52" s="3"/>
      <c r="CK52" s="3"/>
      <c r="CL52" s="3"/>
      <c r="CM52" s="3"/>
      <c r="CN52" s="3"/>
      <c r="CO52" s="3"/>
      <c r="CP52" s="3"/>
      <c r="CQ52" s="3"/>
      <c r="CR52" s="3"/>
      <c r="CS52" s="3"/>
      <c r="CT52" s="3"/>
      <c r="CU52" s="3"/>
      <c r="CV52" s="3"/>
      <c r="DC52" s="2">
        <f t="shared" si="36"/>
        <v>1.1578947368421053</v>
      </c>
      <c r="DD52">
        <f t="shared" si="108"/>
        <v>2</v>
      </c>
      <c r="DE52">
        <f t="shared" si="37"/>
        <v>15</v>
      </c>
      <c r="DT52">
        <f t="shared" si="38"/>
        <v>17826</v>
      </c>
      <c r="DU52" s="3">
        <f t="shared" si="39"/>
        <v>2933.4738768857119</v>
      </c>
      <c r="DV52" s="3">
        <f t="shared" si="40"/>
        <v>2918.8065075012832</v>
      </c>
      <c r="DW52" s="3">
        <f t="shared" si="41"/>
        <v>2904.2124749637769</v>
      </c>
      <c r="DX52" s="3">
        <f t="shared" si="42"/>
        <v>2889.691412588958</v>
      </c>
      <c r="DY52" s="3">
        <f t="shared" si="43"/>
        <v>2875.2429555260132</v>
      </c>
      <c r="DZ52" s="3">
        <f t="shared" si="44"/>
        <v>2860.8667407483836</v>
      </c>
      <c r="EA52" s="3">
        <f t="shared" si="45"/>
        <v>2846.5624070446415</v>
      </c>
      <c r="EB52" s="2">
        <f t="shared" si="46"/>
        <v>0.8812164004388493</v>
      </c>
      <c r="ED52" s="2" t="str">
        <f t="shared" si="47"/>
        <v xml:space="preserve"> </v>
      </c>
      <c r="EE52" s="58" t="str">
        <f t="shared" si="48"/>
        <v xml:space="preserve"> </v>
      </c>
      <c r="EF52" s="2">
        <f t="shared" si="49"/>
        <v>0.77132115984055394</v>
      </c>
      <c r="EG52" s="58">
        <f t="shared" si="50"/>
        <v>-4.8030983635180401E-2</v>
      </c>
      <c r="EI52" s="2" t="str">
        <f t="shared" si="51"/>
        <v xml:space="preserve"> </v>
      </c>
      <c r="EJ52" s="2">
        <f t="shared" si="52"/>
        <v>0.8812164004388493</v>
      </c>
      <c r="EK52" s="2"/>
      <c r="EL52" s="2">
        <f t="array" ref="EL52:EM52">LINEST($AB52:$AH52,$AB$6:$AH$6,TRUE,FALSE)</f>
        <v>-92.428571428571431</v>
      </c>
      <c r="EM52" s="2">
        <v>2916.2857142857142</v>
      </c>
      <c r="EN52" s="58">
        <f t="shared" si="53"/>
        <v>-3.6295299001458545E-2</v>
      </c>
      <c r="EO52" s="2">
        <f t="array" ref="EO52:EP52">LINEST($AH52:$AN52,$AH$6:$AN$6,TRUE,FALSE)</f>
        <v>-60.821428571428562</v>
      </c>
      <c r="EP52" s="2">
        <v>2422.5</v>
      </c>
      <c r="EQ52" s="58">
        <f t="shared" si="54"/>
        <v>-3.3523622047244094E-2</v>
      </c>
      <c r="ES52" s="3">
        <f t="shared" si="55"/>
        <v>70680.020408163167</v>
      </c>
      <c r="ET52" s="3">
        <f t="shared" si="92"/>
        <v>13356.755102040786</v>
      </c>
      <c r="EU52" s="3">
        <f t="shared" si="93"/>
        <v>5476</v>
      </c>
      <c r="EV52" s="3">
        <f t="shared" si="94"/>
        <v>27366.612244898002</v>
      </c>
      <c r="EW52" s="3">
        <f t="shared" si="95"/>
        <v>522.44897959184857</v>
      </c>
      <c r="EX52" s="3">
        <f t="shared" si="96"/>
        <v>32143.36734693875</v>
      </c>
      <c r="EY52" s="3">
        <f t="shared" si="97"/>
        <v>84847.367346938743</v>
      </c>
      <c r="EZ52" s="3">
        <f t="shared" si="56"/>
        <v>75585.719387755176</v>
      </c>
      <c r="FA52" s="3">
        <f t="shared" si="98"/>
        <v>18196.082908163258</v>
      </c>
      <c r="FB52" s="29">
        <f t="shared" si="99"/>
        <v>35613.081632653084</v>
      </c>
      <c r="FC52" s="3">
        <f t="shared" si="100"/>
        <v>98304.644132653018</v>
      </c>
      <c r="FD52" s="3">
        <f t="shared" si="101"/>
        <v>60340.413265306219</v>
      </c>
      <c r="FE52" s="3">
        <f t="shared" si="88"/>
        <v>9569.0318877551217</v>
      </c>
      <c r="FF52" s="3"/>
      <c r="FG52" s="29"/>
      <c r="FH52" s="3"/>
      <c r="FI52" s="3"/>
      <c r="FQ52" s="4">
        <f>SQRT(AVERAGE(ES52:FE52))/AVERAGE(AB52:AN52)</f>
        <v>9.2119682975208297E-2</v>
      </c>
      <c r="FR52" s="160">
        <v>2.5000000000000001E-2</v>
      </c>
      <c r="FS52" s="161">
        <f t="shared" si="21"/>
        <v>0.27138608376157919</v>
      </c>
      <c r="FV52" s="4">
        <f t="shared" si="58"/>
        <v>7.1856662129958906E-2</v>
      </c>
      <c r="FW52" s="161">
        <f t="shared" si="59"/>
        <v>0.34791485241528985</v>
      </c>
    </row>
    <row r="53" spans="1:179" x14ac:dyDescent="0.3">
      <c r="A53">
        <f t="shared" si="109"/>
        <v>47</v>
      </c>
      <c r="B53" s="6">
        <v>57336</v>
      </c>
      <c r="C53" s="6" t="s">
        <v>150</v>
      </c>
      <c r="D53" s="6">
        <v>2010</v>
      </c>
      <c r="E53" s="6">
        <v>2010</v>
      </c>
      <c r="F53" s="6" t="s">
        <v>248</v>
      </c>
      <c r="G53" s="17" t="s">
        <v>636</v>
      </c>
      <c r="H53" s="17" t="s">
        <v>639</v>
      </c>
      <c r="I53" s="6" t="s">
        <v>35</v>
      </c>
      <c r="J53" s="17">
        <v>11</v>
      </c>
      <c r="K53" s="6" t="s">
        <v>86</v>
      </c>
      <c r="L53" s="12">
        <v>35.326000000000001</v>
      </c>
      <c r="M53" s="12">
        <v>-80.997</v>
      </c>
      <c r="N53" s="14">
        <v>1.2</v>
      </c>
      <c r="O53" s="6">
        <v>1</v>
      </c>
      <c r="P53" s="94">
        <f>365.25*4.65</f>
        <v>1698.4125000000001</v>
      </c>
      <c r="Q53" s="15" t="s">
        <v>565</v>
      </c>
      <c r="R53" s="14">
        <v>15.6</v>
      </c>
      <c r="S53" s="3">
        <f t="shared" si="23"/>
        <v>39.672750000000001</v>
      </c>
      <c r="T53" s="128" t="str">
        <f t="shared" si="24"/>
        <v>C</v>
      </c>
      <c r="U53" s="154">
        <v>1635</v>
      </c>
      <c r="V53" s="154">
        <v>689</v>
      </c>
      <c r="W53" s="156">
        <v>0.53400000000000003</v>
      </c>
      <c r="X53" s="1">
        <f t="shared" si="63"/>
        <v>0.42140672782874616</v>
      </c>
      <c r="Y53" s="59">
        <f t="shared" si="25"/>
        <v>0</v>
      </c>
      <c r="Z53" s="1">
        <f t="shared" si="26"/>
        <v>1</v>
      </c>
      <c r="AA53" s="3">
        <f t="shared" si="64"/>
        <v>1642.064301659962</v>
      </c>
      <c r="AB53" s="6">
        <v>1545</v>
      </c>
      <c r="AC53" s="6">
        <v>380</v>
      </c>
      <c r="AD53" s="6">
        <v>468</v>
      </c>
      <c r="AE53" s="6">
        <v>1543</v>
      </c>
      <c r="AF53" s="93">
        <v>1545</v>
      </c>
      <c r="AG53" s="6">
        <v>1545</v>
      </c>
      <c r="AH53" s="6">
        <v>1666</v>
      </c>
      <c r="AI53" s="6">
        <v>1546</v>
      </c>
      <c r="AJ53" s="6">
        <v>1380</v>
      </c>
      <c r="AK53" s="93">
        <v>1286</v>
      </c>
      <c r="AL53" s="6">
        <v>1317</v>
      </c>
      <c r="AM53" s="6">
        <v>814</v>
      </c>
      <c r="AN53" s="6">
        <v>975</v>
      </c>
      <c r="AO53" s="6">
        <v>796</v>
      </c>
      <c r="AP53" s="93">
        <v>902</v>
      </c>
      <c r="AU53" s="23"/>
      <c r="AY53" s="32">
        <v>15</v>
      </c>
      <c r="AZ53" s="1">
        <f t="shared" si="27"/>
        <v>0.57923371252730282</v>
      </c>
      <c r="BA53" s="24">
        <f t="shared" si="104"/>
        <v>47</v>
      </c>
      <c r="BB53" s="2">
        <f t="shared" si="110"/>
        <v>0.94088885461924987</v>
      </c>
      <c r="BC53" s="2">
        <f t="shared" si="111"/>
        <v>0.23257892358577023</v>
      </c>
      <c r="BD53" s="2">
        <f t="shared" si="112"/>
        <v>0.28787869938677724</v>
      </c>
      <c r="BE53" s="2">
        <f t="shared" si="113"/>
        <v>0.95390807274362688</v>
      </c>
      <c r="BF53" s="20">
        <f t="shared" si="114"/>
        <v>0.95994422689526926</v>
      </c>
      <c r="BG53" s="2">
        <f t="shared" si="115"/>
        <v>0.96476806723142627</v>
      </c>
      <c r="BH53" s="2">
        <f t="shared" si="116"/>
        <v>1.0455537233140173</v>
      </c>
      <c r="BI53" s="2">
        <f t="shared" si="117"/>
        <v>0.97511932787796796</v>
      </c>
      <c r="BJ53" s="2">
        <f t="shared" si="118"/>
        <v>0.87479094857963535</v>
      </c>
      <c r="BK53" s="20">
        <f t="shared" si="119"/>
        <v>0.81930024023990322</v>
      </c>
      <c r="BL53" s="2">
        <f t="shared" si="120"/>
        <v>0.84326642262318785</v>
      </c>
      <c r="BM53" s="2">
        <f t="shared" si="121"/>
        <v>0.52381792639375691</v>
      </c>
      <c r="BN53" s="2">
        <f>IF(ISNUMBER(AN53),MIN(1.15,AN53/($AA53*(1-$K$3)^(BN$6-1))),"")</f>
        <v>0.6305760722950291</v>
      </c>
      <c r="BO53" s="2">
        <f>IF(ISNUMBER(AO53),MIN(1.15,AO53/($AA53*(1-$K$3)^(BO$6-1))),"")</f>
        <v>0.5173957516266906</v>
      </c>
      <c r="BP53" s="20">
        <f>IF(ISNUMBER(AP53),MIN(1.15,AP53/($AA53*(1-$K$3)^(BP$6-1))),"")</f>
        <v>0.58924139285280019</v>
      </c>
      <c r="BU53" s="23"/>
      <c r="BY53" s="25">
        <f t="shared" si="105"/>
        <v>47</v>
      </c>
      <c r="BZ53" s="3">
        <f t="shared" si="106"/>
        <v>23787.282127168608</v>
      </c>
      <c r="CA53" s="3">
        <f t="shared" si="30"/>
        <v>17708</v>
      </c>
      <c r="CB53" s="2">
        <f t="shared" si="31"/>
        <v>0.74443141109319233</v>
      </c>
      <c r="CC53" s="85">
        <f t="shared" si="32"/>
        <v>80</v>
      </c>
      <c r="CD53" s="3" t="str">
        <f t="shared" si="107"/>
        <v>Fixed</v>
      </c>
      <c r="CE53" s="58">
        <f t="shared" si="33"/>
        <v>-1.1651606732707808E-2</v>
      </c>
      <c r="CF53" s="2">
        <f t="array" ref="CF53:CG53">LINEST(AB53:AP53,AB$6:AP$6,TRUE,FALSE)</f>
        <v>-13.835714285714282</v>
      </c>
      <c r="CG53" s="2">
        <v>1291.2190476190476</v>
      </c>
      <c r="CH53" s="1">
        <f t="shared" si="34"/>
        <v>1.0071073120119289</v>
      </c>
      <c r="CI53" s="3"/>
      <c r="CJ53" s="3"/>
      <c r="CK53" s="3"/>
      <c r="CL53" s="3"/>
      <c r="CM53" s="3"/>
      <c r="CN53" s="3"/>
      <c r="CO53" s="3"/>
      <c r="CP53" s="3"/>
      <c r="CQ53" s="3"/>
      <c r="CR53" s="3"/>
      <c r="CS53" s="3"/>
      <c r="CT53" s="3"/>
      <c r="CU53" s="3"/>
      <c r="CV53" s="3"/>
      <c r="DC53" s="2">
        <f t="shared" si="36"/>
        <v>1.2</v>
      </c>
      <c r="DD53">
        <f t="shared" si="108"/>
        <v>0</v>
      </c>
      <c r="DE53">
        <f t="shared" si="37"/>
        <v>15</v>
      </c>
      <c r="DT53">
        <f t="shared" si="38"/>
        <v>8692</v>
      </c>
      <c r="DU53" s="3">
        <f t="shared" si="39"/>
        <v>1642.064301659962</v>
      </c>
      <c r="DV53" s="3">
        <f t="shared" si="40"/>
        <v>1633.8539801516622</v>
      </c>
      <c r="DW53" s="3">
        <f t="shared" si="41"/>
        <v>1625.6847102509039</v>
      </c>
      <c r="DX53" s="3">
        <f t="shared" si="42"/>
        <v>1617.5562866996493</v>
      </c>
      <c r="DY53" s="3">
        <f t="shared" si="43"/>
        <v>1609.4685052661512</v>
      </c>
      <c r="DZ53" s="3">
        <f t="shared" si="44"/>
        <v>1601.4211627398206</v>
      </c>
      <c r="EA53" s="3">
        <f t="shared" si="45"/>
        <v>1593.4140569261217</v>
      </c>
      <c r="EB53" s="2">
        <f t="shared" si="46"/>
        <v>0.76760969653578959</v>
      </c>
      <c r="ED53" s="2" t="str">
        <f t="shared" si="47"/>
        <v xml:space="preserve"> </v>
      </c>
      <c r="EE53" s="58" t="str">
        <f t="shared" si="48"/>
        <v xml:space="preserve"> </v>
      </c>
      <c r="EF53" s="2">
        <f t="shared" si="49"/>
        <v>0.74443141109319233</v>
      </c>
      <c r="EG53" s="58">
        <f t="shared" si="50"/>
        <v>-1.1651606732707808E-2</v>
      </c>
      <c r="EI53" s="2" t="str">
        <f t="shared" si="51"/>
        <v xml:space="preserve"> </v>
      </c>
      <c r="EJ53" s="2">
        <f t="shared" si="52"/>
        <v>0.76760969653578959</v>
      </c>
      <c r="EK53" s="2"/>
      <c r="EL53" s="2">
        <f t="array" ref="EL53:EM53">LINEST($AB53:$AH53,$AB$6:$AH$6,TRUE,FALSE)</f>
        <v>134.64285714285708</v>
      </c>
      <c r="EM53" s="2">
        <v>703.14285714285745</v>
      </c>
      <c r="EN53" s="58">
        <f t="shared" si="53"/>
        <v>0.10843304187758854</v>
      </c>
      <c r="EO53" s="2">
        <f t="array" ref="EO53:EP53">LINEST($AH53:$AP53,$AH$6:$AP$6,TRUE,FALSE)</f>
        <v>-109.8</v>
      </c>
      <c r="EP53" s="2">
        <v>2394.6888888888889</v>
      </c>
      <c r="EQ53" s="58">
        <f t="shared" si="54"/>
        <v>-9.2510765774199588E-2</v>
      </c>
      <c r="ES53" s="3">
        <f t="shared" si="55"/>
        <v>500152.04591836693</v>
      </c>
      <c r="ET53" s="3">
        <f t="shared" si="92"/>
        <v>350971.6122448981</v>
      </c>
      <c r="EU53" s="3">
        <f t="shared" si="93"/>
        <v>408412.29081632668</v>
      </c>
      <c r="EV53" s="3">
        <f t="shared" si="94"/>
        <v>90773.081632653018</v>
      </c>
      <c r="EW53" s="3">
        <f t="shared" si="95"/>
        <v>28440.41326530611</v>
      </c>
      <c r="EX53" s="3">
        <f t="shared" si="96"/>
        <v>1156</v>
      </c>
      <c r="EY53" s="3">
        <f t="shared" si="97"/>
        <v>414.41326530613304</v>
      </c>
      <c r="EZ53" s="3">
        <f t="shared" si="56"/>
        <v>882.7501234567967</v>
      </c>
      <c r="FA53" s="3">
        <f t="shared" si="98"/>
        <v>701.66123456790979</v>
      </c>
      <c r="FB53" s="29">
        <f t="shared" si="99"/>
        <v>114.25234567901191</v>
      </c>
      <c r="FC53" s="3">
        <f t="shared" si="100"/>
        <v>16928.901234567893</v>
      </c>
      <c r="FD53" s="3">
        <f t="shared" si="101"/>
        <v>69215.763456790155</v>
      </c>
      <c r="FE53" s="3">
        <f t="shared" si="88"/>
        <v>59.461234567899446</v>
      </c>
      <c r="FF53" s="3">
        <f>($EP53+$EO53*FF$6-AO53)^2</f>
        <v>3780.8834567901154</v>
      </c>
      <c r="FG53" s="29">
        <f>($EP53+$EO53*FG$6-AP53)^2</f>
        <v>23811.919012345686</v>
      </c>
      <c r="FH53" s="3"/>
      <c r="FI53" s="3"/>
      <c r="FQ53" s="4">
        <f>SQRT(AVERAGE(ES53:FG53))/AVERAGE(AB53:AP53)</f>
        <v>0.267494664202715</v>
      </c>
      <c r="FR53" s="160">
        <v>2.5999999999999999E-2</v>
      </c>
      <c r="FS53" s="161">
        <f t="shared" si="21"/>
        <v>9.7198200485586E-2</v>
      </c>
      <c r="FV53" s="4">
        <f t="shared" si="58"/>
        <v>0.35761783547351472</v>
      </c>
      <c r="FW53" s="161">
        <f t="shared" si="59"/>
        <v>7.2703309010228506E-2</v>
      </c>
    </row>
    <row r="54" spans="1:179" x14ac:dyDescent="0.3">
      <c r="A54">
        <f t="shared" si="109"/>
        <v>48</v>
      </c>
      <c r="B54" s="6">
        <v>57335</v>
      </c>
      <c r="C54" s="6" t="s">
        <v>151</v>
      </c>
      <c r="D54" s="6">
        <v>2013</v>
      </c>
      <c r="E54" s="6">
        <v>2010</v>
      </c>
      <c r="F54" s="6" t="s">
        <v>248</v>
      </c>
      <c r="G54" s="17" t="s">
        <v>636</v>
      </c>
      <c r="H54" s="17" t="s">
        <v>639</v>
      </c>
      <c r="I54" s="6" t="s">
        <v>35</v>
      </c>
      <c r="J54" s="17">
        <v>15</v>
      </c>
      <c r="K54" s="6" t="s">
        <v>86</v>
      </c>
      <c r="L54" s="12">
        <v>36.106999999999999</v>
      </c>
      <c r="M54" s="12">
        <v>-79.97</v>
      </c>
      <c r="N54" s="14">
        <v>1.5</v>
      </c>
      <c r="O54" s="6">
        <v>1.3</v>
      </c>
      <c r="P54" s="94">
        <f>365.25*(4.65+(4.9-4.65)*0.43)</f>
        <v>1737.6768750000001</v>
      </c>
      <c r="Q54" s="15" t="s">
        <v>566</v>
      </c>
      <c r="R54" s="14">
        <v>14.3</v>
      </c>
      <c r="S54" s="3">
        <f t="shared" si="23"/>
        <v>38.664612500000004</v>
      </c>
      <c r="T54" s="128" t="str">
        <f t="shared" si="24"/>
        <v>C</v>
      </c>
      <c r="U54" s="154">
        <v>1615</v>
      </c>
      <c r="V54" s="154">
        <v>683</v>
      </c>
      <c r="W54" s="156">
        <v>0.53200000000000003</v>
      </c>
      <c r="X54" s="1">
        <f t="shared" si="63"/>
        <v>0.42291021671826623</v>
      </c>
      <c r="Y54" s="59">
        <f t="shared" si="25"/>
        <v>0</v>
      </c>
      <c r="Z54" s="1">
        <f t="shared" si="26"/>
        <v>1</v>
      </c>
      <c r="AA54" s="3">
        <f t="shared" si="64"/>
        <v>2108.4412267305838</v>
      </c>
      <c r="AB54" s="6">
        <v>2120</v>
      </c>
      <c r="AC54" s="6">
        <v>2069</v>
      </c>
      <c r="AD54" s="6">
        <v>1705</v>
      </c>
      <c r="AE54" s="6">
        <v>1895</v>
      </c>
      <c r="AF54" s="93">
        <v>2066</v>
      </c>
      <c r="AG54" s="6">
        <v>2000</v>
      </c>
      <c r="AH54" s="6">
        <v>1844</v>
      </c>
      <c r="AI54" s="6">
        <v>1510</v>
      </c>
      <c r="AJ54" s="6">
        <v>1351</v>
      </c>
      <c r="AK54" s="93">
        <v>855</v>
      </c>
      <c r="AL54" s="6">
        <v>810</v>
      </c>
      <c r="AM54" s="6">
        <v>428</v>
      </c>
      <c r="AU54" s="23"/>
      <c r="AY54" s="32">
        <v>12</v>
      </c>
      <c r="AZ54" s="1">
        <f t="shared" si="27"/>
        <v>0.59635815650581048</v>
      </c>
      <c r="BA54" s="24">
        <f t="shared" si="104"/>
        <v>48</v>
      </c>
      <c r="BB54" s="2">
        <f t="shared" si="110"/>
        <v>1.0054821415569357</v>
      </c>
      <c r="BC54" s="2">
        <f t="shared" si="111"/>
        <v>0.9862247799759648</v>
      </c>
      <c r="BD54" s="2">
        <f t="shared" si="112"/>
        <v>0.81680186814158751</v>
      </c>
      <c r="BE54" s="2">
        <f t="shared" si="113"/>
        <v>0.91238570573000377</v>
      </c>
      <c r="BF54" s="20">
        <f t="shared" si="114"/>
        <v>0.99971565905420912</v>
      </c>
      <c r="BG54" s="2">
        <f t="shared" si="115"/>
        <v>0.97264216440791484</v>
      </c>
      <c r="BH54" s="2">
        <f t="shared" si="116"/>
        <v>0.90128248802421862</v>
      </c>
      <c r="BI54" s="2">
        <f t="shared" si="117"/>
        <v>0.74174372781290954</v>
      </c>
      <c r="BJ54" s="2">
        <f t="shared" si="118"/>
        <v>0.66697445923341259</v>
      </c>
      <c r="BK54" s="20">
        <f t="shared" si="119"/>
        <v>0.42422561560174504</v>
      </c>
      <c r="BL54" s="2">
        <f t="shared" si="120"/>
        <v>0.40391753931930235</v>
      </c>
      <c r="BM54" s="2">
        <f t="shared" si="121"/>
        <v>0.21450053580080825</v>
      </c>
      <c r="BP54" s="23"/>
      <c r="BU54" s="23"/>
      <c r="BY54" s="25">
        <f t="shared" si="105"/>
        <v>48</v>
      </c>
      <c r="BZ54" s="3">
        <f t="shared" si="106"/>
        <v>24616.976120508269</v>
      </c>
      <c r="CA54" s="3">
        <f t="shared" si="30"/>
        <v>18653</v>
      </c>
      <c r="CB54" s="2">
        <f t="shared" si="31"/>
        <v>0.7577291341019049</v>
      </c>
      <c r="CC54" s="85">
        <f t="shared" si="32"/>
        <v>77</v>
      </c>
      <c r="CD54" s="3" t="str">
        <f t="shared" si="107"/>
        <v>Fixed</v>
      </c>
      <c r="CE54" s="58">
        <f t="shared" si="33"/>
        <v>-8.7002140790120058E-2</v>
      </c>
      <c r="CF54" s="2">
        <f t="array" ref="CF54:CG54">LINEST(AB54:AM54,AB$6:AM$6,TRUE,FALSE)</f>
        <v>-141.38811188811187</v>
      </c>
      <c r="CG54" s="2">
        <v>2473.439393939394</v>
      </c>
      <c r="CH54" s="1">
        <f t="shared" si="34"/>
        <v>1.011139862011929</v>
      </c>
      <c r="CI54" s="3"/>
      <c r="CJ54" s="3"/>
      <c r="CK54" s="3"/>
      <c r="CL54" s="3"/>
      <c r="CM54" s="3"/>
      <c r="CN54" s="3"/>
      <c r="CO54" s="3"/>
      <c r="CP54" s="3"/>
      <c r="CQ54" s="3"/>
      <c r="CR54" s="3"/>
      <c r="CS54" s="3"/>
      <c r="CT54" s="3"/>
      <c r="CU54" s="3"/>
      <c r="CV54" s="3"/>
      <c r="DC54" s="2">
        <f t="shared" si="36"/>
        <v>1.1538461538461537</v>
      </c>
      <c r="DD54">
        <f t="shared" si="108"/>
        <v>3</v>
      </c>
      <c r="DE54">
        <f t="shared" si="37"/>
        <v>15</v>
      </c>
      <c r="DT54">
        <f t="shared" si="38"/>
        <v>13699</v>
      </c>
      <c r="DU54" s="3">
        <f t="shared" si="39"/>
        <v>2108.4412267305838</v>
      </c>
      <c r="DV54" s="3">
        <f t="shared" si="40"/>
        <v>2097.8990205969308</v>
      </c>
      <c r="DW54" s="3">
        <f t="shared" si="41"/>
        <v>2087.4095254939461</v>
      </c>
      <c r="DX54" s="3">
        <f t="shared" si="42"/>
        <v>2076.9724778664768</v>
      </c>
      <c r="DY54" s="3">
        <f t="shared" si="43"/>
        <v>2066.5876154771445</v>
      </c>
      <c r="DZ54" s="3">
        <f t="shared" si="44"/>
        <v>2056.2546773997587</v>
      </c>
      <c r="EA54" s="3">
        <f t="shared" si="45"/>
        <v>2045.9734040127598</v>
      </c>
      <c r="EB54" s="2">
        <f t="shared" si="46"/>
        <v>0.94218950075248842</v>
      </c>
      <c r="ED54" s="2" t="str">
        <f t="shared" si="47"/>
        <v xml:space="preserve"> </v>
      </c>
      <c r="EE54" s="58" t="str">
        <f t="shared" si="48"/>
        <v xml:space="preserve"> </v>
      </c>
      <c r="EF54" s="2">
        <f t="shared" si="49"/>
        <v>0.7577291341019049</v>
      </c>
      <c r="EG54" s="58">
        <f t="shared" si="50"/>
        <v>-8.7002140790120058E-2</v>
      </c>
      <c r="EI54" s="2" t="str">
        <f t="shared" si="51"/>
        <v xml:space="preserve"> </v>
      </c>
      <c r="EJ54" s="2">
        <f t="shared" si="52"/>
        <v>0.94218950075248842</v>
      </c>
      <c r="EK54" s="2"/>
      <c r="EL54" s="2">
        <f t="array" ref="EL54:EM54">LINEST($AB54:$AH54,$AB$6:$AH$6,TRUE,FALSE)</f>
        <v>-21.607142857142861</v>
      </c>
      <c r="EM54" s="2">
        <v>2043.4285714285716</v>
      </c>
      <c r="EN54" s="58">
        <f t="shared" si="53"/>
        <v>-1.1040951894298856E-2</v>
      </c>
      <c r="EO54" s="2">
        <f t="array" ref="EO54:EP54">LINEST($AH54:$AM54,$AH$6:$AM$6,TRUE,FALSE)</f>
        <v>-276.45714285714291</v>
      </c>
      <c r="EP54" s="2">
        <v>3759.3428571428576</v>
      </c>
      <c r="EQ54" s="58">
        <f t="shared" si="54"/>
        <v>-0.24400453915017026</v>
      </c>
      <c r="ES54" s="3">
        <f t="shared" si="55"/>
        <v>9639.0318877550835</v>
      </c>
      <c r="ET54" s="3">
        <f t="shared" si="92"/>
        <v>4731.474489795909</v>
      </c>
      <c r="EU54" s="3">
        <f t="shared" si="93"/>
        <v>74860.868622448994</v>
      </c>
      <c r="EV54" s="3">
        <f t="shared" si="94"/>
        <v>3844</v>
      </c>
      <c r="EW54" s="3">
        <f t="shared" si="95"/>
        <v>17058.225765306073</v>
      </c>
      <c r="EX54" s="3">
        <f t="shared" si="96"/>
        <v>7432.9030612244615</v>
      </c>
      <c r="EY54" s="3">
        <f t="shared" si="97"/>
        <v>2321.1747448979718</v>
      </c>
      <c r="EZ54" s="3">
        <f t="shared" si="56"/>
        <v>1420.2130612244919</v>
      </c>
      <c r="FA54" s="3">
        <f t="shared" si="98"/>
        <v>6363.4808163265534</v>
      </c>
      <c r="FB54" s="29">
        <f t="shared" si="99"/>
        <v>19536.052244897874</v>
      </c>
      <c r="FC54" s="3">
        <f t="shared" si="100"/>
        <v>8406.2702040816366</v>
      </c>
      <c r="FD54" s="3">
        <f t="shared" si="101"/>
        <v>192.0204081632599</v>
      </c>
      <c r="FE54" s="3"/>
      <c r="FF54" s="3"/>
      <c r="FG54" s="29"/>
      <c r="FH54" s="3"/>
      <c r="FI54" s="3"/>
      <c r="FQ54" s="4">
        <f>SQRT(AVERAGE(ES54:FD54))/AVERAGE(AB54:AM54)</f>
        <v>7.3305004553583034E-2</v>
      </c>
      <c r="FR54" s="160">
        <v>2.7E-2</v>
      </c>
      <c r="FS54" s="161">
        <f t="shared" si="21"/>
        <v>0.3683241023505302</v>
      </c>
      <c r="FV54" s="4">
        <f t="shared" si="58"/>
        <v>6.6872480037353924E-2</v>
      </c>
      <c r="FW54" s="161">
        <f t="shared" si="59"/>
        <v>0.4037535318701837</v>
      </c>
    </row>
    <row r="55" spans="1:179" x14ac:dyDescent="0.3">
      <c r="A55">
        <f t="shared" si="109"/>
        <v>49</v>
      </c>
      <c r="B55" s="6">
        <v>57397</v>
      </c>
      <c r="C55" s="6" t="s">
        <v>157</v>
      </c>
      <c r="D55" s="6">
        <v>2011</v>
      </c>
      <c r="E55" s="6">
        <v>2010</v>
      </c>
      <c r="F55" s="6" t="s">
        <v>252</v>
      </c>
      <c r="G55" s="17" t="s">
        <v>636</v>
      </c>
      <c r="H55" s="17" t="s">
        <v>638</v>
      </c>
      <c r="I55" s="6" t="s">
        <v>35</v>
      </c>
      <c r="J55" s="17">
        <v>12</v>
      </c>
      <c r="K55" s="6" t="s">
        <v>52</v>
      </c>
      <c r="L55" s="12">
        <v>40.369799999999998</v>
      </c>
      <c r="M55" s="12">
        <v>-74.587000000000003</v>
      </c>
      <c r="N55" s="14">
        <v>4.0999999999999996</v>
      </c>
      <c r="O55" s="6">
        <v>3.6</v>
      </c>
      <c r="P55" s="94">
        <f>365.25*4.15</f>
        <v>1515.7875000000001</v>
      </c>
      <c r="Q55" s="15" t="s">
        <v>556</v>
      </c>
      <c r="R55" s="14">
        <v>12.7</v>
      </c>
      <c r="S55" s="3">
        <f t="shared" si="23"/>
        <v>35.41525</v>
      </c>
      <c r="T55" s="128" t="str">
        <f t="shared" si="24"/>
        <v>C</v>
      </c>
      <c r="U55" s="154">
        <v>1412</v>
      </c>
      <c r="V55" s="154">
        <v>685</v>
      </c>
      <c r="W55" s="156">
        <v>0.49199999999999999</v>
      </c>
      <c r="X55" s="1">
        <f t="shared" si="63"/>
        <v>0.48512747875354106</v>
      </c>
      <c r="Y55" s="59">
        <f t="shared" si="25"/>
        <v>0</v>
      </c>
      <c r="Z55" s="1">
        <f t="shared" si="26"/>
        <v>1</v>
      </c>
      <c r="AA55" s="3">
        <f t="shared" si="64"/>
        <v>5091.7884775266048</v>
      </c>
      <c r="AB55" s="6">
        <v>4601</v>
      </c>
      <c r="AC55" s="6">
        <v>5136</v>
      </c>
      <c r="AD55" s="6">
        <v>5016</v>
      </c>
      <c r="AE55" s="6">
        <v>4816</v>
      </c>
      <c r="AF55" s="93">
        <v>4961</v>
      </c>
      <c r="AG55" s="6">
        <v>5147</v>
      </c>
      <c r="AH55" s="6">
        <v>4567</v>
      </c>
      <c r="AI55" s="6">
        <v>4007</v>
      </c>
      <c r="AJ55" s="6">
        <v>4818</v>
      </c>
      <c r="AK55" s="93">
        <v>4692</v>
      </c>
      <c r="AL55" s="6">
        <v>4653</v>
      </c>
      <c r="AM55" s="6">
        <v>3409</v>
      </c>
      <c r="AN55" s="6">
        <v>4168</v>
      </c>
      <c r="AO55" s="6">
        <v>0</v>
      </c>
      <c r="AP55" s="23"/>
      <c r="AU55" s="23"/>
      <c r="AY55" s="32">
        <v>14</v>
      </c>
      <c r="AZ55" s="1">
        <f t="shared" si="27"/>
        <v>0.68950256736006832</v>
      </c>
      <c r="BA55" s="24">
        <f t="shared" si="104"/>
        <v>49</v>
      </c>
      <c r="BB55" s="2">
        <f t="shared" si="110"/>
        <v>0.90361177026642492</v>
      </c>
      <c r="BC55" s="2">
        <f t="shared" si="111"/>
        <v>1.0137516646672524</v>
      </c>
      <c r="BD55" s="2">
        <f t="shared" si="112"/>
        <v>0.99504108352724252</v>
      </c>
      <c r="BE55" s="2">
        <f t="shared" si="113"/>
        <v>0.96016723535284088</v>
      </c>
      <c r="BF55" s="20">
        <f t="shared" si="114"/>
        <v>0.99404615573411981</v>
      </c>
      <c r="BG55" s="2">
        <f t="shared" si="115"/>
        <v>1.0364978619287759</v>
      </c>
      <c r="BH55" s="2">
        <f t="shared" si="116"/>
        <v>0.92431962326275241</v>
      </c>
      <c r="BI55" s="2">
        <f t="shared" si="117"/>
        <v>0.81505595206464754</v>
      </c>
      <c r="BJ55" s="2">
        <f t="shared" si="118"/>
        <v>0.98494458241982852</v>
      </c>
      <c r="BK55" s="20">
        <f t="shared" si="119"/>
        <v>0.96400641245117979</v>
      </c>
      <c r="BL55" s="2">
        <f t="shared" si="120"/>
        <v>0.96079755922308474</v>
      </c>
      <c r="BM55" s="2">
        <f t="shared" si="121"/>
        <v>0.70746141612673208</v>
      </c>
      <c r="BN55" s="2">
        <f>IF(ISNUMBER(AN55),MIN(1.15,AN55/($AA55*(1-$K$3)^(BN$6-1))),"")</f>
        <v>0.86932143333747613</v>
      </c>
      <c r="BO55" s="2">
        <f>IF(ISNUMBER(AO55),MIN(1.15,AO55/($AA55*(1-$K$3)^(BO$6-1))),"")</f>
        <v>0</v>
      </c>
      <c r="BP55" s="23"/>
      <c r="BU55" s="23"/>
      <c r="BY55" s="25">
        <f t="shared" si="105"/>
        <v>49</v>
      </c>
      <c r="BZ55" s="3">
        <f t="shared" si="106"/>
        <v>69013.979416798829</v>
      </c>
      <c r="CA55" s="3">
        <f t="shared" si="30"/>
        <v>59991</v>
      </c>
      <c r="CB55" s="2">
        <f t="shared" si="31"/>
        <v>0.86925867059040318</v>
      </c>
      <c r="CC55" s="85">
        <f t="shared" si="32"/>
        <v>49</v>
      </c>
      <c r="CD55" s="3" t="str">
        <f t="shared" si="107"/>
        <v>Fixed</v>
      </c>
      <c r="CE55" s="58">
        <f t="shared" si="33"/>
        <v>-4.460817596753764E-2</v>
      </c>
      <c r="CF55" s="2">
        <f t="array" ref="CF55:CG55">LINEST(AB55:AO55,AB$6:AO$6,TRUE,FALSE)</f>
        <v>-195.50989010989016</v>
      </c>
      <c r="CG55" s="2">
        <v>5751.395604395605</v>
      </c>
      <c r="CH55" s="1">
        <f t="shared" si="34"/>
        <v>1.024137312011929</v>
      </c>
      <c r="CI55" s="3"/>
      <c r="CJ55" s="3"/>
      <c r="CK55" s="3"/>
      <c r="CL55" s="3"/>
      <c r="CM55" s="3"/>
      <c r="CN55" s="3"/>
      <c r="CO55" s="3"/>
      <c r="CP55" s="3"/>
      <c r="CQ55" s="3"/>
      <c r="CR55" s="3"/>
      <c r="CS55" s="3"/>
      <c r="CT55" s="3"/>
      <c r="CU55" s="3"/>
      <c r="CV55" s="3"/>
      <c r="DC55" s="2">
        <f t="shared" si="36"/>
        <v>1.1388888888888888</v>
      </c>
      <c r="DD55">
        <f t="shared" si="108"/>
        <v>1</v>
      </c>
      <c r="DE55">
        <f t="shared" si="37"/>
        <v>15</v>
      </c>
      <c r="DT55">
        <f t="shared" si="38"/>
        <v>34244</v>
      </c>
      <c r="DU55" s="3">
        <f t="shared" si="39"/>
        <v>5091.7884775266048</v>
      </c>
      <c r="DV55" s="3">
        <f t="shared" si="40"/>
        <v>5066.3295351389725</v>
      </c>
      <c r="DW55" s="3">
        <f t="shared" si="41"/>
        <v>5040.997887463277</v>
      </c>
      <c r="DX55" s="3">
        <f t="shared" si="42"/>
        <v>5015.7928980259603</v>
      </c>
      <c r="DY55" s="3">
        <f t="shared" si="43"/>
        <v>4990.7139335358306</v>
      </c>
      <c r="DZ55" s="3">
        <f t="shared" si="44"/>
        <v>4965.7603638681521</v>
      </c>
      <c r="EA55" s="3">
        <f t="shared" si="45"/>
        <v>4940.9315620488114</v>
      </c>
      <c r="EB55" s="2">
        <f t="shared" si="46"/>
        <v>0.97527036693322988</v>
      </c>
      <c r="ED55" s="2" t="str">
        <f t="shared" si="47"/>
        <v xml:space="preserve"> </v>
      </c>
      <c r="EE55" s="58" t="str">
        <f t="shared" si="48"/>
        <v xml:space="preserve"> </v>
      </c>
      <c r="EF55" s="2">
        <f t="shared" si="49"/>
        <v>0.86925867059040318</v>
      </c>
      <c r="EG55" s="58">
        <f t="shared" si="50"/>
        <v>-4.460817596753764E-2</v>
      </c>
      <c r="EI55" s="2" t="str">
        <f t="shared" si="51"/>
        <v xml:space="preserve"> </v>
      </c>
      <c r="EJ55" s="2">
        <f t="shared" si="52"/>
        <v>0.97527036693322988</v>
      </c>
      <c r="EK55" s="2"/>
      <c r="EL55" s="2">
        <f t="array" ref="EL55:EM55">LINEST($AB55:$AH55,$AB$6:$AH$6,TRUE,FALSE)</f>
        <v>-4.8214285714285676</v>
      </c>
      <c r="EM55" s="2">
        <v>4911.2857142857147</v>
      </c>
      <c r="EN55" s="58">
        <f t="shared" si="53"/>
        <v>-9.8557411517346031E-4</v>
      </c>
      <c r="EO55" s="2">
        <f t="array" ref="EO55:EP55">LINEST($AH55:$AO55,$AH$6:$AO$6,TRUE,FALSE)</f>
        <v>-421.78571428571433</v>
      </c>
      <c r="EP55" s="2">
        <v>8218</v>
      </c>
      <c r="EQ55" s="58">
        <f t="shared" si="54"/>
        <v>-0.11131113394094198</v>
      </c>
      <c r="ES55" s="3">
        <f t="shared" si="55"/>
        <v>93308.429846939092</v>
      </c>
      <c r="ET55" s="3">
        <f t="shared" si="92"/>
        <v>54923.270408162964</v>
      </c>
      <c r="EU55" s="3">
        <f t="shared" si="93"/>
        <v>14203.531887754916</v>
      </c>
      <c r="EV55" s="3">
        <f t="shared" si="94"/>
        <v>5776</v>
      </c>
      <c r="EW55" s="3">
        <f t="shared" si="95"/>
        <v>5449.603316326511</v>
      </c>
      <c r="EX55" s="3">
        <f t="shared" si="96"/>
        <v>70035.841836734558</v>
      </c>
      <c r="EY55" s="3">
        <f t="shared" si="97"/>
        <v>96432.42984693902</v>
      </c>
      <c r="EZ55" s="3">
        <f t="shared" si="56"/>
        <v>700090.79591836664</v>
      </c>
      <c r="FA55" s="3">
        <f t="shared" si="98"/>
        <v>156872.57653061286</v>
      </c>
      <c r="FB55" s="29">
        <f t="shared" si="99"/>
        <v>478666.30612244934</v>
      </c>
      <c r="FC55" s="3">
        <f t="shared" si="100"/>
        <v>1154857.2704081647</v>
      </c>
      <c r="FD55" s="3">
        <f t="shared" si="101"/>
        <v>63720.18367346991</v>
      </c>
      <c r="FE55" s="3">
        <f t="shared" ref="FE55:FE82" si="122">($EP55+$EO55*FE$6-AN55)^2</f>
        <v>2054103.1887755117</v>
      </c>
      <c r="FF55" s="3">
        <f>($EP55+$EO55*FF$6-AO55)^2</f>
        <v>5349968.9999999953</v>
      </c>
      <c r="FG55" s="29"/>
      <c r="FH55" s="3"/>
      <c r="FI55" s="3"/>
      <c r="FQ55" s="4">
        <f>SQRT(AVERAGE(ES55:FF55))/AVERAGE(AB55:AO55)</f>
        <v>0.20015340023296488</v>
      </c>
      <c r="FR55" s="160">
        <v>2.8000000000000001E-2</v>
      </c>
      <c r="FS55" s="161">
        <f t="shared" si="21"/>
        <v>0.13989270213451241</v>
      </c>
      <c r="FV55" s="4">
        <f t="shared" si="58"/>
        <v>4.5059506521166852E-2</v>
      </c>
      <c r="FW55" s="161">
        <f t="shared" si="59"/>
        <v>0.62140050261861857</v>
      </c>
    </row>
    <row r="56" spans="1:179" x14ac:dyDescent="0.3">
      <c r="A56">
        <f t="shared" si="109"/>
        <v>50</v>
      </c>
      <c r="B56" s="6">
        <v>57589</v>
      </c>
      <c r="C56" s="6" t="s">
        <v>410</v>
      </c>
      <c r="D56" s="6">
        <v>2012</v>
      </c>
      <c r="E56" s="6">
        <v>2011</v>
      </c>
      <c r="F56" s="6" t="s">
        <v>252</v>
      </c>
      <c r="G56" s="17" t="s">
        <v>636</v>
      </c>
      <c r="H56" s="17" t="s">
        <v>922</v>
      </c>
      <c r="I56" s="6" t="s">
        <v>35</v>
      </c>
      <c r="J56" s="17">
        <v>28</v>
      </c>
      <c r="K56" s="6" t="s">
        <v>411</v>
      </c>
      <c r="L56" s="12">
        <v>40.861109999999996</v>
      </c>
      <c r="M56" s="12">
        <v>-72.84778</v>
      </c>
      <c r="N56" s="14">
        <v>37.700000000000003</v>
      </c>
      <c r="O56" s="6">
        <v>31.5</v>
      </c>
      <c r="P56" s="94">
        <f>365.25*4.4</f>
        <v>1607.1000000000001</v>
      </c>
      <c r="Q56" s="15" t="s">
        <v>574</v>
      </c>
      <c r="R56" s="14">
        <v>10.9</v>
      </c>
      <c r="S56" s="3">
        <f t="shared" si="23"/>
        <v>34.293999999999997</v>
      </c>
      <c r="T56" s="128" t="str">
        <f t="shared" si="24"/>
        <v>C</v>
      </c>
      <c r="U56" s="154">
        <v>1397</v>
      </c>
      <c r="V56" s="154">
        <v>663</v>
      </c>
      <c r="W56" s="156">
        <v>0.48899999999999999</v>
      </c>
      <c r="X56" s="1">
        <f t="shared" si="63"/>
        <v>0.47458840372226196</v>
      </c>
      <c r="Y56" s="59">
        <f t="shared" si="25"/>
        <v>0</v>
      </c>
      <c r="Z56" s="1">
        <f t="shared" si="26"/>
        <v>1</v>
      </c>
      <c r="AA56" s="3">
        <f t="shared" si="64"/>
        <v>49857.46335585264</v>
      </c>
      <c r="AB56" s="6">
        <v>52713</v>
      </c>
      <c r="AC56" s="6">
        <v>51817</v>
      </c>
      <c r="AD56" s="6">
        <v>50822</v>
      </c>
      <c r="AE56" s="6">
        <v>52287</v>
      </c>
      <c r="AF56" s="93">
        <v>53709</v>
      </c>
      <c r="AG56" s="6">
        <v>47311</v>
      </c>
      <c r="AH56" s="6">
        <v>48760</v>
      </c>
      <c r="AI56" s="6">
        <v>50626</v>
      </c>
      <c r="AJ56" s="6">
        <v>48493</v>
      </c>
      <c r="AK56" s="93">
        <v>50059</v>
      </c>
      <c r="AL56" s="6">
        <v>50203</v>
      </c>
      <c r="AM56" s="6">
        <v>45636</v>
      </c>
      <c r="AN56" s="6">
        <v>47878</v>
      </c>
      <c r="AO56" s="6">
        <v>42764</v>
      </c>
      <c r="AP56" s="23"/>
      <c r="AU56" s="23"/>
      <c r="AY56" s="32">
        <v>14</v>
      </c>
      <c r="AZ56" s="1">
        <f t="shared" si="27"/>
        <v>0.8170898704071542</v>
      </c>
      <c r="BA56" s="24">
        <f t="shared" si="104"/>
        <v>50</v>
      </c>
      <c r="BB56" s="2">
        <f t="shared" si="110"/>
        <v>1.0572740057745469</v>
      </c>
      <c r="BC56" s="2">
        <f t="shared" si="111"/>
        <v>1.0445254016028904</v>
      </c>
      <c r="BD56" s="2">
        <f t="shared" si="112"/>
        <v>1.0296163054743794</v>
      </c>
      <c r="BE56" s="2">
        <f t="shared" si="113"/>
        <v>1.0646192230749369</v>
      </c>
      <c r="BF56" s="20">
        <f t="shared" si="114"/>
        <v>1.0990680034350764</v>
      </c>
      <c r="BG56" s="2">
        <f t="shared" si="115"/>
        <v>0.97300830074363887</v>
      </c>
      <c r="BH56" s="2">
        <f t="shared" si="116"/>
        <v>1.0078479893763981</v>
      </c>
      <c r="BI56" s="2">
        <f t="shared" si="117"/>
        <v>1.0516757765482361</v>
      </c>
      <c r="BJ56" s="2">
        <f t="shared" si="118"/>
        <v>1.0124281866836971</v>
      </c>
      <c r="BK56" s="20">
        <f t="shared" si="119"/>
        <v>1.0503747284294194</v>
      </c>
      <c r="BL56" s="2">
        <f t="shared" si="120"/>
        <v>1.0586896907145475</v>
      </c>
      <c r="BM56" s="2">
        <f t="shared" si="121"/>
        <v>0.96721607210302252</v>
      </c>
      <c r="BN56" s="2">
        <f>IF(ISNUMBER(AN56),MIN(1.15,AN56/($AA56*(1-$K$3)^(BN$6-1))),"")</f>
        <v>1.0198325112315125</v>
      </c>
      <c r="BO56" s="2">
        <f>IF(ISNUMBER(AO56),MIN(1.15,AO56/($AA56*(1-$K$3)^(BO$6-1))),"")</f>
        <v>0.9154783800430869</v>
      </c>
      <c r="BP56" s="23"/>
      <c r="BU56" s="23"/>
      <c r="BY56" s="25">
        <f t="shared" si="105"/>
        <v>50</v>
      </c>
      <c r="BZ56" s="3">
        <f t="shared" si="106"/>
        <v>675766.86757538968</v>
      </c>
      <c r="CA56" s="3">
        <f t="shared" si="30"/>
        <v>693078</v>
      </c>
      <c r="CB56" s="2">
        <f t="shared" si="31"/>
        <v>1.0256170186128266</v>
      </c>
      <c r="CC56" s="85">
        <f t="shared" si="32"/>
        <v>4</v>
      </c>
      <c r="CD56" s="3" t="str">
        <f t="shared" si="107"/>
        <v>Fixed</v>
      </c>
      <c r="CE56" s="69">
        <f t="shared" si="33"/>
        <v>-1.0895507138732602E-2</v>
      </c>
      <c r="CF56" s="2">
        <f t="array" ref="CF56:CG56">LINEST(AB56:AO56,AB$6:AO$6,TRUE,FALSE)</f>
        <v>-542.34285714285704</v>
      </c>
      <c r="CG56" s="2">
        <v>53573.142857142855</v>
      </c>
      <c r="CH56" s="1">
        <f t="shared" si="34"/>
        <v>1.0286223120119289</v>
      </c>
      <c r="CI56" s="3"/>
      <c r="CJ56" s="3"/>
      <c r="CK56" s="3"/>
      <c r="CL56" s="3"/>
      <c r="CM56" s="3"/>
      <c r="CN56" s="3"/>
      <c r="CO56" s="3"/>
      <c r="CP56" s="3"/>
      <c r="CQ56" s="3"/>
      <c r="CR56" s="3"/>
      <c r="CS56" s="3"/>
      <c r="CT56" s="3"/>
      <c r="CU56" s="3"/>
      <c r="CV56" s="3"/>
      <c r="DC56" s="2">
        <f t="shared" si="36"/>
        <v>1.196825396825397</v>
      </c>
      <c r="DD56">
        <f t="shared" si="108"/>
        <v>1</v>
      </c>
      <c r="DE56">
        <f t="shared" si="37"/>
        <v>15</v>
      </c>
      <c r="DT56">
        <f t="shared" si="38"/>
        <v>357419</v>
      </c>
      <c r="DU56" s="3">
        <f t="shared" si="39"/>
        <v>49857.463355852633</v>
      </c>
      <c r="DV56" s="3">
        <f t="shared" si="40"/>
        <v>49608.176039073369</v>
      </c>
      <c r="DW56" s="3">
        <f t="shared" si="41"/>
        <v>49360.135158878009</v>
      </c>
      <c r="DX56" s="3">
        <f t="shared" si="42"/>
        <v>49113.334483083629</v>
      </c>
      <c r="DY56" s="3">
        <f t="shared" si="43"/>
        <v>48867.767810668207</v>
      </c>
      <c r="DZ56" s="3">
        <f t="shared" si="44"/>
        <v>48623.428971614863</v>
      </c>
      <c r="EA56" s="3">
        <f t="shared" si="45"/>
        <v>48380.311826756784</v>
      </c>
      <c r="EB56" s="2">
        <f t="shared" si="46"/>
        <v>1.0395810415840241</v>
      </c>
      <c r="ED56" s="2" t="str">
        <f t="shared" si="47"/>
        <v xml:space="preserve"> </v>
      </c>
      <c r="EE56" s="58" t="str">
        <f t="shared" si="48"/>
        <v xml:space="preserve"> </v>
      </c>
      <c r="EF56" s="2">
        <f t="shared" si="49"/>
        <v>1.0256170186128266</v>
      </c>
      <c r="EG56" s="58">
        <f t="shared" si="50"/>
        <v>-1.0895507138732602E-2</v>
      </c>
      <c r="EI56" s="2" t="str">
        <f t="shared" si="51"/>
        <v xml:space="preserve"> </v>
      </c>
      <c r="EJ56" s="2">
        <f t="shared" si="52"/>
        <v>1.0395810415840241</v>
      </c>
      <c r="EK56" s="2"/>
      <c r="EL56" s="2">
        <f t="array" ref="EL56:EM56">LINEST($AB56:$AH56,$AB$6:$AH$6,TRUE,FALSE)</f>
        <v>-642.28571428571422</v>
      </c>
      <c r="EM56" s="2">
        <v>53629</v>
      </c>
      <c r="EN56" s="58">
        <f t="shared" si="53"/>
        <v>-1.2579073860091376E-2</v>
      </c>
      <c r="EO56" s="2">
        <f t="array" ref="EO56:EP56">LINEST($AH56:$AO56,$AH$6:$AO$6,TRUE,FALSE)</f>
        <v>-763.55952380952385</v>
      </c>
      <c r="EP56" s="2">
        <v>56069.75</v>
      </c>
      <c r="EQ56" s="58">
        <f t="shared" si="54"/>
        <v>-1.5890151606648452E-2</v>
      </c>
      <c r="ES56" s="3">
        <f t="shared" si="55"/>
        <v>74919.510204079925</v>
      </c>
      <c r="ET56" s="3">
        <f t="shared" si="92"/>
        <v>278180.89795918477</v>
      </c>
      <c r="EU56" s="3">
        <f t="shared" si="93"/>
        <v>774651.44897958823</v>
      </c>
      <c r="EV56" s="3">
        <f t="shared" si="94"/>
        <v>1505879.5918367296</v>
      </c>
      <c r="EW56" s="3">
        <f t="shared" si="95"/>
        <v>10833502.040816333</v>
      </c>
      <c r="EX56" s="3">
        <f t="shared" si="96"/>
        <v>6072704.0816326682</v>
      </c>
      <c r="EY56" s="3">
        <f t="shared" si="97"/>
        <v>139129</v>
      </c>
      <c r="EZ56" s="3">
        <f t="shared" si="56"/>
        <v>441860.90830498911</v>
      </c>
      <c r="FA56" s="3">
        <f t="shared" si="98"/>
        <v>496622.22448979155</v>
      </c>
      <c r="FB56" s="29">
        <f t="shared" si="99"/>
        <v>2640122.0477607665</v>
      </c>
      <c r="FC56" s="3">
        <f t="shared" si="100"/>
        <v>6413073.8781179208</v>
      </c>
      <c r="FD56" s="3">
        <f t="shared" si="101"/>
        <v>1615531.7869897853</v>
      </c>
      <c r="FE56" s="3">
        <f t="shared" si="122"/>
        <v>3008572.8458049875</v>
      </c>
      <c r="FF56" s="3">
        <f>($EP56+$EO56*FF$6-AO56)^2</f>
        <v>6843020.0069444319</v>
      </c>
      <c r="FG56" s="29"/>
      <c r="FH56" s="3"/>
      <c r="FI56" s="3"/>
      <c r="FQ56" s="4">
        <f>SQRT(AVERAGE(ES56:FF56))/AVERAGE(AB56:AO56)</f>
        <v>3.4625996327745011E-2</v>
      </c>
      <c r="FR56" s="160">
        <v>0.02</v>
      </c>
      <c r="FS56" s="161">
        <f t="shared" si="21"/>
        <v>0.57760070817007692</v>
      </c>
      <c r="FV56" s="4">
        <f t="shared" si="58"/>
        <v>3.2837684704158647E-2</v>
      </c>
      <c r="FW56" s="161">
        <f t="shared" si="59"/>
        <v>0.60905633817317062</v>
      </c>
    </row>
    <row r="57" spans="1:179" x14ac:dyDescent="0.3">
      <c r="A57" s="62">
        <f t="shared" si="109"/>
        <v>51</v>
      </c>
      <c r="B57" s="6">
        <v>57377</v>
      </c>
      <c r="C57" s="6" t="s">
        <v>200</v>
      </c>
      <c r="D57" s="6">
        <v>2011</v>
      </c>
      <c r="E57" s="6">
        <v>2010</v>
      </c>
      <c r="F57" s="6" t="s">
        <v>252</v>
      </c>
      <c r="G57" s="17" t="s">
        <v>636</v>
      </c>
      <c r="H57" s="17" t="s">
        <v>638</v>
      </c>
      <c r="I57" s="6" t="s">
        <v>36</v>
      </c>
      <c r="J57" s="17">
        <v>20</v>
      </c>
      <c r="K57" s="6" t="s">
        <v>51</v>
      </c>
      <c r="L57" s="12">
        <v>37.685000000000002</v>
      </c>
      <c r="M57" s="12">
        <v>-105.89100000000001</v>
      </c>
      <c r="N57" s="14">
        <v>20</v>
      </c>
      <c r="O57" s="6">
        <v>19</v>
      </c>
      <c r="P57" s="94">
        <f>365.25*8.4</f>
        <v>3068.1</v>
      </c>
      <c r="Q57" s="15" t="s">
        <v>511</v>
      </c>
      <c r="R57" s="14">
        <v>5.0999999999999996</v>
      </c>
      <c r="S57" s="3">
        <f t="shared" si="23"/>
        <v>38.213700000000003</v>
      </c>
      <c r="T57" s="128" t="str">
        <f t="shared" si="24"/>
        <v>C</v>
      </c>
      <c r="U57" s="154">
        <v>1926</v>
      </c>
      <c r="V57" s="154">
        <v>518</v>
      </c>
      <c r="W57" s="156">
        <v>0.64400000000000002</v>
      </c>
      <c r="X57" s="1">
        <f t="shared" si="63"/>
        <v>0.26895119418483904</v>
      </c>
      <c r="Y57" s="59">
        <f t="shared" si="25"/>
        <v>3.5292712170301166E-2</v>
      </c>
      <c r="Z57" s="1">
        <f t="shared" si="26"/>
        <v>0.63427289271922893</v>
      </c>
      <c r="AA57" s="3">
        <f t="shared" si="64"/>
        <v>47238.742235897756</v>
      </c>
      <c r="AB57" s="6">
        <v>48862</v>
      </c>
      <c r="AC57" s="6">
        <v>49131</v>
      </c>
      <c r="AD57" s="6">
        <v>47689</v>
      </c>
      <c r="AE57" s="6">
        <v>46378</v>
      </c>
      <c r="AF57" s="93">
        <v>45653</v>
      </c>
      <c r="AG57" s="6">
        <v>47303</v>
      </c>
      <c r="AH57" s="6">
        <v>47210</v>
      </c>
      <c r="AI57" s="6">
        <v>47439</v>
      </c>
      <c r="AJ57" s="6">
        <v>46834</v>
      </c>
      <c r="AK57" s="93">
        <v>47760</v>
      </c>
      <c r="AL57" s="6">
        <v>46033</v>
      </c>
      <c r="AM57" s="6">
        <v>43112</v>
      </c>
      <c r="AN57" s="6">
        <v>43350</v>
      </c>
      <c r="AP57" s="23"/>
      <c r="AU57" s="23"/>
      <c r="AY57" s="32">
        <v>13</v>
      </c>
      <c r="AZ57" s="1">
        <f t="shared" si="27"/>
        <v>0.76062358813898867</v>
      </c>
      <c r="BA57" s="24">
        <f t="shared" si="104"/>
        <v>51</v>
      </c>
      <c r="BB57" s="2">
        <f t="shared" si="110"/>
        <v>1.0343628489513146</v>
      </c>
      <c r="BC57" s="2">
        <f t="shared" si="111"/>
        <v>1.0452837461390503</v>
      </c>
      <c r="BD57" s="2">
        <f t="shared" si="112"/>
        <v>1.0197030739912987</v>
      </c>
      <c r="BE57" s="2">
        <f t="shared" si="113"/>
        <v>0.99665407845215837</v>
      </c>
      <c r="BF57" s="20">
        <f t="shared" si="114"/>
        <v>0.98600399131316552</v>
      </c>
      <c r="BG57" s="2">
        <f t="shared" si="115"/>
        <v>1.0267742189599272</v>
      </c>
      <c r="BH57" s="2">
        <f t="shared" si="116"/>
        <v>1.0299050561582868</v>
      </c>
      <c r="BI57" s="2">
        <f t="shared" si="117"/>
        <v>1.0401012893123309</v>
      </c>
      <c r="BJ57" s="2">
        <f t="shared" si="118"/>
        <v>1.0319966319858682</v>
      </c>
      <c r="BK57" s="20">
        <f t="shared" si="119"/>
        <v>1.0576896770577286</v>
      </c>
      <c r="BL57" s="2">
        <f t="shared" si="120"/>
        <v>1.0245664861998103</v>
      </c>
      <c r="BM57" s="2">
        <f t="shared" si="121"/>
        <v>0.96437502947243814</v>
      </c>
      <c r="BN57" s="2">
        <f t="shared" ref="BN57:BN82" si="123">IF(ISNUMBER(AN57),MIN(1.15,AN57/($AA57*(1-$K$3)^(BN$6-1))),"")</f>
        <v>0.97457172501098444</v>
      </c>
      <c r="BP57" s="23"/>
      <c r="BU57" s="23"/>
      <c r="BY57" s="25">
        <f t="shared" si="105"/>
        <v>51</v>
      </c>
      <c r="BZ57" s="3">
        <f t="shared" si="106"/>
        <v>596014.11238467577</v>
      </c>
      <c r="CA57" s="3">
        <f t="shared" ref="CA57:CA88" si="124">SUM(AB57:AX57)</f>
        <v>606754</v>
      </c>
      <c r="CB57" s="2">
        <f t="shared" ref="CB57:CB88" si="125">CA57/BZ57</f>
        <v>1.0180195189881553</v>
      </c>
      <c r="CC57" s="85">
        <f t="shared" si="32"/>
        <v>6</v>
      </c>
      <c r="CD57" s="3" t="str">
        <f t="shared" si="107"/>
        <v>Tracker</v>
      </c>
      <c r="CE57" s="69">
        <f t="shared" ref="CE57:CE88" si="126">CF57/(CG57+CF57*AY57/2)</f>
        <v>-7.4062914479541995E-3</v>
      </c>
      <c r="CF57" s="2">
        <f t="array" ref="CF57:CG57">LINEST(AB57:AN57,AB$6:AN$6,TRUE,FALSE)</f>
        <v>-346.96153846153857</v>
      </c>
      <c r="CG57" s="2">
        <v>49102.11538461539</v>
      </c>
      <c r="CH57" s="1">
        <f t="shared" si="34"/>
        <v>1.012943512011929</v>
      </c>
      <c r="DC57" s="2">
        <f t="shared" si="36"/>
        <v>1.0526315789473684</v>
      </c>
      <c r="DD57">
        <f t="shared" si="108"/>
        <v>1</v>
      </c>
      <c r="DE57">
        <f t="shared" si="37"/>
        <v>14</v>
      </c>
      <c r="DT57">
        <f t="shared" si="38"/>
        <v>332226</v>
      </c>
      <c r="DU57" s="3">
        <f t="shared" si="39"/>
        <v>47238.742235897764</v>
      </c>
      <c r="DV57" s="3">
        <f t="shared" si="40"/>
        <v>47002.548524718266</v>
      </c>
      <c r="DW57" s="3">
        <f t="shared" si="41"/>
        <v>46767.535782094681</v>
      </c>
      <c r="DX57" s="3">
        <f t="shared" si="42"/>
        <v>46533.698103184201</v>
      </c>
      <c r="DY57" s="3">
        <f t="shared" si="43"/>
        <v>46301.029612668288</v>
      </c>
      <c r="DZ57" s="3">
        <f t="shared" si="44"/>
        <v>46069.524464604947</v>
      </c>
      <c r="EA57" s="3">
        <f t="shared" si="45"/>
        <v>45839.176842281922</v>
      </c>
      <c r="EB57" s="2">
        <f t="shared" si="46"/>
        <v>1.0198732144565279</v>
      </c>
      <c r="ED57" s="2" t="str">
        <f t="shared" si="47"/>
        <v xml:space="preserve"> </v>
      </c>
      <c r="EE57" s="58" t="str">
        <f t="shared" si="48"/>
        <v xml:space="preserve"> </v>
      </c>
      <c r="EF57" s="2">
        <f t="shared" si="49"/>
        <v>1.0180195189881553</v>
      </c>
      <c r="EG57" s="58">
        <f t="shared" si="50"/>
        <v>-7.4062914479541995E-3</v>
      </c>
      <c r="EI57" s="2" t="str">
        <f t="shared" si="51"/>
        <v xml:space="preserve"> </v>
      </c>
      <c r="EJ57" s="2">
        <f t="shared" si="52"/>
        <v>1.0198732144565279</v>
      </c>
      <c r="EK57" s="2"/>
      <c r="EL57" s="2">
        <f t="array" ref="EL57:EM57">LINEST($AB57:$AH57,$AB$6:$AH$6,TRUE,FALSE)</f>
        <v>-380.28571428571433</v>
      </c>
      <c r="EM57" s="2">
        <v>48982</v>
      </c>
      <c r="EN57" s="58">
        <f t="shared" si="53"/>
        <v>-8.0126179167193425E-3</v>
      </c>
      <c r="EO57" s="2">
        <f t="array" ref="EO57:EP57">LINEST($AH57:$AN57,$AH$6:$AN$6,TRUE,FALSE)</f>
        <v>-751.24999999999966</v>
      </c>
      <c r="EP57" s="2">
        <v>53475.07142857142</v>
      </c>
      <c r="EQ57" s="58">
        <f t="shared" si="54"/>
        <v>-1.6344820941262762E-2</v>
      </c>
      <c r="ES57" s="3">
        <f t="shared" si="55"/>
        <v>67748.653061226112</v>
      </c>
      <c r="ET57" s="3">
        <f t="shared" si="92"/>
        <v>827320.18367346749</v>
      </c>
      <c r="EU57" s="3">
        <f t="shared" si="93"/>
        <v>23147.448979591205</v>
      </c>
      <c r="EV57" s="3">
        <f t="shared" si="94"/>
        <v>1172579.5918367391</v>
      </c>
      <c r="EW57" s="3">
        <f t="shared" si="95"/>
        <v>2037960.1836734663</v>
      </c>
      <c r="EX57" s="3">
        <f t="shared" si="96"/>
        <v>363264.51020408666</v>
      </c>
      <c r="EY57" s="3">
        <f t="shared" si="97"/>
        <v>792100</v>
      </c>
      <c r="EZ57" s="3">
        <f t="shared" si="56"/>
        <v>679.71938775466845</v>
      </c>
      <c r="FA57" s="3">
        <f t="shared" si="98"/>
        <v>14442.889030614244</v>
      </c>
      <c r="FB57" s="29">
        <f t="shared" si="99"/>
        <v>3230749.4693877851</v>
      </c>
      <c r="FC57" s="3">
        <f t="shared" si="100"/>
        <v>675155.67474491161</v>
      </c>
      <c r="FD57" s="3">
        <f t="shared" si="101"/>
        <v>1817296.5765305897</v>
      </c>
      <c r="FE57" s="3">
        <f t="shared" si="122"/>
        <v>128752.81760203485</v>
      </c>
      <c r="FF57" s="3"/>
      <c r="FG57" s="29"/>
      <c r="FH57" s="3"/>
      <c r="FI57" s="3"/>
      <c r="FQ57" s="4">
        <f>SQRT(AVERAGE(ES57:FE57))/AVERAGE(AB57:AN57)</f>
        <v>1.984356902453336E-2</v>
      </c>
      <c r="FR57" s="160">
        <v>3.1E-2</v>
      </c>
      <c r="FS57" s="161">
        <f t="shared" si="21"/>
        <v>1.5622189718832091</v>
      </c>
      <c r="FV57" s="4">
        <f t="shared" si="58"/>
        <v>1.8306350025625071E-2</v>
      </c>
      <c r="FW57" s="161">
        <f t="shared" si="59"/>
        <v>1.6934014676113189</v>
      </c>
    </row>
    <row r="58" spans="1:179" x14ac:dyDescent="0.3">
      <c r="A58" s="62">
        <f t="shared" si="109"/>
        <v>52</v>
      </c>
      <c r="B58" s="6">
        <v>57390</v>
      </c>
      <c r="C58" s="6" t="s">
        <v>201</v>
      </c>
      <c r="D58" s="6">
        <v>2011</v>
      </c>
      <c r="E58" s="6">
        <v>2010</v>
      </c>
      <c r="F58" s="6" t="s">
        <v>252</v>
      </c>
      <c r="G58" s="17" t="s">
        <v>636</v>
      </c>
      <c r="H58" s="17" t="s">
        <v>638</v>
      </c>
      <c r="I58" s="6" t="s">
        <v>35</v>
      </c>
      <c r="J58" s="17">
        <v>5</v>
      </c>
      <c r="K58" s="6" t="s">
        <v>83</v>
      </c>
      <c r="L58" s="12">
        <v>40.043860000000002</v>
      </c>
      <c r="M58" s="12">
        <v>-76.735470000000007</v>
      </c>
      <c r="N58" s="14">
        <v>3</v>
      </c>
      <c r="O58" s="6">
        <v>2.6</v>
      </c>
      <c r="P58" s="94">
        <f>365.25*(3.9+(4.2-3.9)*0.4)</f>
        <v>1468.3049999999998</v>
      </c>
      <c r="Q58" s="15" t="s">
        <v>567</v>
      </c>
      <c r="R58" s="14">
        <v>11.6</v>
      </c>
      <c r="S58" s="3">
        <f t="shared" si="23"/>
        <v>33.962299999999999</v>
      </c>
      <c r="T58" s="128" t="str">
        <f t="shared" si="24"/>
        <v>C</v>
      </c>
      <c r="U58" s="154">
        <v>1453</v>
      </c>
      <c r="V58" s="154">
        <v>681</v>
      </c>
      <c r="W58" s="156">
        <v>0.503</v>
      </c>
      <c r="X58" s="1">
        <f t="shared" si="63"/>
        <v>0.46868547832071578</v>
      </c>
      <c r="Y58" s="59">
        <f t="shared" si="25"/>
        <v>0</v>
      </c>
      <c r="Z58" s="1">
        <f t="shared" si="26"/>
        <v>1</v>
      </c>
      <c r="AA58" s="3">
        <f t="shared" si="64"/>
        <v>3629.4706341904198</v>
      </c>
      <c r="AB58" s="6">
        <v>2990</v>
      </c>
      <c r="AC58" s="6">
        <v>3636</v>
      </c>
      <c r="AD58" s="6">
        <v>3544</v>
      </c>
      <c r="AE58" s="6">
        <v>3029</v>
      </c>
      <c r="AF58" s="93">
        <v>3333</v>
      </c>
      <c r="AG58" s="6">
        <v>3307</v>
      </c>
      <c r="AH58" s="6">
        <v>2895</v>
      </c>
      <c r="AI58" s="6">
        <v>2689</v>
      </c>
      <c r="AJ58" s="6">
        <v>1862</v>
      </c>
      <c r="AK58" s="93">
        <v>2483</v>
      </c>
      <c r="AL58" s="6">
        <v>2273</v>
      </c>
      <c r="AM58" s="6">
        <v>1120</v>
      </c>
      <c r="AN58" s="6">
        <v>1643</v>
      </c>
      <c r="AO58" s="6">
        <v>798</v>
      </c>
      <c r="AP58" s="23"/>
      <c r="AU58" s="23"/>
      <c r="AY58" s="32">
        <v>14</v>
      </c>
      <c r="AZ58" s="1">
        <f t="shared" si="27"/>
        <v>0.57730966431815378</v>
      </c>
      <c r="BA58" s="24">
        <f t="shared" si="104"/>
        <v>52</v>
      </c>
      <c r="BB58" s="2">
        <f t="shared" si="110"/>
        <v>0.82381159716062602</v>
      </c>
      <c r="BC58" s="2">
        <f t="shared" si="111"/>
        <v>1.0068331514683908</v>
      </c>
      <c r="BD58" s="2">
        <f t="shared" si="112"/>
        <v>0.98628917104885727</v>
      </c>
      <c r="BE58" s="2">
        <f t="shared" si="113"/>
        <v>0.84720155492671856</v>
      </c>
      <c r="BF58" s="20">
        <f t="shared" si="114"/>
        <v>0.93691394661347438</v>
      </c>
      <c r="BG58" s="2">
        <f t="shared" si="115"/>
        <v>0.93427667031550177</v>
      </c>
      <c r="BH58" s="2">
        <f t="shared" si="116"/>
        <v>0.8219904969551044</v>
      </c>
      <c r="BI58" s="2">
        <f t="shared" si="117"/>
        <v>0.76733666477891216</v>
      </c>
      <c r="BJ58" s="2">
        <f t="shared" si="118"/>
        <v>0.53401289445305156</v>
      </c>
      <c r="BK58" s="20">
        <f t="shared" si="119"/>
        <v>0.71569124728202071</v>
      </c>
      <c r="BL58" s="2">
        <f t="shared" si="120"/>
        <v>0.65845385002824564</v>
      </c>
      <c r="BM58" s="2">
        <f t="shared" si="121"/>
        <v>0.32607751119505801</v>
      </c>
      <c r="BN58" s="2">
        <f t="shared" si="123"/>
        <v>0.48074780230929676</v>
      </c>
      <c r="BO58" s="2">
        <f t="shared" ref="BO58:BO63" si="127">IF(ISNUMBER(AO58),MIN(1.15,AO58/($AA58*(1-$K$3)^(BO$6-1))),"")</f>
        <v>0.23467107065627518</v>
      </c>
      <c r="BP58" s="23"/>
      <c r="BU58" s="23"/>
      <c r="BY58" s="25">
        <f t="shared" si="105"/>
        <v>52</v>
      </c>
      <c r="BZ58" s="3">
        <f t="shared" si="106"/>
        <v>49193.758292875711</v>
      </c>
      <c r="CA58" s="3">
        <f t="shared" si="124"/>
        <v>35602</v>
      </c>
      <c r="CB58" s="2">
        <f t="shared" si="125"/>
        <v>0.7237096988614492</v>
      </c>
      <c r="CC58" s="85">
        <f t="shared" si="32"/>
        <v>82</v>
      </c>
      <c r="CD58" s="3" t="str">
        <f t="shared" si="107"/>
        <v>Fixed</v>
      </c>
      <c r="CE58" s="69">
        <f t="shared" si="126"/>
        <v>-7.1918241928173407E-2</v>
      </c>
      <c r="CF58" s="2">
        <f t="array" ref="CF58:CG58">LINEST(AB58:AO58,AB$6:AO$6,TRUE,FALSE)</f>
        <v>-189.7098901098901</v>
      </c>
      <c r="CG58" s="2">
        <v>3965.8241758241757</v>
      </c>
      <c r="CH58" s="1">
        <f t="shared" si="34"/>
        <v>1.0299491120119288</v>
      </c>
      <c r="DC58" s="2">
        <f t="shared" si="36"/>
        <v>1.1538461538461537</v>
      </c>
      <c r="DD58">
        <f t="shared" si="108"/>
        <v>1</v>
      </c>
      <c r="DE58">
        <f t="shared" si="37"/>
        <v>15</v>
      </c>
      <c r="DT58">
        <f t="shared" si="38"/>
        <v>22734</v>
      </c>
      <c r="DU58" s="3">
        <f t="shared" si="39"/>
        <v>3629.4706341904198</v>
      </c>
      <c r="DV58" s="3">
        <f t="shared" si="40"/>
        <v>3611.3232810194677</v>
      </c>
      <c r="DW58" s="3">
        <f t="shared" si="41"/>
        <v>3593.2666646143707</v>
      </c>
      <c r="DX58" s="3">
        <f t="shared" si="42"/>
        <v>3575.3003312912983</v>
      </c>
      <c r="DY58" s="3">
        <f t="shared" si="43"/>
        <v>3557.4238296348421</v>
      </c>
      <c r="DZ58" s="3">
        <f t="shared" si="44"/>
        <v>3539.6367104866681</v>
      </c>
      <c r="EA58" s="3">
        <f t="shared" si="45"/>
        <v>3521.9385269342347</v>
      </c>
      <c r="EB58" s="2">
        <f t="shared" si="46"/>
        <v>0.90832959170427674</v>
      </c>
      <c r="ED58" s="2" t="str">
        <f t="shared" si="47"/>
        <v xml:space="preserve"> </v>
      </c>
      <c r="EE58" s="58" t="str">
        <f t="shared" si="48"/>
        <v xml:space="preserve"> </v>
      </c>
      <c r="EF58" s="2">
        <f t="shared" si="49"/>
        <v>0.7237096988614492</v>
      </c>
      <c r="EG58" s="58">
        <f t="shared" si="50"/>
        <v>-7.1918241928173407E-2</v>
      </c>
      <c r="EI58" s="2" t="str">
        <f t="shared" si="51"/>
        <v xml:space="preserve"> </v>
      </c>
      <c r="EJ58" s="2">
        <f t="shared" si="52"/>
        <v>0.90832959170427674</v>
      </c>
      <c r="EK58" s="2"/>
      <c r="EL58" s="2">
        <f t="array" ref="EL58:EM58">LINEST($AB58:$AH58,$AB$6:$AH$6,TRUE,FALSE)</f>
        <v>-41.214285714285673</v>
      </c>
      <c r="EM58" s="2">
        <v>3412.5714285714284</v>
      </c>
      <c r="EN58" s="58">
        <f t="shared" si="53"/>
        <v>-1.2690243687868377E-2</v>
      </c>
      <c r="EO58" s="2">
        <f t="array" ref="EO58:EP58">LINEST($AH58:$AO58,$AH$6:$AO$6,TRUE,FALSE)</f>
        <v>-266.01190476190476</v>
      </c>
      <c r="EP58" s="2">
        <v>4763.5</v>
      </c>
      <c r="EQ58" s="58">
        <f t="shared" si="54"/>
        <v>-0.13500572467774141</v>
      </c>
      <c r="ES58" s="3">
        <f t="shared" si="55"/>
        <v>145433.27040816311</v>
      </c>
      <c r="ET58" s="3">
        <f t="shared" si="92"/>
        <v>93548.591836734849</v>
      </c>
      <c r="EU58" s="3">
        <f t="shared" si="93"/>
        <v>65061.433673469321</v>
      </c>
      <c r="EV58" s="3">
        <f t="shared" si="94"/>
        <v>47835.938775510229</v>
      </c>
      <c r="EW58" s="3">
        <f t="shared" si="95"/>
        <v>16002.25</v>
      </c>
      <c r="EX58" s="3">
        <f t="shared" si="96"/>
        <v>20082.938775510222</v>
      </c>
      <c r="EY58" s="3">
        <f t="shared" si="97"/>
        <v>52473.719387755249</v>
      </c>
      <c r="EZ58" s="3">
        <f t="shared" si="56"/>
        <v>2872.4495464852585</v>
      </c>
      <c r="FA58" s="3">
        <f t="shared" si="98"/>
        <v>257447.51147959204</v>
      </c>
      <c r="FB58" s="29">
        <f t="shared" si="99"/>
        <v>144110.62131519281</v>
      </c>
      <c r="FC58" s="3">
        <f t="shared" si="100"/>
        <v>189774.32667233553</v>
      </c>
      <c r="FD58" s="3">
        <f t="shared" si="101"/>
        <v>203723.27040816349</v>
      </c>
      <c r="FE58" s="3">
        <f t="shared" si="122"/>
        <v>114010.73823696146</v>
      </c>
      <c r="FF58" s="3">
        <f t="shared" ref="FF58:FF63" si="128">($EP58+$EO58*FF$6-AO58)^2</f>
        <v>58241.777777777854</v>
      </c>
      <c r="FG58" s="29"/>
      <c r="FH58" s="3"/>
      <c r="FI58" s="3"/>
      <c r="FQ58" s="4">
        <f t="shared" ref="FQ58:FQ63" si="129">SQRT(AVERAGE(ES58:FF58))/AVERAGE(AB58:AO58)</f>
        <v>0.12482295558343184</v>
      </c>
      <c r="FR58" s="160">
        <v>2.9000000000000001E-2</v>
      </c>
      <c r="FS58" s="161">
        <f t="shared" si="21"/>
        <v>0.23232906050374971</v>
      </c>
      <c r="FV58" s="4">
        <f t="shared" si="58"/>
        <v>7.7235262284706035E-2</v>
      </c>
      <c r="FW58" s="161">
        <f t="shared" si="59"/>
        <v>0.37547616389389177</v>
      </c>
    </row>
    <row r="59" spans="1:179" x14ac:dyDescent="0.3">
      <c r="A59" s="62">
        <f t="shared" si="109"/>
        <v>53</v>
      </c>
      <c r="B59" s="6">
        <v>57269</v>
      </c>
      <c r="C59" s="6" t="s">
        <v>202</v>
      </c>
      <c r="D59" s="6">
        <v>2011</v>
      </c>
      <c r="E59" s="6">
        <v>2010</v>
      </c>
      <c r="F59" s="6" t="s">
        <v>248</v>
      </c>
      <c r="G59" s="17" t="s">
        <v>636</v>
      </c>
      <c r="H59" s="17" t="s">
        <v>638</v>
      </c>
      <c r="I59" s="6" t="s">
        <v>35</v>
      </c>
      <c r="J59" s="17">
        <v>20</v>
      </c>
      <c r="K59" s="6" t="s">
        <v>64</v>
      </c>
      <c r="L59" s="12">
        <v>42.8</v>
      </c>
      <c r="M59" s="12">
        <v>-71.099999999999994</v>
      </c>
      <c r="N59" s="14">
        <v>1</v>
      </c>
      <c r="O59" s="6">
        <v>1</v>
      </c>
      <c r="P59" s="94">
        <f>365.25*4.5</f>
        <v>1643.625</v>
      </c>
      <c r="Q59" s="15" t="s">
        <v>549</v>
      </c>
      <c r="R59" s="14">
        <v>10.7</v>
      </c>
      <c r="S59" s="3">
        <f t="shared" si="23"/>
        <v>34.365499999999997</v>
      </c>
      <c r="T59" s="128" t="str">
        <f t="shared" si="24"/>
        <v>C</v>
      </c>
      <c r="U59" s="154">
        <v>1432</v>
      </c>
      <c r="V59" s="154">
        <v>652</v>
      </c>
      <c r="W59" s="156">
        <v>0.50900000000000001</v>
      </c>
      <c r="X59" s="1">
        <f t="shared" si="63"/>
        <v>0.45530726256983239</v>
      </c>
      <c r="Y59" s="59">
        <f t="shared" si="25"/>
        <v>0</v>
      </c>
      <c r="Z59" s="1">
        <f t="shared" si="26"/>
        <v>1</v>
      </c>
      <c r="AA59" s="3">
        <f t="shared" si="64"/>
        <v>1352.1594166644854</v>
      </c>
      <c r="AB59" s="6">
        <v>989</v>
      </c>
      <c r="AC59" s="6">
        <v>1258</v>
      </c>
      <c r="AD59" s="6">
        <v>1229</v>
      </c>
      <c r="AE59" s="6">
        <v>1121</v>
      </c>
      <c r="AF59" s="93">
        <v>1204</v>
      </c>
      <c r="AG59" s="6">
        <v>1260</v>
      </c>
      <c r="AH59" s="6">
        <v>1098</v>
      </c>
      <c r="AI59" s="6">
        <v>1161</v>
      </c>
      <c r="AJ59" s="6">
        <v>897</v>
      </c>
      <c r="AK59" s="93">
        <v>1208</v>
      </c>
      <c r="AL59" s="6">
        <v>1185</v>
      </c>
      <c r="AM59" s="6">
        <v>1048</v>
      </c>
      <c r="AN59" s="6">
        <v>1003</v>
      </c>
      <c r="AO59" s="6">
        <v>1162</v>
      </c>
      <c r="AP59" s="23"/>
      <c r="AU59" s="23"/>
      <c r="AY59" s="32">
        <v>14</v>
      </c>
      <c r="AZ59" s="1">
        <f t="shared" si="27"/>
        <v>0.68763512706017849</v>
      </c>
      <c r="BA59" s="24">
        <f t="shared" si="104"/>
        <v>53</v>
      </c>
      <c r="BB59" s="2">
        <f t="shared" si="110"/>
        <v>0.73142263242870498</v>
      </c>
      <c r="BC59" s="2">
        <f t="shared" si="111"/>
        <v>0.93503886631876343</v>
      </c>
      <c r="BD59" s="2">
        <f t="shared" si="112"/>
        <v>0.91807428773898125</v>
      </c>
      <c r="BE59" s="2">
        <f t="shared" si="113"/>
        <v>0.84160532242612418</v>
      </c>
      <c r="BF59" s="20">
        <f t="shared" si="114"/>
        <v>0.90846095616445599</v>
      </c>
      <c r="BG59" s="2">
        <f t="shared" si="115"/>
        <v>0.95549241620662662</v>
      </c>
      <c r="BH59" s="2">
        <f t="shared" si="116"/>
        <v>0.83682752891032619</v>
      </c>
      <c r="BI59" s="2">
        <f t="shared" si="117"/>
        <v>0.88928866652468985</v>
      </c>
      <c r="BJ59" s="2">
        <f t="shared" si="118"/>
        <v>0.6905257847139632</v>
      </c>
      <c r="BK59" s="20">
        <f t="shared" si="119"/>
        <v>0.93461190897012092</v>
      </c>
      <c r="BL59" s="2">
        <f t="shared" si="120"/>
        <v>0.92142426713833514</v>
      </c>
      <c r="BM59" s="2">
        <f t="shared" si="121"/>
        <v>0.81899169430356455</v>
      </c>
      <c r="BN59" s="2">
        <f t="shared" si="123"/>
        <v>0.78776388563665178</v>
      </c>
      <c r="BO59" s="2">
        <f t="shared" si="127"/>
        <v>0.91722985326411666</v>
      </c>
      <c r="BP59" s="23"/>
      <c r="BU59" s="23"/>
      <c r="BY59" s="25">
        <f t="shared" si="105"/>
        <v>53</v>
      </c>
      <c r="BZ59" s="3">
        <f t="shared" si="106"/>
        <v>18327.136439737529</v>
      </c>
      <c r="CA59" s="3">
        <f t="shared" si="124"/>
        <v>15823</v>
      </c>
      <c r="CB59" s="2">
        <f t="shared" si="125"/>
        <v>0.86336455517906363</v>
      </c>
      <c r="CC59" s="85">
        <f t="shared" si="32"/>
        <v>53</v>
      </c>
      <c r="CD59" s="3" t="str">
        <f t="shared" si="107"/>
        <v>Fixed</v>
      </c>
      <c r="CE59" s="69">
        <f t="shared" si="126"/>
        <v>-5.319819479111516E-3</v>
      </c>
      <c r="CF59" s="2">
        <f t="array" ref="CF59:CG59">LINEST(AB59:AO59,AB$6:AO$6,TRUE,FALSE)</f>
        <v>-6.0285714285714302</v>
      </c>
      <c r="CG59" s="2">
        <v>1175.4285714285716</v>
      </c>
      <c r="CH59" s="1">
        <f t="shared" si="34"/>
        <v>1.0283363120119289</v>
      </c>
      <c r="DC59" s="2">
        <f t="shared" si="36"/>
        <v>1</v>
      </c>
      <c r="DD59">
        <f t="shared" si="108"/>
        <v>1</v>
      </c>
      <c r="DE59">
        <f t="shared" si="37"/>
        <v>15</v>
      </c>
      <c r="DT59">
        <f t="shared" si="38"/>
        <v>8159</v>
      </c>
      <c r="DU59" s="3">
        <f t="shared" si="39"/>
        <v>1352.1594166644854</v>
      </c>
      <c r="DV59" s="3">
        <f t="shared" si="40"/>
        <v>1345.3986195811631</v>
      </c>
      <c r="DW59" s="3">
        <f t="shared" si="41"/>
        <v>1338.6716264832573</v>
      </c>
      <c r="DX59" s="3">
        <f t="shared" si="42"/>
        <v>1331.9782683508408</v>
      </c>
      <c r="DY59" s="3">
        <f t="shared" si="43"/>
        <v>1325.3183770090868</v>
      </c>
      <c r="DZ59" s="3">
        <f t="shared" si="44"/>
        <v>1318.6917851240414</v>
      </c>
      <c r="EA59" s="3">
        <f t="shared" si="45"/>
        <v>1312.0983261984213</v>
      </c>
      <c r="EB59" s="2">
        <f t="shared" si="46"/>
        <v>0.87502393022770553</v>
      </c>
      <c r="ED59" s="2" t="str">
        <f t="shared" si="47"/>
        <v xml:space="preserve"> </v>
      </c>
      <c r="EE59" s="58" t="str">
        <f t="shared" si="48"/>
        <v xml:space="preserve"> </v>
      </c>
      <c r="EF59" s="2">
        <f t="shared" si="49"/>
        <v>0.86336455517906363</v>
      </c>
      <c r="EG59" s="58">
        <f t="shared" si="50"/>
        <v>-5.319819479111516E-3</v>
      </c>
      <c r="EI59" s="2" t="str">
        <f t="shared" si="51"/>
        <v xml:space="preserve"> </v>
      </c>
      <c r="EJ59" s="2">
        <f t="shared" si="52"/>
        <v>0.87502393022770553</v>
      </c>
      <c r="EK59" s="2"/>
      <c r="EL59" s="2">
        <f t="array" ref="EL59:EM59">LINEST($AB59:$AH59,$AB$6:$AH$6,TRUE,FALSE)</f>
        <v>10.928571428571434</v>
      </c>
      <c r="EM59" s="2">
        <v>1121.8571428571429</v>
      </c>
      <c r="EN59" s="58">
        <f t="shared" si="53"/>
        <v>9.3761490378722924E-3</v>
      </c>
      <c r="EO59" s="2">
        <f t="array" ref="EO59:EP59">LINEST($AH59:$AO59,$AH$6:$AO$6,TRUE,FALSE)</f>
        <v>1.0476190476190459</v>
      </c>
      <c r="EP59" s="2">
        <v>1084.25</v>
      </c>
      <c r="EQ59" s="58">
        <f t="shared" si="54"/>
        <v>9.5651134226801726E-4</v>
      </c>
      <c r="ES59" s="3">
        <f t="shared" si="55"/>
        <v>20674.331632653044</v>
      </c>
      <c r="ET59" s="3">
        <f t="shared" si="92"/>
        <v>13061.224489795903</v>
      </c>
      <c r="EU59" s="3">
        <f t="shared" si="93"/>
        <v>5528.9846938775554</v>
      </c>
      <c r="EV59" s="3">
        <f t="shared" si="94"/>
        <v>1986.6122448979679</v>
      </c>
      <c r="EW59" s="3">
        <f t="shared" si="95"/>
        <v>756.25</v>
      </c>
      <c r="EX59" s="3">
        <f t="shared" si="96"/>
        <v>5266.6122448979404</v>
      </c>
      <c r="EY59" s="3">
        <f t="shared" si="97"/>
        <v>10071.556122448987</v>
      </c>
      <c r="EZ59" s="3">
        <f t="shared" si="56"/>
        <v>4674.3266723356128</v>
      </c>
      <c r="FA59" s="3">
        <f t="shared" si="98"/>
        <v>38682.460459183632</v>
      </c>
      <c r="FB59" s="29">
        <f t="shared" si="99"/>
        <v>12830.955924036305</v>
      </c>
      <c r="FC59" s="3">
        <f t="shared" si="100"/>
        <v>7961.3130668934455</v>
      </c>
      <c r="FD59" s="3">
        <f t="shared" si="101"/>
        <v>2383.5318877550894</v>
      </c>
      <c r="FE59" s="3">
        <f t="shared" si="122"/>
        <v>9000.1361961451403</v>
      </c>
      <c r="FF59" s="3">
        <f t="shared" si="128"/>
        <v>3979.5069444444348</v>
      </c>
      <c r="FG59" s="29"/>
      <c r="FH59" s="3"/>
      <c r="FI59" s="3"/>
      <c r="FQ59" s="4">
        <f t="shared" si="129"/>
        <v>8.7480241048313145E-2</v>
      </c>
      <c r="FR59" s="160">
        <v>2.5000000000000001E-2</v>
      </c>
      <c r="FS59" s="161">
        <f t="shared" si="21"/>
        <v>0.28577881931295923</v>
      </c>
      <c r="FV59" s="4">
        <f t="shared" si="58"/>
        <v>7.7653677764689844E-2</v>
      </c>
      <c r="FW59" s="161">
        <f t="shared" si="59"/>
        <v>0.32194225334383109</v>
      </c>
    </row>
    <row r="60" spans="1:179" x14ac:dyDescent="0.3">
      <c r="A60" s="62">
        <f t="shared" si="109"/>
        <v>54</v>
      </c>
      <c r="B60" s="6">
        <v>57202</v>
      </c>
      <c r="C60" s="6" t="s">
        <v>203</v>
      </c>
      <c r="D60" s="6">
        <v>2011</v>
      </c>
      <c r="E60" s="6">
        <v>2010</v>
      </c>
      <c r="F60" s="6" t="s">
        <v>252</v>
      </c>
      <c r="G60" s="17" t="s">
        <v>634</v>
      </c>
      <c r="H60" s="17" t="s">
        <v>630</v>
      </c>
      <c r="I60" s="6" t="s">
        <v>35</v>
      </c>
      <c r="J60" s="17">
        <v>20</v>
      </c>
      <c r="K60" s="6" t="s">
        <v>109</v>
      </c>
      <c r="L60" s="12">
        <v>30.321000000000002</v>
      </c>
      <c r="M60" s="12">
        <v>-81.956000000000003</v>
      </c>
      <c r="N60" s="14">
        <v>15</v>
      </c>
      <c r="O60" s="6">
        <v>12.6</v>
      </c>
      <c r="P60" s="94">
        <f>365.25*4.9</f>
        <v>1789.7250000000001</v>
      </c>
      <c r="Q60" s="15" t="s">
        <v>203</v>
      </c>
      <c r="R60" s="14">
        <v>20</v>
      </c>
      <c r="S60" s="3">
        <f t="shared" si="23"/>
        <v>44.7515</v>
      </c>
      <c r="T60" s="128" t="str">
        <f t="shared" si="24"/>
        <v>M</v>
      </c>
      <c r="U60" s="154">
        <v>1682</v>
      </c>
      <c r="V60" s="154">
        <v>735.6</v>
      </c>
      <c r="W60" s="156">
        <v>0.52400000000000002</v>
      </c>
      <c r="X60" s="1">
        <f t="shared" si="63"/>
        <v>0.43733650416171227</v>
      </c>
      <c r="Y60" s="59">
        <f t="shared" si="25"/>
        <v>0</v>
      </c>
      <c r="Z60" s="1">
        <f t="shared" si="26"/>
        <v>1</v>
      </c>
      <c r="AA60" s="3">
        <f t="shared" si="64"/>
        <v>21299.414029616626</v>
      </c>
      <c r="AB60" s="6">
        <v>23125</v>
      </c>
      <c r="AC60" s="6">
        <v>21016</v>
      </c>
      <c r="AD60" s="6">
        <v>21397</v>
      </c>
      <c r="AE60" s="6">
        <v>21048</v>
      </c>
      <c r="AF60" s="93">
        <v>20005</v>
      </c>
      <c r="AG60" s="6">
        <v>20587</v>
      </c>
      <c r="AH60" s="6">
        <v>20335</v>
      </c>
      <c r="AI60" s="6">
        <v>17670</v>
      </c>
      <c r="AJ60" s="6">
        <v>18314</v>
      </c>
      <c r="AK60" s="93">
        <v>16287</v>
      </c>
      <c r="AL60" s="6">
        <v>16125</v>
      </c>
      <c r="AM60" s="6">
        <v>18361</v>
      </c>
      <c r="AN60" s="6">
        <v>15124</v>
      </c>
      <c r="AO60" s="6">
        <v>11799</v>
      </c>
      <c r="AP60" s="23"/>
      <c r="AU60" s="23"/>
      <c r="AY60" s="32">
        <v>14</v>
      </c>
      <c r="AZ60" s="1">
        <f t="shared" si="27"/>
        <v>0.69495380043089883</v>
      </c>
      <c r="BA60" s="24">
        <f t="shared" si="104"/>
        <v>54</v>
      </c>
      <c r="BB60" s="2">
        <f t="shared" si="110"/>
        <v>1.0857106194491977</v>
      </c>
      <c r="BC60" s="2">
        <f t="shared" si="111"/>
        <v>0.99165207131199073</v>
      </c>
      <c r="BD60" s="2">
        <f t="shared" si="112"/>
        <v>1.0147032923402064</v>
      </c>
      <c r="BE60" s="2">
        <f t="shared" si="113"/>
        <v>1.0031686167049043</v>
      </c>
      <c r="BF60" s="20">
        <f t="shared" si="114"/>
        <v>0.95824944645221599</v>
      </c>
      <c r="BG60" s="2">
        <f t="shared" si="115"/>
        <v>0.99108295057450557</v>
      </c>
      <c r="BH60" s="2">
        <f t="shared" si="116"/>
        <v>0.98387072096932771</v>
      </c>
      <c r="BI60" s="2">
        <f t="shared" si="117"/>
        <v>0.85922583853756218</v>
      </c>
      <c r="BJ60" s="2">
        <f t="shared" si="118"/>
        <v>0.89501622469887154</v>
      </c>
      <c r="BK60" s="20">
        <f t="shared" si="119"/>
        <v>0.79995528871124877</v>
      </c>
      <c r="BL60" s="2">
        <f t="shared" si="120"/>
        <v>0.79597835869769951</v>
      </c>
      <c r="BM60" s="2">
        <f t="shared" si="121"/>
        <v>0.91090856727348135</v>
      </c>
      <c r="BN60" s="2">
        <f t="shared" si="123"/>
        <v>0.7540880247566536</v>
      </c>
      <c r="BO60" s="2">
        <f t="shared" si="127"/>
        <v>0.59125863409242418</v>
      </c>
      <c r="BP60" s="23"/>
      <c r="BU60" s="23"/>
      <c r="BY60" s="25">
        <f t="shared" si="105"/>
        <v>54</v>
      </c>
      <c r="BZ60" s="3">
        <f t="shared" si="106"/>
        <v>288691.74906179268</v>
      </c>
      <c r="CA60" s="3">
        <f t="shared" si="124"/>
        <v>261193</v>
      </c>
      <c r="CB60" s="2">
        <f t="shared" si="125"/>
        <v>0.90474702116995132</v>
      </c>
      <c r="CC60" s="85">
        <f t="shared" si="32"/>
        <v>38</v>
      </c>
      <c r="CD60" s="3" t="str">
        <f t="shared" si="107"/>
        <v>Fixed</v>
      </c>
      <c r="CE60" s="69">
        <f t="shared" si="126"/>
        <v>-3.4944275438332707E-2</v>
      </c>
      <c r="CF60" s="2">
        <f t="array" ref="CF60:CG60">LINEST(AB60:AO60,AB$6:AO$6,TRUE,FALSE)</f>
        <v>-663.53626373626366</v>
      </c>
      <c r="CG60" s="2">
        <v>23633.164835164836</v>
      </c>
      <c r="CH60" s="1">
        <f t="shared" si="34"/>
        <v>0.99174519500745562</v>
      </c>
      <c r="DC60" s="2">
        <f t="shared" si="36"/>
        <v>1.1904761904761905</v>
      </c>
      <c r="DD60">
        <f t="shared" si="108"/>
        <v>1</v>
      </c>
      <c r="DE60">
        <f t="shared" si="37"/>
        <v>15</v>
      </c>
      <c r="DT60">
        <f t="shared" si="38"/>
        <v>147513</v>
      </c>
      <c r="DU60" s="3">
        <f t="shared" si="39"/>
        <v>21299.414029616626</v>
      </c>
      <c r="DV60" s="3">
        <f t="shared" si="40"/>
        <v>21192.916959468545</v>
      </c>
      <c r="DW60" s="3">
        <f t="shared" si="41"/>
        <v>21086.9523746712</v>
      </c>
      <c r="DX60" s="3">
        <f t="shared" si="42"/>
        <v>20981.517612797845</v>
      </c>
      <c r="DY60" s="3">
        <f t="shared" si="43"/>
        <v>20876.610024733855</v>
      </c>
      <c r="DZ60" s="3">
        <f t="shared" si="44"/>
        <v>20772.226974610188</v>
      </c>
      <c r="EA60" s="3">
        <f t="shared" si="45"/>
        <v>20668.365839737136</v>
      </c>
      <c r="EB60" s="2">
        <f t="shared" si="46"/>
        <v>1.004323289858716</v>
      </c>
      <c r="ED60" s="2" t="str">
        <f t="shared" si="47"/>
        <v xml:space="preserve"> </v>
      </c>
      <c r="EE60" s="58" t="str">
        <f t="shared" si="48"/>
        <v xml:space="preserve"> </v>
      </c>
      <c r="EF60" s="2" t="str">
        <f t="shared" si="49"/>
        <v xml:space="preserve"> </v>
      </c>
      <c r="EG60" s="58" t="str">
        <f t="shared" si="50"/>
        <v xml:space="preserve"> </v>
      </c>
      <c r="EI60" s="2" t="str">
        <f t="shared" si="51"/>
        <v xml:space="preserve"> </v>
      </c>
      <c r="EJ60" s="2" t="str">
        <f t="shared" si="52"/>
        <v xml:space="preserve"> </v>
      </c>
      <c r="EK60" s="2"/>
      <c r="EL60" s="2">
        <f t="array" ref="EL60:EM60">LINEST($AB60:$AH60,$AB$6:$AH$6,TRUE,FALSE)</f>
        <v>-379.28571428571428</v>
      </c>
      <c r="EM60" s="2">
        <v>22590.428571428572</v>
      </c>
      <c r="EN60" s="58">
        <f t="shared" si="53"/>
        <v>-1.7998413699131601E-2</v>
      </c>
      <c r="EO60" s="2">
        <f t="array" ref="EO60:EP60">LINEST($AH60:$AO60,$AH$6:$AO$6,TRUE,FALSE)</f>
        <v>-863.13095238095229</v>
      </c>
      <c r="EP60" s="2">
        <v>25814.75</v>
      </c>
      <c r="EQ60" s="58">
        <f t="shared" si="54"/>
        <v>-5.1524438451274995E-2</v>
      </c>
      <c r="ES60" s="3">
        <f t="shared" si="55"/>
        <v>835134.87755101756</v>
      </c>
      <c r="ET60" s="3">
        <f t="shared" si="92"/>
        <v>665622.87755102385</v>
      </c>
      <c r="EU60" s="3">
        <f t="shared" si="93"/>
        <v>3088.1836734696767</v>
      </c>
      <c r="EV60" s="3">
        <f t="shared" si="94"/>
        <v>639.36734693874928</v>
      </c>
      <c r="EW60" s="3">
        <f t="shared" si="95"/>
        <v>474721</v>
      </c>
      <c r="EX60" s="3">
        <f t="shared" si="96"/>
        <v>74139.510204081351</v>
      </c>
      <c r="EY60" s="3">
        <f t="shared" si="97"/>
        <v>159657.3265306114</v>
      </c>
      <c r="EZ60" s="3">
        <f t="shared" si="56"/>
        <v>1536861.993339004</v>
      </c>
      <c r="FA60" s="3">
        <f t="shared" si="98"/>
        <v>71518.040816327091</v>
      </c>
      <c r="FB60" s="29">
        <f t="shared" si="99"/>
        <v>803605.52735260921</v>
      </c>
      <c r="FC60" s="3">
        <f t="shared" si="100"/>
        <v>38145.810090703322</v>
      </c>
      <c r="FD60" s="3">
        <f t="shared" si="101"/>
        <v>8432178.8890306056</v>
      </c>
      <c r="FE60" s="3">
        <f t="shared" si="122"/>
        <v>280849.52607709629</v>
      </c>
      <c r="FF60" s="3">
        <f t="shared" si="128"/>
        <v>3732302.0069444492</v>
      </c>
      <c r="FG60" s="29"/>
      <c r="FH60" s="3"/>
      <c r="FI60" s="3"/>
      <c r="FQ60" s="4">
        <f t="shared" si="129"/>
        <v>5.9252681087261214E-2</v>
      </c>
      <c r="FR60" s="160">
        <v>2.9000000000000001E-2</v>
      </c>
      <c r="FS60" s="161">
        <f t="shared" si="21"/>
        <v>0.48942932991153271</v>
      </c>
      <c r="FV60" s="4">
        <f t="shared" si="58"/>
        <v>2.6681469190569729E-2</v>
      </c>
      <c r="FW60" s="161">
        <f t="shared" si="59"/>
        <v>1.0868966694776212</v>
      </c>
    </row>
    <row r="61" spans="1:179" x14ac:dyDescent="0.3">
      <c r="A61" s="62">
        <f t="shared" si="109"/>
        <v>55</v>
      </c>
      <c r="B61" s="6">
        <v>57525</v>
      </c>
      <c r="C61" s="6" t="s">
        <v>204</v>
      </c>
      <c r="D61" s="6">
        <v>2011</v>
      </c>
      <c r="E61" s="6">
        <v>2010</v>
      </c>
      <c r="F61" s="6" t="s">
        <v>252</v>
      </c>
      <c r="G61" s="17" t="s">
        <v>636</v>
      </c>
      <c r="H61" s="17" t="s">
        <v>638</v>
      </c>
      <c r="I61" s="6" t="s">
        <v>35</v>
      </c>
      <c r="J61" s="17">
        <v>20</v>
      </c>
      <c r="K61" s="6" t="s">
        <v>73</v>
      </c>
      <c r="L61" s="12">
        <v>22.08</v>
      </c>
      <c r="M61" s="12">
        <v>-159.33000000000001</v>
      </c>
      <c r="N61" s="14">
        <v>1.2</v>
      </c>
      <c r="O61" s="6">
        <v>1</v>
      </c>
      <c r="P61" s="94">
        <f>365.25*5.2</f>
        <v>1899.3</v>
      </c>
      <c r="Q61" s="15" t="s">
        <v>516</v>
      </c>
      <c r="R61" s="14">
        <v>24.2</v>
      </c>
      <c r="S61" s="3">
        <f t="shared" si="23"/>
        <v>49.765999999999991</v>
      </c>
      <c r="T61" s="128" t="str">
        <f t="shared" si="24"/>
        <v>M</v>
      </c>
      <c r="U61" s="154">
        <v>1818</v>
      </c>
      <c r="V61" s="154">
        <v>721.6</v>
      </c>
      <c r="W61" s="156">
        <v>0.53100000000000003</v>
      </c>
      <c r="X61" s="1">
        <f t="shared" si="63"/>
        <v>0.39691969196919691</v>
      </c>
      <c r="Y61" s="59">
        <f t="shared" si="25"/>
        <v>0</v>
      </c>
      <c r="Z61" s="1">
        <f t="shared" si="26"/>
        <v>1</v>
      </c>
      <c r="AA61" s="3">
        <f t="shared" si="64"/>
        <v>1762.6737396520864</v>
      </c>
      <c r="AB61" s="6">
        <v>1767</v>
      </c>
      <c r="AC61" s="6">
        <v>2070</v>
      </c>
      <c r="AD61" s="6">
        <v>1885</v>
      </c>
      <c r="AE61" s="6">
        <v>1807</v>
      </c>
      <c r="AF61" s="93">
        <v>1857</v>
      </c>
      <c r="AG61" s="6">
        <v>1870</v>
      </c>
      <c r="AH61" s="6">
        <v>1909</v>
      </c>
      <c r="AI61" s="6">
        <v>1614</v>
      </c>
      <c r="AJ61" s="6">
        <v>1799</v>
      </c>
      <c r="AK61" s="93">
        <v>1787</v>
      </c>
      <c r="AL61" s="6">
        <v>1735</v>
      </c>
      <c r="AM61" s="6">
        <v>1822</v>
      </c>
      <c r="AN61" s="6">
        <v>1551</v>
      </c>
      <c r="AO61" s="6">
        <v>1497</v>
      </c>
      <c r="AP61" s="23"/>
      <c r="AU61" s="23"/>
      <c r="AY61" s="32">
        <v>14</v>
      </c>
      <c r="AZ61" s="1">
        <f t="shared" si="27"/>
        <v>0.78255648070843142</v>
      </c>
      <c r="BA61" s="24">
        <f t="shared" si="104"/>
        <v>55</v>
      </c>
      <c r="BB61" s="2">
        <f t="shared" si="110"/>
        <v>1.0024543738586402</v>
      </c>
      <c r="BC61" s="2">
        <f t="shared" si="111"/>
        <v>1.1499999999999999</v>
      </c>
      <c r="BD61" s="2">
        <f t="shared" si="112"/>
        <v>1.0801728536569579</v>
      </c>
      <c r="BE61" s="2">
        <f t="shared" si="113"/>
        <v>1.0406794431351043</v>
      </c>
      <c r="BF61" s="20">
        <f t="shared" si="114"/>
        <v>1.0748494692065134</v>
      </c>
      <c r="BG61" s="2">
        <f t="shared" si="115"/>
        <v>1.0878130595985742</v>
      </c>
      <c r="BH61" s="2">
        <f t="shared" si="116"/>
        <v>1.1160804722939179</v>
      </c>
      <c r="BI61" s="2">
        <f t="shared" si="117"/>
        <v>0.94835301825122664</v>
      </c>
      <c r="BJ61" s="2">
        <f t="shared" si="118"/>
        <v>1.0623670271020258</v>
      </c>
      <c r="BK61" s="20">
        <f t="shared" si="119"/>
        <v>1.0605835611807344</v>
      </c>
      <c r="BL61" s="2">
        <f t="shared" si="120"/>
        <v>1.0348960688437003</v>
      </c>
      <c r="BM61" s="2">
        <f t="shared" si="121"/>
        <v>1.0922512490019098</v>
      </c>
      <c r="BN61" s="2">
        <f t="shared" si="123"/>
        <v>0.93446468743385536</v>
      </c>
      <c r="BO61" s="2">
        <f t="shared" si="127"/>
        <v>0.90646244574807067</v>
      </c>
      <c r="BP61" s="23"/>
      <c r="BU61" s="23"/>
      <c r="BY61" s="25">
        <f t="shared" si="105"/>
        <v>55</v>
      </c>
      <c r="BZ61" s="3">
        <f t="shared" si="106"/>
        <v>23891.237769164632</v>
      </c>
      <c r="CA61" s="3">
        <f t="shared" si="124"/>
        <v>24970</v>
      </c>
      <c r="CB61" s="2">
        <f t="shared" si="125"/>
        <v>1.0451530490491237</v>
      </c>
      <c r="CC61" s="85">
        <f t="shared" si="32"/>
        <v>1</v>
      </c>
      <c r="CD61" s="3" t="str">
        <f t="shared" si="107"/>
        <v>Fixed</v>
      </c>
      <c r="CE61" s="69">
        <f t="shared" si="126"/>
        <v>-1.3643389601504833E-2</v>
      </c>
      <c r="CF61" s="2">
        <f t="array" ref="CF61:CG61">LINEST(AB61:AO61,AB$6:AO$6,TRUE,FALSE)</f>
        <v>-24.501098901098899</v>
      </c>
      <c r="CG61" s="2">
        <v>1967.3296703296705</v>
      </c>
      <c r="CH61" s="1">
        <f t="shared" si="34"/>
        <v>0.96673431201192894</v>
      </c>
      <c r="DC61" s="2">
        <f t="shared" si="36"/>
        <v>1.2</v>
      </c>
      <c r="DD61">
        <f t="shared" si="108"/>
        <v>1</v>
      </c>
      <c r="DE61">
        <f t="shared" si="37"/>
        <v>15</v>
      </c>
      <c r="DT61">
        <f t="shared" si="38"/>
        <v>13165</v>
      </c>
      <c r="DU61" s="3">
        <f t="shared" si="39"/>
        <v>1762.6737396520864</v>
      </c>
      <c r="DV61" s="3">
        <f t="shared" si="40"/>
        <v>1800.0000000000002</v>
      </c>
      <c r="DW61" s="3">
        <f t="shared" si="41"/>
        <v>1745.091069099057</v>
      </c>
      <c r="DX61" s="3">
        <f t="shared" si="42"/>
        <v>1736.3656137535615</v>
      </c>
      <c r="DY61" s="3">
        <f t="shared" si="43"/>
        <v>1727.6837856847935</v>
      </c>
      <c r="DZ61" s="3">
        <f t="shared" si="44"/>
        <v>1719.04536675637</v>
      </c>
      <c r="EA61" s="3">
        <f t="shared" si="45"/>
        <v>1710.4501399225881</v>
      </c>
      <c r="EB61" s="2">
        <f t="shared" si="46"/>
        <v>1.0789825279131464</v>
      </c>
      <c r="ED61" s="2" t="str">
        <f t="shared" si="47"/>
        <v xml:space="preserve"> </v>
      </c>
      <c r="EE61" s="58" t="str">
        <f t="shared" si="48"/>
        <v xml:space="preserve"> </v>
      </c>
      <c r="EF61" s="2" t="str">
        <f t="shared" si="49"/>
        <v xml:space="preserve"> </v>
      </c>
      <c r="EG61" s="58" t="str">
        <f t="shared" si="50"/>
        <v xml:space="preserve"> </v>
      </c>
      <c r="EI61" s="2" t="str">
        <f t="shared" si="51"/>
        <v xml:space="preserve"> </v>
      </c>
      <c r="EJ61" s="2" t="str">
        <f t="shared" si="52"/>
        <v xml:space="preserve"> </v>
      </c>
      <c r="EK61" s="2"/>
      <c r="EL61" s="2">
        <f t="array" ref="EL61:EM61">LINEST($AB61:$AH61,$AB$6:$AH$6,TRUE,FALSE)</f>
        <v>-7.1428571428577059E-2</v>
      </c>
      <c r="EM61" s="2">
        <v>1881</v>
      </c>
      <c r="EN61" s="58">
        <f t="shared" si="53"/>
        <v>-3.7979491074822588E-5</v>
      </c>
      <c r="EO61" s="2">
        <f t="array" ref="EO61:EP61">LINEST($AH61:$AO61,$AH$6:$AO$6,TRUE,FALSE)</f>
        <v>-37.880952380952387</v>
      </c>
      <c r="EP61" s="2">
        <v>2112</v>
      </c>
      <c r="EQ61" s="58">
        <f t="shared" si="54"/>
        <v>-2.209768259060953E-2</v>
      </c>
      <c r="ES61" s="3">
        <f t="shared" si="55"/>
        <v>12979.71938775508</v>
      </c>
      <c r="ET61" s="3">
        <f t="shared" si="92"/>
        <v>35775.020408163255</v>
      </c>
      <c r="EU61" s="3">
        <f t="shared" si="93"/>
        <v>17.760204081633201</v>
      </c>
      <c r="EV61" s="3">
        <f t="shared" si="94"/>
        <v>5433.7959183673565</v>
      </c>
      <c r="EW61" s="3">
        <f t="shared" si="95"/>
        <v>558.98469387754949</v>
      </c>
      <c r="EX61" s="3">
        <f t="shared" si="96"/>
        <v>111.75510204081358</v>
      </c>
      <c r="EY61" s="3">
        <f t="shared" si="97"/>
        <v>812.25</v>
      </c>
      <c r="EZ61" s="3">
        <f t="shared" si="56"/>
        <v>38006.430839002271</v>
      </c>
      <c r="FA61" s="3">
        <f t="shared" si="98"/>
        <v>780.00510204082354</v>
      </c>
      <c r="FB61" s="29">
        <f t="shared" si="99"/>
        <v>2895.4648526077144</v>
      </c>
      <c r="FC61" s="3">
        <f t="shared" si="100"/>
        <v>1575.3339002267539</v>
      </c>
      <c r="FD61" s="3">
        <f t="shared" si="101"/>
        <v>27083.75510204085</v>
      </c>
      <c r="FE61" s="3">
        <f t="shared" si="122"/>
        <v>4698.7760770975037</v>
      </c>
      <c r="FF61" s="3">
        <f t="shared" si="128"/>
        <v>7168.4444444444189</v>
      </c>
      <c r="FG61" s="29"/>
      <c r="FH61" s="3"/>
      <c r="FI61" s="3"/>
      <c r="FQ61" s="4">
        <f t="shared" si="129"/>
        <v>5.5644682099417635E-2</v>
      </c>
      <c r="FR61" s="160">
        <v>3.3000000000000002E-2</v>
      </c>
      <c r="FS61" s="161">
        <f t="shared" si="21"/>
        <v>0.5930485853264561</v>
      </c>
      <c r="FV61" s="4">
        <f t="shared" si="58"/>
        <v>4.7425725179189172E-2</v>
      </c>
      <c r="FW61" s="161">
        <f t="shared" si="59"/>
        <v>0.69582488987391788</v>
      </c>
    </row>
    <row r="62" spans="1:179" x14ac:dyDescent="0.3">
      <c r="A62" s="62">
        <f t="shared" si="109"/>
        <v>56</v>
      </c>
      <c r="B62" s="6">
        <v>57412</v>
      </c>
      <c r="C62" s="6" t="s">
        <v>205</v>
      </c>
      <c r="D62" s="6">
        <v>2011</v>
      </c>
      <c r="E62" s="6">
        <v>2010</v>
      </c>
      <c r="F62" s="6" t="s">
        <v>297</v>
      </c>
      <c r="G62" s="17" t="s">
        <v>636</v>
      </c>
      <c r="H62" s="17" t="s">
        <v>638</v>
      </c>
      <c r="I62" s="6" t="s">
        <v>35</v>
      </c>
      <c r="J62" s="17">
        <v>32</v>
      </c>
      <c r="K62" s="6" t="s">
        <v>83</v>
      </c>
      <c r="L62" s="12">
        <v>40.026000000000003</v>
      </c>
      <c r="M62" s="12">
        <v>-77.233999999999995</v>
      </c>
      <c r="N62" s="14">
        <v>3.2</v>
      </c>
      <c r="O62" s="6">
        <v>3</v>
      </c>
      <c r="P62" s="94">
        <f>365.25*4.5</f>
        <v>1643.625</v>
      </c>
      <c r="Q62" s="15" t="s">
        <v>567</v>
      </c>
      <c r="R62" s="14">
        <v>11.6</v>
      </c>
      <c r="S62" s="3">
        <f t="shared" si="23"/>
        <v>35.265500000000003</v>
      </c>
      <c r="T62" s="128" t="str">
        <f t="shared" si="24"/>
        <v>C</v>
      </c>
      <c r="U62" s="154">
        <v>1453</v>
      </c>
      <c r="V62" s="154">
        <v>681</v>
      </c>
      <c r="W62" s="156">
        <v>0.503</v>
      </c>
      <c r="X62" s="1">
        <f t="shared" si="63"/>
        <v>0.46868547832071578</v>
      </c>
      <c r="Y62" s="59">
        <f t="shared" si="25"/>
        <v>0</v>
      </c>
      <c r="Z62" s="1">
        <f t="shared" si="26"/>
        <v>1</v>
      </c>
      <c r="AA62" s="3">
        <f t="shared" si="64"/>
        <v>4311.7624853263533</v>
      </c>
      <c r="AB62" s="6">
        <v>4237</v>
      </c>
      <c r="AC62" s="6">
        <v>4485</v>
      </c>
      <c r="AD62" s="6">
        <v>4345</v>
      </c>
      <c r="AE62" s="6">
        <v>4234</v>
      </c>
      <c r="AF62" s="93">
        <v>4419</v>
      </c>
      <c r="AG62" s="6">
        <v>4185</v>
      </c>
      <c r="AH62" s="6">
        <v>4020</v>
      </c>
      <c r="AI62" s="6">
        <v>3760</v>
      </c>
      <c r="AJ62" s="6">
        <v>4102</v>
      </c>
      <c r="AK62" s="93">
        <v>4123</v>
      </c>
      <c r="AL62" s="6">
        <v>4130</v>
      </c>
      <c r="AM62" s="6">
        <v>4011</v>
      </c>
      <c r="AN62" s="6">
        <v>4205</v>
      </c>
      <c r="AO62" s="6">
        <v>4127</v>
      </c>
      <c r="AP62" s="23"/>
      <c r="AU62" s="23"/>
      <c r="AY62" s="32">
        <v>14</v>
      </c>
      <c r="AZ62" s="1">
        <f t="shared" si="27"/>
        <v>0.79287669893419366</v>
      </c>
      <c r="BA62" s="24">
        <f t="shared" si="104"/>
        <v>56</v>
      </c>
      <c r="BB62" s="2">
        <f t="shared" si="110"/>
        <v>0.9826608062060973</v>
      </c>
      <c r="BC62" s="2">
        <f t="shared" si="111"/>
        <v>1.0454049136013668</v>
      </c>
      <c r="BD62" s="2">
        <f t="shared" si="112"/>
        <v>1.0178617389282956</v>
      </c>
      <c r="BE62" s="2">
        <f t="shared" si="113"/>
        <v>0.9968430420508535</v>
      </c>
      <c r="BF62" s="20">
        <f t="shared" si="114"/>
        <v>1.0456271444190059</v>
      </c>
      <c r="BG62" s="2">
        <f t="shared" si="115"/>
        <v>0.99523405654512442</v>
      </c>
      <c r="BH62" s="2">
        <f t="shared" si="116"/>
        <v>0.96079943500330811</v>
      </c>
      <c r="BI62" s="2">
        <f t="shared" si="117"/>
        <v>0.90317404825431602</v>
      </c>
      <c r="BJ62" s="2">
        <f t="shared" si="118"/>
        <v>0.99027583287159304</v>
      </c>
      <c r="BK62" s="20">
        <f t="shared" si="119"/>
        <v>1.000347240573805</v>
      </c>
      <c r="BL62" s="2">
        <f t="shared" si="120"/>
        <v>1.0070810281262761</v>
      </c>
      <c r="BM62" s="2">
        <f t="shared" si="121"/>
        <v>0.98297833083443709</v>
      </c>
      <c r="BN62" s="2">
        <f t="shared" si="123"/>
        <v>1.0357005373811987</v>
      </c>
      <c r="BO62" s="2">
        <f t="shared" si="127"/>
        <v>1.0215969545162689</v>
      </c>
      <c r="BP62" s="23"/>
      <c r="BU62" s="23"/>
      <c r="BY62" s="25">
        <f t="shared" si="105"/>
        <v>56</v>
      </c>
      <c r="BZ62" s="3">
        <f t="shared" si="106"/>
        <v>58441.525747940592</v>
      </c>
      <c r="CA62" s="3">
        <f t="shared" si="124"/>
        <v>58383</v>
      </c>
      <c r="CB62" s="2">
        <f t="shared" si="125"/>
        <v>0.99899855886389732</v>
      </c>
      <c r="CC62" s="85">
        <f t="shared" si="32"/>
        <v>10</v>
      </c>
      <c r="CD62" s="3" t="str">
        <f t="shared" si="107"/>
        <v>Fixed</v>
      </c>
      <c r="CE62" s="69">
        <f t="shared" si="126"/>
        <v>-5.3785312872523606E-3</v>
      </c>
      <c r="CF62" s="2">
        <f t="array" ref="CF62:CG62">LINEST(AB62:AO62,AB$6:AO$6,TRUE,FALSE)</f>
        <v>-22.490109890109888</v>
      </c>
      <c r="CG62" s="2">
        <v>4338.8901098901097</v>
      </c>
      <c r="CH62" s="1">
        <f t="shared" si="34"/>
        <v>1.0247363120119288</v>
      </c>
      <c r="DC62" s="2">
        <f t="shared" si="36"/>
        <v>1.0666666666666667</v>
      </c>
      <c r="DD62">
        <f t="shared" si="108"/>
        <v>1</v>
      </c>
      <c r="DE62">
        <f t="shared" si="37"/>
        <v>15</v>
      </c>
      <c r="DT62">
        <f t="shared" si="38"/>
        <v>29925</v>
      </c>
      <c r="DU62" s="3">
        <f t="shared" si="39"/>
        <v>4311.7624853263533</v>
      </c>
      <c r="DV62" s="3">
        <f t="shared" si="40"/>
        <v>4290.2036728997218</v>
      </c>
      <c r="DW62" s="3">
        <f t="shared" si="41"/>
        <v>4268.752654535223</v>
      </c>
      <c r="DX62" s="3">
        <f t="shared" si="42"/>
        <v>4247.4088912625466</v>
      </c>
      <c r="DY62" s="3">
        <f t="shared" si="43"/>
        <v>4226.1718468062345</v>
      </c>
      <c r="DZ62" s="3">
        <f t="shared" si="44"/>
        <v>4205.0409875722034</v>
      </c>
      <c r="EA62" s="3">
        <f t="shared" si="45"/>
        <v>4184.015782634342</v>
      </c>
      <c r="EB62" s="2">
        <f t="shared" si="46"/>
        <v>1.0064454102286391</v>
      </c>
      <c r="ED62" s="2" t="str">
        <f t="shared" si="47"/>
        <v xml:space="preserve"> </v>
      </c>
      <c r="EE62" s="58" t="str">
        <f t="shared" si="48"/>
        <v xml:space="preserve"> </v>
      </c>
      <c r="EF62" s="2">
        <f t="shared" si="49"/>
        <v>0.99899855886389732</v>
      </c>
      <c r="EG62" s="58">
        <f t="shared" si="50"/>
        <v>-5.3785312872523606E-3</v>
      </c>
      <c r="EI62" s="2" t="str">
        <f t="shared" si="51"/>
        <v xml:space="preserve"> </v>
      </c>
      <c r="EJ62" s="2">
        <f t="shared" si="52"/>
        <v>1.0064454102286391</v>
      </c>
      <c r="EK62" s="2"/>
      <c r="EL62" s="2">
        <f t="array" ref="EL62:EM62">LINEST($AB62:$AH62,$AB$6:$AH$6,TRUE,FALSE)</f>
        <v>-42.035714285714278</v>
      </c>
      <c r="EM62" s="2">
        <v>4443.1428571428569</v>
      </c>
      <c r="EN62" s="58">
        <f t="shared" si="53"/>
        <v>-9.8329156223893044E-3</v>
      </c>
      <c r="EO62" s="2">
        <f t="array" ref="EO62:EP62">LINEST($AH62:$AO62,$AH$6:$AO$6,TRUE,FALSE)</f>
        <v>32.238095238095248</v>
      </c>
      <c r="EP62" s="2">
        <v>3721.25</v>
      </c>
      <c r="EQ62" s="58">
        <f t="shared" si="54"/>
        <v>7.9409065184051358E-3</v>
      </c>
      <c r="ES62" s="3">
        <f t="shared" si="55"/>
        <v>26931.154336734482</v>
      </c>
      <c r="ET62" s="3">
        <f t="shared" si="92"/>
        <v>15858.005102040848</v>
      </c>
      <c r="EU62" s="3">
        <f t="shared" si="93"/>
        <v>782.0012755102332</v>
      </c>
      <c r="EV62" s="3">
        <f t="shared" si="94"/>
        <v>1681</v>
      </c>
      <c r="EW62" s="3">
        <f t="shared" si="95"/>
        <v>34609.286989796063</v>
      </c>
      <c r="EX62" s="3">
        <f t="shared" si="96"/>
        <v>35.147959183675013</v>
      </c>
      <c r="EY62" s="3">
        <f t="shared" si="97"/>
        <v>16613.368622448914</v>
      </c>
      <c r="EZ62" s="3">
        <f t="shared" si="56"/>
        <v>48028.809665532892</v>
      </c>
      <c r="FA62" s="3">
        <f t="shared" si="98"/>
        <v>8209.6543367346585</v>
      </c>
      <c r="FB62" s="29">
        <f t="shared" si="99"/>
        <v>6299.4457199546623</v>
      </c>
      <c r="FC62" s="3">
        <f t="shared" si="100"/>
        <v>2930.1600056689249</v>
      </c>
      <c r="FD62" s="3">
        <f t="shared" si="101"/>
        <v>9429.7971938776009</v>
      </c>
      <c r="FE62" s="3">
        <f t="shared" si="122"/>
        <v>4180.2382369613952</v>
      </c>
      <c r="FF62" s="3">
        <f t="shared" si="128"/>
        <v>2077.8402777778329</v>
      </c>
      <c r="FG62" s="29"/>
      <c r="FH62" s="3"/>
      <c r="FI62" s="3"/>
      <c r="FQ62" s="4">
        <f t="shared" si="129"/>
        <v>2.7013425691157347E-2</v>
      </c>
      <c r="FR62" s="160">
        <v>3.4000000000000002E-2</v>
      </c>
      <c r="FS62" s="161">
        <f t="shared" si="21"/>
        <v>1.2586334065408691</v>
      </c>
      <c r="FV62" s="4">
        <f t="shared" si="58"/>
        <v>2.7466349270784778E-2</v>
      </c>
      <c r="FW62" s="161">
        <f t="shared" si="59"/>
        <v>1.2378783821905628</v>
      </c>
    </row>
    <row r="63" spans="1:179" x14ac:dyDescent="0.3">
      <c r="A63" s="62">
        <f t="shared" si="109"/>
        <v>57</v>
      </c>
      <c r="B63" s="6">
        <v>57381</v>
      </c>
      <c r="C63" s="6" t="s">
        <v>206</v>
      </c>
      <c r="D63" s="6">
        <v>2011</v>
      </c>
      <c r="E63" s="6">
        <v>2010</v>
      </c>
      <c r="F63" s="6" t="s">
        <v>248</v>
      </c>
      <c r="G63" s="17" t="s">
        <v>636</v>
      </c>
      <c r="H63" s="17" t="s">
        <v>638</v>
      </c>
      <c r="I63" s="6" t="s">
        <v>35</v>
      </c>
      <c r="J63" s="17">
        <v>20</v>
      </c>
      <c r="K63" s="6" t="s">
        <v>52</v>
      </c>
      <c r="L63" s="12">
        <v>40.619999999999997</v>
      </c>
      <c r="M63" s="12">
        <v>-74.214399999999998</v>
      </c>
      <c r="N63" s="14">
        <v>3.2</v>
      </c>
      <c r="O63" s="6">
        <v>2.7</v>
      </c>
      <c r="P63" s="94">
        <f>365.25*4.4</f>
        <v>1607.1000000000001</v>
      </c>
      <c r="Q63" s="15" t="s">
        <v>556</v>
      </c>
      <c r="R63" s="14">
        <v>12.7</v>
      </c>
      <c r="S63" s="3">
        <f t="shared" si="23"/>
        <v>36.094000000000001</v>
      </c>
      <c r="T63" s="128" t="str">
        <f t="shared" si="24"/>
        <v>C</v>
      </c>
      <c r="U63" s="154">
        <v>1412</v>
      </c>
      <c r="V63" s="154">
        <v>685</v>
      </c>
      <c r="W63" s="156">
        <v>0.49199999999999999</v>
      </c>
      <c r="X63" s="1">
        <f t="shared" si="63"/>
        <v>0.48512747875354106</v>
      </c>
      <c r="Y63" s="59">
        <f t="shared" si="25"/>
        <v>0</v>
      </c>
      <c r="Z63" s="1">
        <f t="shared" si="26"/>
        <v>1</v>
      </c>
      <c r="AA63" s="3">
        <f t="shared" si="64"/>
        <v>4202.3111619439915</v>
      </c>
      <c r="AB63" s="6">
        <v>3854</v>
      </c>
      <c r="AC63" s="6">
        <v>3894</v>
      </c>
      <c r="AD63" s="6">
        <v>2751</v>
      </c>
      <c r="AE63" s="6">
        <v>3800</v>
      </c>
      <c r="AF63" s="93">
        <v>3900</v>
      </c>
      <c r="AG63" s="6">
        <v>4158</v>
      </c>
      <c r="AH63" s="6">
        <v>3851</v>
      </c>
      <c r="AI63" s="6">
        <v>3873</v>
      </c>
      <c r="AJ63" s="6">
        <v>3797</v>
      </c>
      <c r="AK63" s="93">
        <v>4033</v>
      </c>
      <c r="AL63" s="6">
        <v>2872</v>
      </c>
      <c r="AM63" s="6">
        <v>3723</v>
      </c>
      <c r="AN63" s="6">
        <v>3773</v>
      </c>
      <c r="AO63" s="6">
        <v>4118</v>
      </c>
      <c r="AP63" s="23"/>
      <c r="AU63" s="23"/>
      <c r="AY63" s="32">
        <v>14</v>
      </c>
      <c r="AZ63" s="1">
        <f t="shared" si="27"/>
        <v>0.72775551792492243</v>
      </c>
      <c r="BA63" s="24">
        <f t="shared" si="104"/>
        <v>57</v>
      </c>
      <c r="BB63" s="2">
        <f t="shared" si="110"/>
        <v>0.91711438098675624</v>
      </c>
      <c r="BC63" s="2">
        <f t="shared" si="111"/>
        <v>0.9312893996611048</v>
      </c>
      <c r="BD63" s="2">
        <f t="shared" si="112"/>
        <v>0.66123559205057103</v>
      </c>
      <c r="BE63" s="2">
        <f t="shared" si="113"/>
        <v>0.9179650523764481</v>
      </c>
      <c r="BF63" s="20">
        <f t="shared" si="114"/>
        <v>0.9468563089839056</v>
      </c>
      <c r="BG63" s="2">
        <f t="shared" si="115"/>
        <v>1.0145673322394226</v>
      </c>
      <c r="BH63" s="2">
        <f t="shared" si="116"/>
        <v>0.94438010070893585</v>
      </c>
      <c r="BI63" s="2">
        <f t="shared" si="117"/>
        <v>0.9545478965969052</v>
      </c>
      <c r="BJ63" s="2">
        <f t="shared" si="118"/>
        <v>0.94051937025132093</v>
      </c>
      <c r="BK63" s="20">
        <f t="shared" si="119"/>
        <v>1.0039967073247664</v>
      </c>
      <c r="BL63" s="2">
        <f t="shared" si="120"/>
        <v>0.71856394380449962</v>
      </c>
      <c r="BM63" s="2">
        <f t="shared" si="121"/>
        <v>0.93616185481171599</v>
      </c>
      <c r="BN63" s="2">
        <f t="shared" si="123"/>
        <v>0.95350204641380532</v>
      </c>
      <c r="BO63" s="2">
        <f t="shared" si="127"/>
        <v>1.0459190804624898</v>
      </c>
      <c r="BP63" s="23"/>
      <c r="BU63" s="23"/>
      <c r="BY63" s="25">
        <f t="shared" si="105"/>
        <v>57</v>
      </c>
      <c r="BZ63" s="3">
        <f t="shared" si="106"/>
        <v>56958.025124850887</v>
      </c>
      <c r="CA63" s="3">
        <f t="shared" si="124"/>
        <v>52397</v>
      </c>
      <c r="CB63" s="2">
        <f t="shared" si="125"/>
        <v>0.91992304657942037</v>
      </c>
      <c r="CC63" s="85">
        <f t="shared" si="32"/>
        <v>31</v>
      </c>
      <c r="CD63" s="3" t="str">
        <f t="shared" si="107"/>
        <v>Fixed</v>
      </c>
      <c r="CE63" s="69">
        <f t="shared" si="126"/>
        <v>2.3263826014566203E-3</v>
      </c>
      <c r="CF63" s="2">
        <f t="array" ref="CF63:CG63">LINEST(AB63:AO63,AB$6:AO$6,TRUE,FALSE)</f>
        <v>8.6967032967032978</v>
      </c>
      <c r="CG63" s="2">
        <v>3677.4175824175827</v>
      </c>
      <c r="CH63" s="1">
        <f t="shared" si="34"/>
        <v>1.021422312011929</v>
      </c>
      <c r="DC63" s="2">
        <f t="shared" si="36"/>
        <v>1.1851851851851851</v>
      </c>
      <c r="DD63">
        <f t="shared" si="108"/>
        <v>1</v>
      </c>
      <c r="DE63">
        <f t="shared" si="37"/>
        <v>15</v>
      </c>
      <c r="DT63">
        <f t="shared" si="38"/>
        <v>26208</v>
      </c>
      <c r="DU63" s="3">
        <f t="shared" si="39"/>
        <v>4202.3111619439915</v>
      </c>
      <c r="DV63" s="3">
        <f t="shared" si="40"/>
        <v>4181.2996061342719</v>
      </c>
      <c r="DW63" s="3">
        <f t="shared" si="41"/>
        <v>4160.3931081036008</v>
      </c>
      <c r="DX63" s="3">
        <f t="shared" si="42"/>
        <v>4139.591142563082</v>
      </c>
      <c r="DY63" s="3">
        <f t="shared" si="43"/>
        <v>4118.8931868502668</v>
      </c>
      <c r="DZ63" s="3">
        <f t="shared" si="44"/>
        <v>4098.2987209160156</v>
      </c>
      <c r="EA63" s="3">
        <f t="shared" si="45"/>
        <v>4077.8072273114358</v>
      </c>
      <c r="EB63" s="2">
        <f t="shared" si="46"/>
        <v>0.90439169895144189</v>
      </c>
      <c r="ED63" s="2" t="str">
        <f t="shared" si="47"/>
        <v xml:space="preserve"> </v>
      </c>
      <c r="EE63" s="58" t="str">
        <f t="shared" si="48"/>
        <v xml:space="preserve"> </v>
      </c>
      <c r="EF63" s="2">
        <f t="shared" si="49"/>
        <v>0.91992304657942037</v>
      </c>
      <c r="EG63" s="58">
        <f t="shared" si="50"/>
        <v>2.3263826014566203E-3</v>
      </c>
      <c r="EI63" s="2" t="str">
        <f t="shared" si="51"/>
        <v xml:space="preserve"> </v>
      </c>
      <c r="EJ63" s="2">
        <f t="shared" si="52"/>
        <v>0.90439169895144189</v>
      </c>
      <c r="EK63" s="2"/>
      <c r="EL63" s="2">
        <f t="array" ref="EL63:EM63">LINEST($AB63:$AH63,$AB$6:$AH$6,TRUE,FALSE)</f>
        <v>59.571428571428555</v>
      </c>
      <c r="EM63" s="2">
        <v>3505.7142857142858</v>
      </c>
      <c r="EN63" s="58">
        <f t="shared" si="53"/>
        <v>1.5911172161172157E-2</v>
      </c>
      <c r="EO63" s="2">
        <f t="array" ref="EO63:EP63">LINEST($AH63:$AO63,$AH$6:$AO$6,TRUE,FALSE)</f>
        <v>-0.16666666666666438</v>
      </c>
      <c r="EP63" s="2">
        <v>3756.75</v>
      </c>
      <c r="EQ63" s="58">
        <f t="shared" si="54"/>
        <v>-4.4385264092320742E-5</v>
      </c>
      <c r="ES63" s="3">
        <f t="shared" si="55"/>
        <v>83355.938775510236</v>
      </c>
      <c r="ET63" s="3">
        <f t="shared" si="92"/>
        <v>72437.877551020269</v>
      </c>
      <c r="EU63" s="3">
        <f t="shared" si="93"/>
        <v>871288.8979591839</v>
      </c>
      <c r="EV63" s="3">
        <f t="shared" si="94"/>
        <v>3136</v>
      </c>
      <c r="EW63" s="3">
        <f t="shared" si="95"/>
        <v>9298.4693877551272</v>
      </c>
      <c r="EX63" s="3">
        <f t="shared" si="96"/>
        <v>86940.734693877705</v>
      </c>
      <c r="EY63" s="3">
        <f t="shared" si="97"/>
        <v>5142.9387755102134</v>
      </c>
      <c r="EZ63" s="3">
        <f t="shared" si="56"/>
        <v>13825.840277777814</v>
      </c>
      <c r="FA63" s="3">
        <f t="shared" si="98"/>
        <v>1743.0625</v>
      </c>
      <c r="FB63" s="29">
        <f t="shared" si="99"/>
        <v>77237.673611111022</v>
      </c>
      <c r="FC63" s="3">
        <f t="shared" si="100"/>
        <v>779541.84027777752</v>
      </c>
      <c r="FD63" s="3">
        <f t="shared" si="101"/>
        <v>1008.0625</v>
      </c>
      <c r="FE63" s="3">
        <f t="shared" si="122"/>
        <v>339.17361111110552</v>
      </c>
      <c r="FF63" s="3">
        <f t="shared" si="128"/>
        <v>132192.8402777779</v>
      </c>
      <c r="FG63" s="29"/>
      <c r="FH63" s="3"/>
      <c r="FI63" s="3"/>
      <c r="FQ63" s="4">
        <f t="shared" si="129"/>
        <v>0.10440218201288061</v>
      </c>
      <c r="FR63" s="160">
        <v>3.1E-2</v>
      </c>
      <c r="FS63" s="161">
        <f t="shared" si="21"/>
        <v>0.29692865994099027</v>
      </c>
      <c r="FV63" s="4">
        <f t="shared" si="58"/>
        <v>0.10738948849427167</v>
      </c>
      <c r="FW63" s="161">
        <f t="shared" si="59"/>
        <v>0.28866884864298048</v>
      </c>
    </row>
    <row r="64" spans="1:179" x14ac:dyDescent="0.3">
      <c r="A64" s="62">
        <f t="shared" si="109"/>
        <v>58</v>
      </c>
      <c r="B64" s="6">
        <v>57314</v>
      </c>
      <c r="C64" s="6" t="s">
        <v>207</v>
      </c>
      <c r="D64" s="6">
        <v>2012</v>
      </c>
      <c r="E64" s="6">
        <v>2010</v>
      </c>
      <c r="F64" s="6" t="s">
        <v>278</v>
      </c>
      <c r="G64" s="17" t="s">
        <v>636</v>
      </c>
      <c r="H64" s="17" t="s">
        <v>629</v>
      </c>
      <c r="I64" s="6" t="s">
        <v>35</v>
      </c>
      <c r="J64" s="17">
        <v>2</v>
      </c>
      <c r="K64" s="6" t="s">
        <v>24</v>
      </c>
      <c r="L64" s="12">
        <v>33.783000000000001</v>
      </c>
      <c r="M64" s="12">
        <v>-118.285</v>
      </c>
      <c r="N64" s="14">
        <v>2.5</v>
      </c>
      <c r="O64" s="6">
        <v>2.2000000000000002</v>
      </c>
      <c r="P64" s="94">
        <f>365.25*5*1.02</f>
        <v>1862.7750000000001</v>
      </c>
      <c r="Q64" s="15" t="s">
        <v>568</v>
      </c>
      <c r="R64" s="14">
        <v>17.899999999999999</v>
      </c>
      <c r="S64" s="3">
        <f t="shared" si="23"/>
        <v>43.194499999999998</v>
      </c>
      <c r="T64" s="128" t="str">
        <f t="shared" si="24"/>
        <v>M</v>
      </c>
      <c r="U64" s="154">
        <v>1818</v>
      </c>
      <c r="V64" s="154">
        <v>665</v>
      </c>
      <c r="W64" s="156">
        <v>0.58499999999999996</v>
      </c>
      <c r="X64" s="1">
        <f t="shared" si="63"/>
        <v>0.36578657865786579</v>
      </c>
      <c r="Y64" s="59">
        <f t="shared" si="25"/>
        <v>0</v>
      </c>
      <c r="Z64" s="1">
        <f t="shared" si="26"/>
        <v>1</v>
      </c>
      <c r="AA64" s="3">
        <f t="shared" si="64"/>
        <v>3699.5468234160421</v>
      </c>
      <c r="AB64" s="6">
        <v>3363</v>
      </c>
      <c r="AC64" s="6">
        <v>3305</v>
      </c>
      <c r="AD64" s="6">
        <v>3096</v>
      </c>
      <c r="AE64" s="6">
        <v>3168</v>
      </c>
      <c r="AF64" s="93">
        <v>2555</v>
      </c>
      <c r="AG64" s="6">
        <v>2747</v>
      </c>
      <c r="AH64" s="6">
        <v>2794</v>
      </c>
      <c r="AI64" s="6">
        <v>0</v>
      </c>
      <c r="AJ64" s="6">
        <v>2709</v>
      </c>
      <c r="AK64" s="93">
        <v>3204</v>
      </c>
      <c r="AL64" s="6">
        <v>3104</v>
      </c>
      <c r="AM64" s="6">
        <v>2259</v>
      </c>
      <c r="AN64" s="6">
        <v>2500</v>
      </c>
      <c r="AP64" s="23"/>
      <c r="AU64" s="23"/>
      <c r="AY64" s="32">
        <v>13</v>
      </c>
      <c r="AZ64" s="1">
        <f t="shared" si="27"/>
        <v>0.57489085246060723</v>
      </c>
      <c r="BA64" s="24">
        <f t="shared" si="104"/>
        <v>58</v>
      </c>
      <c r="BB64" s="2">
        <f t="shared" si="110"/>
        <v>0.90903025708827612</v>
      </c>
      <c r="BC64" s="2">
        <f t="shared" si="111"/>
        <v>0.89784187057103915</v>
      </c>
      <c r="BD64" s="2">
        <f t="shared" si="112"/>
        <v>0.84529103346929413</v>
      </c>
      <c r="BE64" s="2">
        <f t="shared" si="113"/>
        <v>0.86929544168865125</v>
      </c>
      <c r="BF64" s="20">
        <f t="shared" si="114"/>
        <v>0.70461202905769504</v>
      </c>
      <c r="BG64" s="2">
        <f t="shared" si="115"/>
        <v>0.76136818881943491</v>
      </c>
      <c r="BH64" s="2">
        <f t="shared" si="116"/>
        <v>0.77828630577770586</v>
      </c>
      <c r="BI64" s="2">
        <f t="shared" si="117"/>
        <v>0</v>
      </c>
      <c r="BJ64" s="2">
        <f t="shared" si="118"/>
        <v>0.76221208572396026</v>
      </c>
      <c r="BK64" s="20">
        <f t="shared" si="119"/>
        <v>0.90601680334472989</v>
      </c>
      <c r="BL64" s="2">
        <f t="shared" si="120"/>
        <v>0.88214987471127204</v>
      </c>
      <c r="BM64" s="2">
        <f t="shared" si="121"/>
        <v>0.64522890450084303</v>
      </c>
      <c r="BN64" s="2">
        <f t="shared" si="123"/>
        <v>0.71765301107223034</v>
      </c>
      <c r="BP64" s="23"/>
      <c r="BU64" s="23"/>
      <c r="BY64" s="25">
        <f t="shared" si="105"/>
        <v>58</v>
      </c>
      <c r="BZ64" s="3">
        <f t="shared" si="106"/>
        <v>46677.409512149221</v>
      </c>
      <c r="CA64" s="3">
        <f t="shared" si="124"/>
        <v>34804</v>
      </c>
      <c r="CB64" s="2">
        <f t="shared" si="125"/>
        <v>0.74562835349594958</v>
      </c>
      <c r="CC64" s="85">
        <f t="shared" si="32"/>
        <v>79</v>
      </c>
      <c r="CD64" s="3" t="str">
        <f t="shared" si="107"/>
        <v>Fixed</v>
      </c>
      <c r="CE64" s="69">
        <f t="shared" si="126"/>
        <v>-2.5743021558539702E-2</v>
      </c>
      <c r="CF64" s="2">
        <f t="array" ref="CF64:CG64">LINEST(AB64:AN64,AB$6:AN$6,TRUE,FALSE)</f>
        <v>-69.818681318681328</v>
      </c>
      <c r="CG64" s="2">
        <v>3165.9615384615381</v>
      </c>
      <c r="CH64" s="1">
        <f t="shared" si="34"/>
        <v>0.99302031201192897</v>
      </c>
      <c r="DC64" s="2">
        <f t="shared" si="36"/>
        <v>1.1363636363636362</v>
      </c>
      <c r="DD64">
        <f t="shared" si="108"/>
        <v>2</v>
      </c>
      <c r="DE64">
        <f t="shared" si="37"/>
        <v>15</v>
      </c>
      <c r="DT64">
        <f t="shared" si="38"/>
        <v>21028</v>
      </c>
      <c r="DU64" s="3">
        <f t="shared" si="39"/>
        <v>3699.5468234160421</v>
      </c>
      <c r="DV64" s="3">
        <f t="shared" si="40"/>
        <v>3681.0490892989619</v>
      </c>
      <c r="DW64" s="3">
        <f t="shared" si="41"/>
        <v>3662.6438438524674</v>
      </c>
      <c r="DX64" s="3">
        <f t="shared" si="42"/>
        <v>3644.3306246332049</v>
      </c>
      <c r="DY64" s="3">
        <f t="shared" si="43"/>
        <v>3626.1089715100384</v>
      </c>
      <c r="DZ64" s="3">
        <f t="shared" si="44"/>
        <v>3607.9784266524889</v>
      </c>
      <c r="EA64" s="3">
        <f t="shared" si="45"/>
        <v>3589.9385345192263</v>
      </c>
      <c r="EB64" s="2">
        <f t="shared" si="46"/>
        <v>0.82425261599790101</v>
      </c>
      <c r="ED64" s="2" t="str">
        <f t="shared" si="47"/>
        <v xml:space="preserve"> </v>
      </c>
      <c r="EE64" s="58" t="str">
        <f t="shared" si="48"/>
        <v xml:space="preserve"> </v>
      </c>
      <c r="EF64" s="2" t="str">
        <f t="shared" si="49"/>
        <v xml:space="preserve"> </v>
      </c>
      <c r="EG64" s="58" t="str">
        <f t="shared" si="50"/>
        <v xml:space="preserve"> </v>
      </c>
      <c r="EI64" s="2" t="str">
        <f t="shared" si="51"/>
        <v xml:space="preserve"> </v>
      </c>
      <c r="EJ64" s="2" t="str">
        <f t="shared" si="52"/>
        <v xml:space="preserve"> </v>
      </c>
      <c r="EK64" s="2"/>
      <c r="EL64" s="2">
        <f t="array" ref="EL64:EM64">LINEST($AB64:$AH64,$AB$6:$AH$6,TRUE,FALSE)</f>
        <v>-120.14285714285711</v>
      </c>
      <c r="EM64" s="2">
        <v>3484.5714285714284</v>
      </c>
      <c r="EN64" s="58">
        <f t="shared" si="53"/>
        <v>-3.9994293323188122E-2</v>
      </c>
      <c r="EO64" s="2">
        <f t="array" ref="EO64:EP64">LINEST($AH64:$AN64,$AH$6:$AN$6,TRUE,FALSE)</f>
        <v>143.96428571428581</v>
      </c>
      <c r="EP64" s="2">
        <v>927.49999999999932</v>
      </c>
      <c r="EQ64" s="58">
        <f t="shared" si="54"/>
        <v>6.0817742908871486E-2</v>
      </c>
      <c r="ES64" s="3">
        <f t="shared" si="55"/>
        <v>2.0408163265309835</v>
      </c>
      <c r="ET64" s="3">
        <f t="shared" si="92"/>
        <v>3686.2244897959263</v>
      </c>
      <c r="EU64" s="3">
        <f t="shared" si="93"/>
        <v>792.02040816325064</v>
      </c>
      <c r="EV64" s="3">
        <f t="shared" si="94"/>
        <v>26896</v>
      </c>
      <c r="EW64" s="3">
        <f t="shared" si="95"/>
        <v>108147.02040816343</v>
      </c>
      <c r="EX64" s="3">
        <f t="shared" si="96"/>
        <v>279.3673469387777</v>
      </c>
      <c r="EY64" s="3">
        <f t="shared" si="97"/>
        <v>22628.755102040854</v>
      </c>
      <c r="EZ64" s="3">
        <f t="shared" si="56"/>
        <v>4323132.0459183678</v>
      </c>
      <c r="FA64" s="3">
        <f t="shared" si="98"/>
        <v>236022.46045918355</v>
      </c>
      <c r="FB64" s="29">
        <f t="shared" si="99"/>
        <v>700329.87755102012</v>
      </c>
      <c r="FC64" s="3">
        <f t="shared" si="100"/>
        <v>351521.94005102012</v>
      </c>
      <c r="FD64" s="3">
        <f t="shared" si="101"/>
        <v>156872.57653061286</v>
      </c>
      <c r="FE64" s="3">
        <f t="shared" si="122"/>
        <v>89422.358418367585</v>
      </c>
      <c r="FF64" s="3"/>
      <c r="FG64" s="29"/>
      <c r="FH64" s="3"/>
      <c r="FI64" s="3"/>
      <c r="FQ64" s="4">
        <f>SQRT(AVERAGE(ES64:FE64))/AVERAGE(AB64:AN64)</f>
        <v>0.254173997530805</v>
      </c>
      <c r="FR64" s="160">
        <v>2.4E-2</v>
      </c>
      <c r="FS64" s="161">
        <f t="shared" si="21"/>
        <v>9.4423506075169181E-2</v>
      </c>
      <c r="FV64" s="4">
        <f t="shared" si="58"/>
        <v>5.0709121132302429E-2</v>
      </c>
      <c r="FW64" s="161">
        <f t="shared" si="59"/>
        <v>0.47328763473109497</v>
      </c>
    </row>
    <row r="65" spans="1:179" x14ac:dyDescent="0.3">
      <c r="A65" s="62">
        <f t="shared" si="109"/>
        <v>59</v>
      </c>
      <c r="B65" s="6">
        <v>57313</v>
      </c>
      <c r="C65" s="6" t="s">
        <v>209</v>
      </c>
      <c r="D65" s="6">
        <v>2011</v>
      </c>
      <c r="E65" s="6">
        <v>2011</v>
      </c>
      <c r="F65" s="6" t="s">
        <v>278</v>
      </c>
      <c r="G65" s="17" t="s">
        <v>636</v>
      </c>
      <c r="H65" s="17" t="s">
        <v>638</v>
      </c>
      <c r="I65" s="6" t="s">
        <v>35</v>
      </c>
      <c r="J65" s="17">
        <v>5</v>
      </c>
      <c r="K65" s="6" t="s">
        <v>24</v>
      </c>
      <c r="L65" s="12">
        <v>34.058</v>
      </c>
      <c r="M65" s="12">
        <v>-118.23</v>
      </c>
      <c r="N65" s="14">
        <v>1.2</v>
      </c>
      <c r="O65" s="6">
        <v>1.1000000000000001</v>
      </c>
      <c r="P65" s="94">
        <f>365.25*(4.9+(5.2-4.9)*0.5)</f>
        <v>1844.5125000000003</v>
      </c>
      <c r="Q65" s="15" t="s">
        <v>560</v>
      </c>
      <c r="R65" s="14">
        <v>17.2</v>
      </c>
      <c r="S65" s="3">
        <f t="shared" si="23"/>
        <v>42.358750000000001</v>
      </c>
      <c r="T65" s="128" t="str">
        <f t="shared" si="24"/>
        <v>M</v>
      </c>
      <c r="U65" s="154">
        <v>1818</v>
      </c>
      <c r="V65" s="154">
        <v>676</v>
      </c>
      <c r="W65" s="156">
        <v>0.58599999999999997</v>
      </c>
      <c r="X65" s="1">
        <f t="shared" si="63"/>
        <v>0.37183718371837182</v>
      </c>
      <c r="Y65" s="59">
        <f t="shared" si="25"/>
        <v>0</v>
      </c>
      <c r="Z65" s="1">
        <f t="shared" si="26"/>
        <v>1</v>
      </c>
      <c r="AA65" s="3">
        <f t="shared" si="64"/>
        <v>1764.2924002055074</v>
      </c>
      <c r="AB65" s="6">
        <v>1471</v>
      </c>
      <c r="AC65" s="6">
        <v>1330</v>
      </c>
      <c r="AD65" s="6">
        <v>1325</v>
      </c>
      <c r="AE65" s="6">
        <v>1667</v>
      </c>
      <c r="AF65" s="93">
        <v>1638</v>
      </c>
      <c r="AG65" s="6">
        <v>1576</v>
      </c>
      <c r="AH65" s="6">
        <v>1469</v>
      </c>
      <c r="AI65" s="6">
        <v>1489</v>
      </c>
      <c r="AJ65" s="6">
        <v>1089</v>
      </c>
      <c r="AK65" s="93">
        <v>1125</v>
      </c>
      <c r="AL65" s="6">
        <v>1</v>
      </c>
      <c r="AM65" s="6">
        <v>1173</v>
      </c>
      <c r="AN65" s="6">
        <v>479</v>
      </c>
      <c r="AO65" s="6">
        <v>101</v>
      </c>
      <c r="AP65" s="23"/>
      <c r="AU65" s="23"/>
      <c r="AY65" s="32">
        <v>14</v>
      </c>
      <c r="AZ65" s="1">
        <f t="shared" si="27"/>
        <v>0.5141699268196106</v>
      </c>
      <c r="BA65" s="24">
        <f t="shared" si="104"/>
        <v>59</v>
      </c>
      <c r="BB65" s="2">
        <f t="shared" si="110"/>
        <v>0.8337620225698732</v>
      </c>
      <c r="BC65" s="2">
        <f t="shared" si="111"/>
        <v>0.75763145436081247</v>
      </c>
      <c r="BD65" s="2">
        <f t="shared" si="112"/>
        <v>0.75857609629204403</v>
      </c>
      <c r="BE65" s="2">
        <f t="shared" si="113"/>
        <v>0.95917045796441625</v>
      </c>
      <c r="BF65" s="20">
        <f t="shared" si="114"/>
        <v>0.94722033089606028</v>
      </c>
      <c r="BG65" s="2">
        <f t="shared" si="115"/>
        <v>0.91594679225933762</v>
      </c>
      <c r="BH65" s="2">
        <f t="shared" si="116"/>
        <v>0.85805030088830381</v>
      </c>
      <c r="BI65" s="2">
        <f t="shared" si="117"/>
        <v>0.8741029162303583</v>
      </c>
      <c r="BJ65" s="2">
        <f t="shared" si="118"/>
        <v>0.64249931711941866</v>
      </c>
      <c r="BK65" s="20">
        <f t="shared" si="119"/>
        <v>0.66707433564456442</v>
      </c>
      <c r="BL65" s="2">
        <f t="shared" si="120"/>
        <v>5.9593463820843261E-4</v>
      </c>
      <c r="BM65" s="2">
        <f t="shared" si="121"/>
        <v>0.70254405087285587</v>
      </c>
      <c r="BN65" s="2">
        <f t="shared" si="123"/>
        <v>0.2883287711945044</v>
      </c>
      <c r="BO65" s="2">
        <f t="shared" ref="BO65:BO76" si="130">IF(ISNUMBER(AO65),MIN(1.15,AO65/($AA65*(1-$K$3)^(BO$6-1))),"")</f>
        <v>6.1101343650706449E-2</v>
      </c>
      <c r="BP65" s="23"/>
      <c r="BU65" s="23"/>
      <c r="BY65" s="25">
        <f t="shared" si="105"/>
        <v>59</v>
      </c>
      <c r="BZ65" s="3">
        <f t="shared" si="106"/>
        <v>23913.177055647102</v>
      </c>
      <c r="CA65" s="3">
        <f t="shared" si="124"/>
        <v>15933</v>
      </c>
      <c r="CB65" s="2">
        <f t="shared" si="125"/>
        <v>0.6662853690633892</v>
      </c>
      <c r="CC65" s="85">
        <f t="shared" si="32"/>
        <v>91</v>
      </c>
      <c r="CD65" s="3" t="str">
        <f t="shared" si="107"/>
        <v>Fixed</v>
      </c>
      <c r="CE65" s="69">
        <f t="shared" si="126"/>
        <v>-8.1876034864036926E-2</v>
      </c>
      <c r="CF65" s="2">
        <f t="array" ref="CF65:CG65">LINEST(AB65:AO65,AB$6:AO$6,TRUE,FALSE)</f>
        <v>-97.158241758241772</v>
      </c>
      <c r="CG65" s="2">
        <v>1866.7582417582421</v>
      </c>
      <c r="CH65" s="1">
        <f t="shared" si="34"/>
        <v>0.99636331201192896</v>
      </c>
      <c r="DC65" s="2">
        <f t="shared" si="36"/>
        <v>1.0909090909090908</v>
      </c>
      <c r="DD65">
        <f t="shared" si="108"/>
        <v>0</v>
      </c>
      <c r="DE65">
        <f t="shared" si="37"/>
        <v>14</v>
      </c>
      <c r="DT65">
        <f t="shared" si="38"/>
        <v>10476</v>
      </c>
      <c r="DU65" s="3">
        <f t="shared" si="39"/>
        <v>1764.2924002055074</v>
      </c>
      <c r="DV65" s="3">
        <f t="shared" si="40"/>
        <v>1755.4709382044798</v>
      </c>
      <c r="DW65" s="3">
        <f t="shared" si="41"/>
        <v>1746.6935835134575</v>
      </c>
      <c r="DX65" s="3">
        <f t="shared" si="42"/>
        <v>1737.9601155958903</v>
      </c>
      <c r="DY65" s="3">
        <f t="shared" si="43"/>
        <v>1729.2703150179109</v>
      </c>
      <c r="DZ65" s="3">
        <f t="shared" si="44"/>
        <v>1720.6239634428214</v>
      </c>
      <c r="EA65" s="3">
        <f t="shared" si="45"/>
        <v>1712.0208436256073</v>
      </c>
      <c r="EB65" s="2">
        <f t="shared" si="46"/>
        <v>0.86106476977359947</v>
      </c>
      <c r="ED65" s="2" t="str">
        <f t="shared" si="47"/>
        <v xml:space="preserve"> </v>
      </c>
      <c r="EE65" s="58" t="str">
        <f t="shared" si="48"/>
        <v xml:space="preserve"> </v>
      </c>
      <c r="EF65" s="2" t="str">
        <f t="shared" si="49"/>
        <v xml:space="preserve"> </v>
      </c>
      <c r="EG65" s="58" t="str">
        <f t="shared" si="50"/>
        <v xml:space="preserve"> </v>
      </c>
      <c r="EI65" s="2" t="str">
        <f t="shared" si="51"/>
        <v xml:space="preserve"> </v>
      </c>
      <c r="EJ65" s="2" t="str">
        <f t="shared" si="52"/>
        <v xml:space="preserve"> </v>
      </c>
      <c r="EK65" s="2"/>
      <c r="EL65" s="2">
        <f t="array" ref="EL65:EM65">LINEST($AB65:$AH65,$AB$6:$AH$6,TRUE,FALSE)</f>
        <v>28.535714285714278</v>
      </c>
      <c r="EM65" s="2">
        <v>1382.4285714285716</v>
      </c>
      <c r="EN65" s="58">
        <f t="shared" si="53"/>
        <v>1.9067392134402436E-2</v>
      </c>
      <c r="EO65" s="2">
        <f t="array" ref="EO65:EP65">LINEST($AH65:$AO65,$AH$6:$AO$6,TRUE,FALSE)</f>
        <v>-184.5</v>
      </c>
      <c r="EP65" s="2">
        <v>2803</v>
      </c>
      <c r="EQ65" s="58">
        <f t="shared" si="54"/>
        <v>-0.21311002021368755</v>
      </c>
      <c r="ES65" s="3">
        <f t="shared" si="55"/>
        <v>3604.2869897959104</v>
      </c>
      <c r="ET65" s="3">
        <f t="shared" si="92"/>
        <v>11990.25</v>
      </c>
      <c r="EU65" s="3">
        <f t="shared" si="93"/>
        <v>20459.215561224537</v>
      </c>
      <c r="EV65" s="3">
        <f t="shared" si="94"/>
        <v>29045.89795918364</v>
      </c>
      <c r="EW65" s="3">
        <f t="shared" si="95"/>
        <v>12744.797193877544</v>
      </c>
      <c r="EX65" s="3">
        <f t="shared" si="96"/>
        <v>499.84183673468516</v>
      </c>
      <c r="EY65" s="3">
        <f t="shared" si="97"/>
        <v>12809.389030612274</v>
      </c>
      <c r="EZ65" s="3">
        <f t="shared" si="56"/>
        <v>26244</v>
      </c>
      <c r="FA65" s="3">
        <f t="shared" si="98"/>
        <v>2862.25</v>
      </c>
      <c r="FB65" s="29">
        <f t="shared" si="99"/>
        <v>27889</v>
      </c>
      <c r="FC65" s="3">
        <f t="shared" si="100"/>
        <v>596756.25</v>
      </c>
      <c r="FD65" s="3">
        <f t="shared" si="101"/>
        <v>341056</v>
      </c>
      <c r="FE65" s="3">
        <f t="shared" si="122"/>
        <v>5550.25</v>
      </c>
      <c r="FF65" s="3">
        <f t="shared" ref="FF65:FF76" si="131">($EP65+$EO65*FF$6-AO65)^2</f>
        <v>14161</v>
      </c>
      <c r="FG65" s="29"/>
      <c r="FH65" s="3"/>
      <c r="FI65" s="3"/>
      <c r="FQ65" s="4">
        <f>SQRT(AVERAGE(ES65:FF65))/AVERAGE(AB65:AO65)</f>
        <v>0.24693332352609274</v>
      </c>
      <c r="FR65" s="160">
        <v>2.3E-2</v>
      </c>
      <c r="FS65" s="161">
        <f t="shared" si="21"/>
        <v>9.3142552295375616E-2</v>
      </c>
      <c r="FV65" s="4">
        <f t="shared" si="58"/>
        <v>7.6250137304283261E-2</v>
      </c>
      <c r="FW65" s="161">
        <f t="shared" si="59"/>
        <v>0.30163880109771296</v>
      </c>
    </row>
    <row r="66" spans="1:179" x14ac:dyDescent="0.3">
      <c r="A66" s="62">
        <f t="shared" si="109"/>
        <v>60</v>
      </c>
      <c r="B66" s="6">
        <v>57270</v>
      </c>
      <c r="C66" s="6" t="s">
        <v>210</v>
      </c>
      <c r="D66" s="6">
        <v>2011</v>
      </c>
      <c r="E66" s="6">
        <v>2010</v>
      </c>
      <c r="F66" s="6" t="s">
        <v>248</v>
      </c>
      <c r="G66" s="17" t="s">
        <v>636</v>
      </c>
      <c r="H66" s="17" t="s">
        <v>638</v>
      </c>
      <c r="I66" s="6" t="s">
        <v>35</v>
      </c>
      <c r="J66" s="17">
        <v>2.4</v>
      </c>
      <c r="K66" s="6" t="s">
        <v>64</v>
      </c>
      <c r="L66" s="12">
        <v>42.104999999999997</v>
      </c>
      <c r="M66" s="12">
        <v>-71.702979999999997</v>
      </c>
      <c r="N66" s="14">
        <v>1</v>
      </c>
      <c r="O66" s="6">
        <v>1</v>
      </c>
      <c r="P66" s="94">
        <f>365.25*3.9*1.024</f>
        <v>1458.6623999999999</v>
      </c>
      <c r="Q66" s="15" t="s">
        <v>569</v>
      </c>
      <c r="R66" s="14">
        <v>8.1999999999999993</v>
      </c>
      <c r="S66" s="3">
        <f t="shared" si="23"/>
        <v>30.490623999999997</v>
      </c>
      <c r="T66" s="128" t="str">
        <f t="shared" si="24"/>
        <v>C</v>
      </c>
      <c r="U66" s="154">
        <v>1416.5</v>
      </c>
      <c r="V66" s="154">
        <v>693</v>
      </c>
      <c r="W66" s="156">
        <v>0.503</v>
      </c>
      <c r="X66" s="1">
        <f t="shared" si="63"/>
        <v>0.48923402753265088</v>
      </c>
      <c r="Y66" s="59">
        <f t="shared" si="25"/>
        <v>0</v>
      </c>
      <c r="Z66" s="1">
        <f t="shared" si="26"/>
        <v>1</v>
      </c>
      <c r="AA66" s="3">
        <f t="shared" si="64"/>
        <v>1218.0832452719351</v>
      </c>
      <c r="AB66" s="6">
        <v>1008</v>
      </c>
      <c r="AC66" s="6">
        <v>1054</v>
      </c>
      <c r="AD66" s="6">
        <v>990</v>
      </c>
      <c r="AE66" s="6">
        <v>1037</v>
      </c>
      <c r="AF66" s="93">
        <v>1031</v>
      </c>
      <c r="AG66" s="6">
        <v>1103</v>
      </c>
      <c r="AH66" s="6">
        <v>983</v>
      </c>
      <c r="AI66" s="6">
        <v>994</v>
      </c>
      <c r="AJ66" s="6">
        <v>1023</v>
      </c>
      <c r="AK66" s="93">
        <v>1094</v>
      </c>
      <c r="AL66" s="6">
        <v>999</v>
      </c>
      <c r="AM66" s="6">
        <v>1105</v>
      </c>
      <c r="AN66" s="6">
        <v>878</v>
      </c>
      <c r="AO66" s="6">
        <v>979</v>
      </c>
      <c r="AP66" s="23"/>
      <c r="AU66" s="23"/>
      <c r="AY66" s="32">
        <v>14</v>
      </c>
      <c r="AZ66" s="1">
        <f t="shared" si="27"/>
        <v>0.69917284688845271</v>
      </c>
      <c r="BA66" s="24">
        <f t="shared" si="104"/>
        <v>60</v>
      </c>
      <c r="BB66" s="2">
        <f t="shared" si="110"/>
        <v>0.82752964866121748</v>
      </c>
      <c r="BC66" s="2">
        <f t="shared" si="111"/>
        <v>0.86964210904614658</v>
      </c>
      <c r="BD66" s="2">
        <f t="shared" si="112"/>
        <v>0.8209412221979776</v>
      </c>
      <c r="BE66" s="2">
        <f t="shared" si="113"/>
        <v>0.86423638132003733</v>
      </c>
      <c r="BF66" s="20">
        <f t="shared" si="114"/>
        <v>0.86355374669001572</v>
      </c>
      <c r="BG66" s="2">
        <f t="shared" si="115"/>
        <v>0.92850263207315653</v>
      </c>
      <c r="BH66" s="2">
        <f t="shared" si="116"/>
        <v>0.83164515900254943</v>
      </c>
      <c r="BI66" s="2">
        <f t="shared" si="117"/>
        <v>0.84517734966647495</v>
      </c>
      <c r="BJ66" s="2">
        <f t="shared" si="118"/>
        <v>0.87420647372557336</v>
      </c>
      <c r="BK66" s="20">
        <f t="shared" si="119"/>
        <v>0.9395775379888468</v>
      </c>
      <c r="BL66" s="2">
        <f t="shared" si="120"/>
        <v>0.86229866007446543</v>
      </c>
      <c r="BM66" s="2">
        <f t="shared" si="121"/>
        <v>0.95858674693013057</v>
      </c>
      <c r="BN66" s="2">
        <f t="shared" si="123"/>
        <v>0.7654918609378607</v>
      </c>
      <c r="BO66" s="2">
        <f t="shared" si="130"/>
        <v>0.85783877457694591</v>
      </c>
      <c r="BP66" s="23"/>
      <c r="BU66" s="23"/>
      <c r="BY66" s="25">
        <f t="shared" si="105"/>
        <v>60</v>
      </c>
      <c r="BZ66" s="3">
        <f t="shared" si="106"/>
        <v>16509.871214834966</v>
      </c>
      <c r="CA66" s="3">
        <f t="shared" si="124"/>
        <v>14278</v>
      </c>
      <c r="CB66" s="2">
        <f t="shared" si="125"/>
        <v>0.86481595248123344</v>
      </c>
      <c r="CC66" s="85">
        <f t="shared" si="32"/>
        <v>52</v>
      </c>
      <c r="CD66" s="3" t="str">
        <f t="shared" si="107"/>
        <v>Fixed</v>
      </c>
      <c r="CE66" s="69">
        <f t="shared" si="126"/>
        <v>-3.1370760213785933E-3</v>
      </c>
      <c r="CF66" s="2">
        <f t="array" ref="CF66:CG66">LINEST(AB66:AO66,AB$6:AO$6,TRUE,FALSE)</f>
        <v>-3.2043956043956054</v>
      </c>
      <c r="CG66" s="2">
        <v>1043.8901098901099</v>
      </c>
      <c r="CH66" s="1">
        <f t="shared" si="34"/>
        <v>1.043835816011929</v>
      </c>
      <c r="DC66" s="2">
        <f t="shared" si="36"/>
        <v>1</v>
      </c>
      <c r="DD66">
        <f t="shared" si="108"/>
        <v>1</v>
      </c>
      <c r="DE66">
        <f t="shared" si="37"/>
        <v>15</v>
      </c>
      <c r="DT66">
        <f t="shared" si="38"/>
        <v>7206</v>
      </c>
      <c r="DU66" s="3">
        <f t="shared" si="39"/>
        <v>1218.0832452719351</v>
      </c>
      <c r="DV66" s="3">
        <f t="shared" si="40"/>
        <v>1211.9928290455755</v>
      </c>
      <c r="DW66" s="3">
        <f t="shared" si="41"/>
        <v>1205.9328649003476</v>
      </c>
      <c r="DX66" s="3">
        <f t="shared" si="42"/>
        <v>1199.9032005758459</v>
      </c>
      <c r="DY66" s="3">
        <f t="shared" si="43"/>
        <v>1193.9036845729665</v>
      </c>
      <c r="DZ66" s="3">
        <f t="shared" si="44"/>
        <v>1187.9341661501019</v>
      </c>
      <c r="EA66" s="3">
        <f t="shared" si="45"/>
        <v>1181.9944953193512</v>
      </c>
      <c r="EB66" s="2">
        <f t="shared" si="46"/>
        <v>0.85788323825218171</v>
      </c>
      <c r="ED66" s="2" t="str">
        <f t="shared" si="47"/>
        <v xml:space="preserve"> </v>
      </c>
      <c r="EE66" s="58" t="str">
        <f t="shared" si="48"/>
        <v xml:space="preserve"> </v>
      </c>
      <c r="EF66" s="2">
        <f t="shared" si="49"/>
        <v>0.86481595248123344</v>
      </c>
      <c r="EG66" s="58">
        <f t="shared" si="50"/>
        <v>-3.1370760213785933E-3</v>
      </c>
      <c r="EI66" s="2" t="str">
        <f t="shared" si="51"/>
        <v xml:space="preserve"> </v>
      </c>
      <c r="EJ66" s="2">
        <f t="shared" si="52"/>
        <v>0.85788323825218171</v>
      </c>
      <c r="EK66" s="2"/>
      <c r="EL66" s="2">
        <f t="array" ref="EL66:EM66">LINEST($AB66:$AH66,$AB$6:$AH$6,TRUE,FALSE)</f>
        <v>2.2857142857142856</v>
      </c>
      <c r="EM66" s="2">
        <v>1020.2857142857142</v>
      </c>
      <c r="EN66" s="58">
        <f t="shared" si="53"/>
        <v>2.2203719122953097E-3</v>
      </c>
      <c r="EO66" s="2">
        <f t="array" ref="EO66:EP66">LINEST($AH66:$AO66,$AH$6:$AO$6,TRUE,FALSE)</f>
        <v>-5.4404761904761898</v>
      </c>
      <c r="EP66" s="2">
        <v>1064</v>
      </c>
      <c r="EQ66" s="58">
        <f t="shared" si="54"/>
        <v>-5.4033283083562405E-3</v>
      </c>
      <c r="ES66" s="3">
        <f t="shared" si="55"/>
        <v>212.32653061224443</v>
      </c>
      <c r="ET66" s="3">
        <f t="shared" si="92"/>
        <v>849.3061224489777</v>
      </c>
      <c r="EU66" s="3">
        <f t="shared" si="93"/>
        <v>1379.5918367346915</v>
      </c>
      <c r="EV66" s="3">
        <f t="shared" si="94"/>
        <v>57.326530612246373</v>
      </c>
      <c r="EW66" s="3">
        <f t="shared" si="95"/>
        <v>0.51020408163242104</v>
      </c>
      <c r="EX66" s="3">
        <f t="shared" si="96"/>
        <v>4761</v>
      </c>
      <c r="EY66" s="3">
        <f t="shared" si="97"/>
        <v>2839.3673469387686</v>
      </c>
      <c r="EZ66" s="3">
        <f t="shared" si="56"/>
        <v>700.9886621315195</v>
      </c>
      <c r="FA66" s="3">
        <f t="shared" si="98"/>
        <v>63.429846938774737</v>
      </c>
      <c r="FB66" s="29">
        <f t="shared" si="99"/>
        <v>7124.1638321995497</v>
      </c>
      <c r="FC66" s="3">
        <f t="shared" si="100"/>
        <v>26.571570294784802</v>
      </c>
      <c r="FD66" s="3">
        <f t="shared" si="101"/>
        <v>11296.653061224475</v>
      </c>
      <c r="FE66" s="3">
        <f t="shared" si="122"/>
        <v>13288.051162131518</v>
      </c>
      <c r="FF66" s="3">
        <f t="shared" si="131"/>
        <v>78.027777777778454</v>
      </c>
      <c r="FG66" s="29"/>
      <c r="FH66" s="3"/>
      <c r="FI66" s="3"/>
      <c r="FQ66" s="4">
        <f>SQRT(AVERAGE(ES66:FF66))/AVERAGE(AB66:AO66)</f>
        <v>5.4137124170499956E-2</v>
      </c>
      <c r="FR66" s="160">
        <v>2.8000000000000001E-2</v>
      </c>
      <c r="FS66" s="161">
        <f t="shared" si="21"/>
        <v>0.51720516058105603</v>
      </c>
      <c r="FV66" s="4">
        <f t="shared" si="58"/>
        <v>3.6898028604722327E-2</v>
      </c>
      <c r="FW66" s="161">
        <f t="shared" si="59"/>
        <v>0.75884812979998806</v>
      </c>
    </row>
    <row r="67" spans="1:179" x14ac:dyDescent="0.3">
      <c r="A67" s="62">
        <f t="shared" si="109"/>
        <v>61</v>
      </c>
      <c r="B67" s="6">
        <v>57309</v>
      </c>
      <c r="C67" s="6" t="s">
        <v>211</v>
      </c>
      <c r="D67" s="6">
        <v>2011</v>
      </c>
      <c r="E67" s="6">
        <v>2011</v>
      </c>
      <c r="F67" s="6" t="s">
        <v>278</v>
      </c>
      <c r="G67" s="17" t="s">
        <v>636</v>
      </c>
      <c r="H67" s="17" t="s">
        <v>638</v>
      </c>
      <c r="I67" s="6" t="s">
        <v>35</v>
      </c>
      <c r="J67" s="17">
        <v>5</v>
      </c>
      <c r="K67" s="6" t="s">
        <v>24</v>
      </c>
      <c r="L67" s="12">
        <v>33.747</v>
      </c>
      <c r="M67" s="12">
        <v>-118.277</v>
      </c>
      <c r="N67" s="14">
        <v>1.079</v>
      </c>
      <c r="O67" s="6">
        <v>1</v>
      </c>
      <c r="P67" s="94">
        <f>365.25*(5+(5.25-5)*0.4)</f>
        <v>1862.7749999999999</v>
      </c>
      <c r="Q67" s="15" t="s">
        <v>568</v>
      </c>
      <c r="R67" s="14">
        <v>17.899999999999999</v>
      </c>
      <c r="S67" s="3">
        <f t="shared" si="23"/>
        <v>43.194499999999998</v>
      </c>
      <c r="T67" s="128" t="str">
        <f t="shared" si="24"/>
        <v>M</v>
      </c>
      <c r="U67" s="154">
        <v>1818</v>
      </c>
      <c r="V67" s="154">
        <v>665</v>
      </c>
      <c r="W67" s="156">
        <v>0.58499999999999996</v>
      </c>
      <c r="X67" s="1">
        <f t="shared" si="63"/>
        <v>0.36578657865786579</v>
      </c>
      <c r="Y67" s="59">
        <f t="shared" si="25"/>
        <v>0</v>
      </c>
      <c r="Z67" s="1">
        <f t="shared" si="26"/>
        <v>1</v>
      </c>
      <c r="AA67" s="3">
        <f t="shared" si="64"/>
        <v>1596.7244089863636</v>
      </c>
      <c r="AB67" s="6">
        <v>1621</v>
      </c>
      <c r="AC67" s="6">
        <v>1387</v>
      </c>
      <c r="AD67" s="6">
        <v>1605</v>
      </c>
      <c r="AE67" s="6">
        <v>1589</v>
      </c>
      <c r="AF67" s="93">
        <v>0</v>
      </c>
      <c r="AG67" s="6">
        <v>0</v>
      </c>
      <c r="AH67" s="6">
        <v>306</v>
      </c>
      <c r="AI67" s="6">
        <v>26</v>
      </c>
      <c r="AJ67" s="6">
        <v>0</v>
      </c>
      <c r="AK67" s="93">
        <v>408</v>
      </c>
      <c r="AL67" s="6">
        <v>547</v>
      </c>
      <c r="AM67" s="6">
        <v>0</v>
      </c>
      <c r="AN67" s="6">
        <v>0</v>
      </c>
      <c r="AO67" s="6">
        <v>0</v>
      </c>
      <c r="AP67" s="23"/>
      <c r="AU67" s="23"/>
      <c r="AY67" s="32">
        <v>14</v>
      </c>
      <c r="AZ67" s="1">
        <f t="shared" si="27"/>
        <v>0.26614232683588018</v>
      </c>
      <c r="BA67" s="24">
        <f t="shared" si="104"/>
        <v>61</v>
      </c>
      <c r="BB67" s="2">
        <f t="shared" si="110"/>
        <v>1.0152033693961295</v>
      </c>
      <c r="BC67" s="2">
        <f t="shared" si="111"/>
        <v>0.87301843787254074</v>
      </c>
      <c r="BD67" s="2">
        <f t="shared" si="112"/>
        <v>1.0153105779694638</v>
      </c>
      <c r="BE67" s="2">
        <f t="shared" si="113"/>
        <v>1.010240303319387</v>
      </c>
      <c r="BF67" s="20">
        <f t="shared" si="114"/>
        <v>0</v>
      </c>
      <c r="BG67" s="2">
        <f t="shared" si="115"/>
        <v>0</v>
      </c>
      <c r="BH67" s="2">
        <f t="shared" si="116"/>
        <v>0.19749357783093555</v>
      </c>
      <c r="BI67" s="2">
        <f t="shared" si="117"/>
        <v>1.6864824198128962E-2</v>
      </c>
      <c r="BJ67" s="2">
        <f t="shared" si="118"/>
        <v>0</v>
      </c>
      <c r="BK67" s="20">
        <f t="shared" si="119"/>
        <v>0.26731447235546174</v>
      </c>
      <c r="BL67" s="2">
        <f t="shared" si="120"/>
        <v>0.3601857729294452</v>
      </c>
      <c r="BM67" s="2">
        <f t="shared" si="121"/>
        <v>0</v>
      </c>
      <c r="BN67" s="2">
        <f t="shared" si="123"/>
        <v>0</v>
      </c>
      <c r="BO67" s="2">
        <f t="shared" si="130"/>
        <v>0</v>
      </c>
      <c r="BP67" s="23"/>
      <c r="BU67" s="23"/>
      <c r="BY67" s="25">
        <f t="shared" si="105"/>
        <v>61</v>
      </c>
      <c r="BZ67" s="3">
        <f t="shared" si="106"/>
        <v>21641.964504702737</v>
      </c>
      <c r="CA67" s="3">
        <f t="shared" si="124"/>
        <v>7489</v>
      </c>
      <c r="CB67" s="2">
        <f t="shared" si="125"/>
        <v>0.34604067474432193</v>
      </c>
      <c r="CC67" s="85">
        <f t="shared" si="32"/>
        <v>100</v>
      </c>
      <c r="CD67" s="3" t="str">
        <f t="shared" si="107"/>
        <v>Fixed</v>
      </c>
      <c r="CE67" s="69">
        <f t="shared" si="126"/>
        <v>-0.20736373445480893</v>
      </c>
      <c r="CF67" s="2">
        <f t="array" ref="CF67:CG67">LINEST(AB67:AO67,AB$6:AO$6,TRUE,FALSE)</f>
        <v>-123.75604395604395</v>
      </c>
      <c r="CG67" s="2">
        <v>1463.098901098901</v>
      </c>
      <c r="CH67" s="1">
        <f t="shared" si="34"/>
        <v>0.99302031201192897</v>
      </c>
      <c r="DC67" s="2">
        <f t="shared" si="36"/>
        <v>1.079</v>
      </c>
      <c r="DD67">
        <f t="shared" si="108"/>
        <v>0</v>
      </c>
      <c r="DE67">
        <f t="shared" si="37"/>
        <v>14</v>
      </c>
      <c r="DT67">
        <f t="shared" si="38"/>
        <v>6508</v>
      </c>
      <c r="DU67" s="3">
        <f t="shared" si="39"/>
        <v>1596.7244089863636</v>
      </c>
      <c r="DV67" s="3">
        <f t="shared" si="40"/>
        <v>1588.7407869414319</v>
      </c>
      <c r="DW67" s="3">
        <f t="shared" si="41"/>
        <v>1580.7970830067247</v>
      </c>
      <c r="DX67" s="3">
        <f t="shared" si="42"/>
        <v>1572.893097591691</v>
      </c>
      <c r="DY67" s="3">
        <f t="shared" si="43"/>
        <v>1596.7244089863636</v>
      </c>
      <c r="DZ67" s="3">
        <f t="shared" si="44"/>
        <v>1596.7244089863636</v>
      </c>
      <c r="EA67" s="3">
        <f t="shared" si="45"/>
        <v>1549.4174714984981</v>
      </c>
      <c r="EB67" s="2">
        <f t="shared" si="46"/>
        <v>0.58725746945327306</v>
      </c>
      <c r="ED67" s="2" t="str">
        <f t="shared" si="47"/>
        <v xml:space="preserve"> </v>
      </c>
      <c r="EE67" s="58" t="str">
        <f t="shared" si="48"/>
        <v xml:space="preserve"> </v>
      </c>
      <c r="EF67" s="2" t="str">
        <f t="shared" si="49"/>
        <v xml:space="preserve"> </v>
      </c>
      <c r="EG67" s="58" t="str">
        <f t="shared" si="50"/>
        <v xml:space="preserve"> </v>
      </c>
      <c r="EI67" s="2" t="str">
        <f t="shared" si="51"/>
        <v xml:space="preserve"> </v>
      </c>
      <c r="EJ67" s="2" t="str">
        <f t="shared" si="52"/>
        <v xml:space="preserve"> </v>
      </c>
      <c r="EK67" s="2"/>
      <c r="EL67" s="2">
        <f t="array" ref="EL67:EM67">LINEST($AB67:$AH67,$AB$6:$AH$6,TRUE,FALSE)</f>
        <v>-297.28571428571433</v>
      </c>
      <c r="EM67" s="2">
        <v>2118.8571428571431</v>
      </c>
      <c r="EN67" s="58">
        <f t="shared" si="53"/>
        <v>-0.31976029502151204</v>
      </c>
      <c r="EO67" s="2">
        <f t="array" ref="EO67:EP67">LINEST($AH67:$AO67,$AH$6:$AO$6,TRUE,FALSE)</f>
        <v>-25.392857142857146</v>
      </c>
      <c r="EP67" s="2">
        <v>427.50000000000006</v>
      </c>
      <c r="EQ67" s="58">
        <f t="shared" si="54"/>
        <v>-0.15784215784215785</v>
      </c>
      <c r="ES67" s="3">
        <f t="shared" si="55"/>
        <v>40228.897959183807</v>
      </c>
      <c r="ET67" s="3">
        <f t="shared" si="92"/>
        <v>18847.36734693882</v>
      </c>
      <c r="EU67" s="3">
        <f t="shared" si="93"/>
        <v>142884</v>
      </c>
      <c r="EV67" s="3">
        <f t="shared" si="94"/>
        <v>434657.65306122438</v>
      </c>
      <c r="EW67" s="3">
        <f t="shared" si="95"/>
        <v>399965.89795918384</v>
      </c>
      <c r="EX67" s="3">
        <f t="shared" si="96"/>
        <v>112320.73469387753</v>
      </c>
      <c r="EY67" s="3">
        <f t="shared" si="97"/>
        <v>71900.591836734791</v>
      </c>
      <c r="EZ67" s="3">
        <f t="shared" si="56"/>
        <v>39345.556122448994</v>
      </c>
      <c r="FA67" s="3">
        <f t="shared" si="98"/>
        <v>39586.786989795932</v>
      </c>
      <c r="FB67" s="29">
        <f t="shared" si="99"/>
        <v>54956.755102040799</v>
      </c>
      <c r="FC67" s="3">
        <f t="shared" si="100"/>
        <v>159058.53188775509</v>
      </c>
      <c r="FD67" s="3">
        <f t="shared" si="101"/>
        <v>15076.331632653058</v>
      </c>
      <c r="FE67" s="3">
        <f t="shared" si="122"/>
        <v>9485.3686224489848</v>
      </c>
      <c r="FF67" s="3">
        <f t="shared" si="131"/>
        <v>5184</v>
      </c>
      <c r="FG67" s="29"/>
      <c r="FH67" s="3"/>
      <c r="FI67" s="3"/>
      <c r="FQ67" s="4">
        <f>SQRT(AVERAGE(ES67:FF67))/AVERAGE(AB67:AO67)</f>
        <v>0.62071649904420056</v>
      </c>
      <c r="FR67" s="160">
        <v>2.4E-2</v>
      </c>
      <c r="FS67" s="161">
        <f t="shared" si="21"/>
        <v>3.8664994465196237E-2</v>
      </c>
      <c r="FV67" s="4">
        <f t="shared" si="58"/>
        <v>0.44918438536311628</v>
      </c>
      <c r="FW67" s="161">
        <f t="shared" si="59"/>
        <v>5.3430174293789476E-2</v>
      </c>
    </row>
    <row r="68" spans="1:179" x14ac:dyDescent="0.3">
      <c r="A68" s="62">
        <f t="shared" si="109"/>
        <v>62</v>
      </c>
      <c r="B68" s="6">
        <v>57367</v>
      </c>
      <c r="C68" s="6" t="s">
        <v>214</v>
      </c>
      <c r="D68" s="6">
        <v>2011</v>
      </c>
      <c r="E68" s="6">
        <v>2010</v>
      </c>
      <c r="F68" s="6" t="s">
        <v>252</v>
      </c>
      <c r="G68" s="17" t="s">
        <v>634</v>
      </c>
      <c r="H68" s="17" t="s">
        <v>630</v>
      </c>
      <c r="I68" s="6" t="s">
        <v>35</v>
      </c>
      <c r="J68" s="17">
        <v>25</v>
      </c>
      <c r="K68" s="6" t="s">
        <v>83</v>
      </c>
      <c r="L68" s="12">
        <v>41.061</v>
      </c>
      <c r="M68" s="12">
        <v>-75.515000000000001</v>
      </c>
      <c r="N68" s="14">
        <v>3</v>
      </c>
      <c r="O68" s="6">
        <v>2.7</v>
      </c>
      <c r="P68" s="94">
        <f>365.25*4.2</f>
        <v>1534.05</v>
      </c>
      <c r="Q68" s="15" t="s">
        <v>570</v>
      </c>
      <c r="R68" s="14">
        <v>9.5</v>
      </c>
      <c r="S68" s="3">
        <f t="shared" si="23"/>
        <v>32.350999999999999</v>
      </c>
      <c r="T68" s="128" t="str">
        <f t="shared" si="24"/>
        <v>C</v>
      </c>
      <c r="U68" s="154">
        <v>1368</v>
      </c>
      <c r="V68" s="154">
        <v>707</v>
      </c>
      <c r="W68" s="156">
        <v>0.48</v>
      </c>
      <c r="X68" s="1">
        <f t="shared" si="63"/>
        <v>0.51681286549707606</v>
      </c>
      <c r="Y68" s="59">
        <f t="shared" si="25"/>
        <v>0</v>
      </c>
      <c r="Z68" s="1">
        <f t="shared" si="26"/>
        <v>1</v>
      </c>
      <c r="AA68" s="3">
        <f t="shared" si="64"/>
        <v>3765.4660415128487</v>
      </c>
      <c r="AB68" s="6">
        <v>3831</v>
      </c>
      <c r="AC68" s="6">
        <v>4103</v>
      </c>
      <c r="AD68" s="6">
        <v>3952</v>
      </c>
      <c r="AE68" s="6">
        <v>3918</v>
      </c>
      <c r="AF68" s="93">
        <v>3352</v>
      </c>
      <c r="AG68" s="6">
        <v>3900</v>
      </c>
      <c r="AH68" s="6">
        <v>3142</v>
      </c>
      <c r="AI68" s="6">
        <v>2610</v>
      </c>
      <c r="AJ68" s="6">
        <v>3720</v>
      </c>
      <c r="AK68" s="93">
        <v>3743</v>
      </c>
      <c r="AL68" s="6">
        <v>3271</v>
      </c>
      <c r="AM68" s="6">
        <v>3121</v>
      </c>
      <c r="AN68" s="6">
        <v>3087</v>
      </c>
      <c r="AO68" s="6">
        <v>3061</v>
      </c>
      <c r="AP68" s="23"/>
      <c r="AU68" s="23"/>
      <c r="AY68" s="32">
        <v>14</v>
      </c>
      <c r="AZ68" s="1">
        <f t="shared" si="27"/>
        <v>0.75758069597905331</v>
      </c>
      <c r="BA68" s="24">
        <f t="shared" si="104"/>
        <v>62</v>
      </c>
      <c r="BB68" s="2">
        <f t="shared" si="110"/>
        <v>1.0174039435662583</v>
      </c>
      <c r="BC68" s="2">
        <f t="shared" si="111"/>
        <v>1.0951149326513427</v>
      </c>
      <c r="BD68" s="2">
        <f t="shared" si="112"/>
        <v>1.0601127043548491</v>
      </c>
      <c r="BE68" s="2">
        <f t="shared" si="113"/>
        <v>1.0562736698833994</v>
      </c>
      <c r="BF68" s="20">
        <f t="shared" si="114"/>
        <v>0.90822395321404237</v>
      </c>
      <c r="BG68" s="2">
        <f t="shared" si="115"/>
        <v>1.06201455293615</v>
      </c>
      <c r="BH68" s="2">
        <f t="shared" si="116"/>
        <v>0.85990200369163339</v>
      </c>
      <c r="BI68" s="2">
        <f t="shared" si="117"/>
        <v>0.71789380691975579</v>
      </c>
      <c r="BJ68" s="2">
        <f t="shared" si="118"/>
        <v>1.028346699682894</v>
      </c>
      <c r="BK68" s="20">
        <f t="shared" si="119"/>
        <v>1.0399042786278361</v>
      </c>
      <c r="BL68" s="2">
        <f t="shared" si="120"/>
        <v>0.91333689430096021</v>
      </c>
      <c r="BM68" s="2">
        <f t="shared" si="121"/>
        <v>0.87583267825317257</v>
      </c>
      <c r="BN68" s="2">
        <f t="shared" si="123"/>
        <v>0.87064462903029849</v>
      </c>
      <c r="BO68" s="2">
        <f t="shared" si="130"/>
        <v>0.86764994700152642</v>
      </c>
      <c r="BP68" s="23"/>
      <c r="BU68" s="23"/>
      <c r="BY68" s="25">
        <f t="shared" si="105"/>
        <v>62</v>
      </c>
      <c r="BZ68" s="3">
        <f t="shared" si="106"/>
        <v>51037.036795734581</v>
      </c>
      <c r="CA68" s="3">
        <f t="shared" si="124"/>
        <v>48811</v>
      </c>
      <c r="CB68" s="2">
        <f t="shared" si="125"/>
        <v>0.95638389421698122</v>
      </c>
      <c r="CC68" s="85">
        <f t="shared" si="32"/>
        <v>23</v>
      </c>
      <c r="CD68" s="3" t="str">
        <f t="shared" si="107"/>
        <v>Fixed</v>
      </c>
      <c r="CE68" s="69">
        <f t="shared" si="126"/>
        <v>-2.0162706948399174E-2</v>
      </c>
      <c r="CF68" s="2">
        <f t="array" ref="CF68:CG68">LINEST(AB68:AO68,AB$6:AO$6,TRUE,FALSE)</f>
        <v>-71.01318681318682</v>
      </c>
      <c r="CG68" s="2">
        <v>4019.098901098901</v>
      </c>
      <c r="CH68" s="1">
        <f t="shared" si="34"/>
        <v>1.0227464450074555</v>
      </c>
      <c r="DC68" s="2">
        <f t="shared" si="36"/>
        <v>1.1111111111111109</v>
      </c>
      <c r="DD68">
        <f t="shared" si="108"/>
        <v>1</v>
      </c>
      <c r="DE68">
        <f t="shared" si="37"/>
        <v>15</v>
      </c>
      <c r="DT68">
        <f t="shared" si="38"/>
        <v>26198</v>
      </c>
      <c r="DU68" s="3">
        <f t="shared" si="39"/>
        <v>3765.4660415128483</v>
      </c>
      <c r="DV68" s="3">
        <f t="shared" si="40"/>
        <v>3746.6387113052842</v>
      </c>
      <c r="DW68" s="3">
        <f t="shared" si="41"/>
        <v>3727.9055177487585</v>
      </c>
      <c r="DX68" s="3">
        <f t="shared" si="42"/>
        <v>3709.2659901600146</v>
      </c>
      <c r="DY68" s="3">
        <f t="shared" si="43"/>
        <v>3690.7196602092145</v>
      </c>
      <c r="DZ68" s="3">
        <f t="shared" si="44"/>
        <v>3672.2660619081689</v>
      </c>
      <c r="EA68" s="3">
        <f t="shared" si="45"/>
        <v>3653.9047315986277</v>
      </c>
      <c r="EB68" s="2">
        <f t="shared" si="46"/>
        <v>1.0089282830271644</v>
      </c>
      <c r="ED68" s="2" t="str">
        <f t="shared" si="47"/>
        <v xml:space="preserve"> </v>
      </c>
      <c r="EE68" s="58" t="str">
        <f t="shared" si="48"/>
        <v xml:space="preserve"> </v>
      </c>
      <c r="EF68" s="2">
        <f t="shared" si="49"/>
        <v>0.95638389421698122</v>
      </c>
      <c r="EG68" s="58">
        <f t="shared" si="50"/>
        <v>-2.0162706948399174E-2</v>
      </c>
      <c r="EI68" s="2" t="str">
        <f t="shared" si="51"/>
        <v xml:space="preserve"> </v>
      </c>
      <c r="EJ68" s="2">
        <f t="shared" si="52"/>
        <v>1.0089282830271644</v>
      </c>
      <c r="EK68" s="2"/>
      <c r="EL68" s="2">
        <f t="array" ref="EL68:EM68">LINEST($AB68:$AH68,$AB$6:$AH$6,TRUE,FALSE)</f>
        <v>-109.74999999999999</v>
      </c>
      <c r="EM68" s="2">
        <v>4181.5714285714284</v>
      </c>
      <c r="EN68" s="58">
        <f t="shared" si="53"/>
        <v>-2.9324757615085118E-2</v>
      </c>
      <c r="EO68" s="2">
        <f t="array" ref="EO68:EP68">LINEST($AH68:$AO68,$AH$6:$AO$6,TRUE,FALSE)</f>
        <v>-5.3690476190476284</v>
      </c>
      <c r="EP68" s="2">
        <v>3275.75</v>
      </c>
      <c r="EQ68" s="58">
        <f t="shared" si="54"/>
        <v>-1.6677297981899058E-3</v>
      </c>
      <c r="ES68" s="3">
        <f t="shared" si="55"/>
        <v>57994.960459183611</v>
      </c>
      <c r="ET68" s="3">
        <f t="shared" si="92"/>
        <v>19860.862244897995</v>
      </c>
      <c r="EU68" s="3">
        <f t="shared" si="93"/>
        <v>9935.8176020408428</v>
      </c>
      <c r="EV68" s="3">
        <f t="shared" si="94"/>
        <v>30775.183673469433</v>
      </c>
      <c r="EW68" s="3">
        <f t="shared" si="95"/>
        <v>78860.674744897886</v>
      </c>
      <c r="EX68" s="3">
        <f t="shared" si="96"/>
        <v>142075.14795918379</v>
      </c>
      <c r="EY68" s="3">
        <f t="shared" si="97"/>
        <v>73615.317602040741</v>
      </c>
      <c r="EZ68" s="3">
        <f t="shared" si="56"/>
        <v>387876.8742913829</v>
      </c>
      <c r="FA68" s="3">
        <f t="shared" si="98"/>
        <v>242626.61224489784</v>
      </c>
      <c r="FB68" s="29">
        <f t="shared" si="99"/>
        <v>271378.97973356006</v>
      </c>
      <c r="FC68" s="3">
        <f t="shared" si="100"/>
        <v>2949.5243764172383</v>
      </c>
      <c r="FD68" s="3">
        <f t="shared" si="101"/>
        <v>8157.9604591836496</v>
      </c>
      <c r="FE68" s="3">
        <f t="shared" si="122"/>
        <v>14149.668934240312</v>
      </c>
      <c r="FF68" s="3">
        <f t="shared" si="131"/>
        <v>19483.506944444362</v>
      </c>
      <c r="FG68" s="29"/>
      <c r="FH68" s="3"/>
      <c r="FI68" s="3"/>
      <c r="FQ68" s="4">
        <f>SQRT(AVERAGE(ES68:FF68))/AVERAGE(AB68:AO68)</f>
        <v>8.9387012741142635E-2</v>
      </c>
      <c r="FR68" s="160">
        <v>2.5999999999999999E-2</v>
      </c>
      <c r="FS68" s="161">
        <f t="shared" si="21"/>
        <v>0.29086999556964543</v>
      </c>
      <c r="FV68" s="4">
        <f t="shared" si="58"/>
        <v>6.4910943602989921E-2</v>
      </c>
      <c r="FW68" s="161">
        <f t="shared" si="59"/>
        <v>0.40054879126425746</v>
      </c>
    </row>
    <row r="69" spans="1:179" x14ac:dyDescent="0.3">
      <c r="A69" s="62">
        <f t="shared" si="109"/>
        <v>63</v>
      </c>
      <c r="B69" s="6">
        <v>57507</v>
      </c>
      <c r="C69" s="6" t="s">
        <v>215</v>
      </c>
      <c r="D69" s="6">
        <v>2011</v>
      </c>
      <c r="E69" s="6">
        <v>2010</v>
      </c>
      <c r="F69" s="6" t="s">
        <v>278</v>
      </c>
      <c r="G69" s="17" t="s">
        <v>636</v>
      </c>
      <c r="H69" s="17" t="s">
        <v>629</v>
      </c>
      <c r="I69" s="6" t="s">
        <v>35</v>
      </c>
      <c r="J69" s="17">
        <v>25</v>
      </c>
      <c r="K69" s="6" t="s">
        <v>51</v>
      </c>
      <c r="L69" s="12">
        <v>40.593000000000004</v>
      </c>
      <c r="M69" s="12">
        <v>-105.14700000000001</v>
      </c>
      <c r="N69" s="14">
        <v>3.3</v>
      </c>
      <c r="O69" s="6">
        <v>3</v>
      </c>
      <c r="P69" s="94">
        <f>365.25*5.4</f>
        <v>1972.3500000000001</v>
      </c>
      <c r="Q69" s="15" t="s">
        <v>514</v>
      </c>
      <c r="R69" s="14">
        <v>10.199999999999999</v>
      </c>
      <c r="S69" s="3">
        <f t="shared" si="23"/>
        <v>36.308999999999997</v>
      </c>
      <c r="T69" s="128" t="str">
        <f t="shared" si="24"/>
        <v>C</v>
      </c>
      <c r="U69" s="154">
        <v>1689</v>
      </c>
      <c r="V69" s="154">
        <v>562</v>
      </c>
      <c r="W69" s="156">
        <v>0.58299999999999996</v>
      </c>
      <c r="X69" s="1">
        <f t="shared" si="63"/>
        <v>0.33274126702190643</v>
      </c>
      <c r="Y69" s="59">
        <f t="shared" si="25"/>
        <v>0</v>
      </c>
      <c r="Z69" s="1">
        <f t="shared" si="26"/>
        <v>1</v>
      </c>
      <c r="AA69" s="3">
        <f t="shared" si="64"/>
        <v>5314.072040895363</v>
      </c>
      <c r="AB69" s="6">
        <v>4900</v>
      </c>
      <c r="AC69" s="6">
        <v>5083</v>
      </c>
      <c r="AD69" s="6">
        <v>4576</v>
      </c>
      <c r="AE69" s="6">
        <v>3627</v>
      </c>
      <c r="AF69" s="93">
        <v>4411</v>
      </c>
      <c r="AG69" s="6">
        <v>5093</v>
      </c>
      <c r="AH69" s="6">
        <v>4734</v>
      </c>
      <c r="AI69" s="6">
        <v>4419</v>
      </c>
      <c r="AJ69" s="6">
        <v>4579</v>
      </c>
      <c r="AK69" s="93">
        <v>3930</v>
      </c>
      <c r="AL69" s="6">
        <v>3832</v>
      </c>
      <c r="AM69" s="6">
        <v>3095</v>
      </c>
      <c r="AN69" s="6">
        <v>2737</v>
      </c>
      <c r="AO69" s="6">
        <v>2746</v>
      </c>
      <c r="AP69" s="23"/>
      <c r="AU69" s="23"/>
      <c r="AY69" s="32">
        <v>14</v>
      </c>
      <c r="AZ69" s="1">
        <f t="shared" si="27"/>
        <v>0.63389344703513084</v>
      </c>
      <c r="BA69" s="24">
        <f t="shared" si="104"/>
        <v>63</v>
      </c>
      <c r="BB69" s="2">
        <f t="shared" si="110"/>
        <v>0.92208008515714512</v>
      </c>
      <c r="BC69" s="2">
        <f t="shared" si="111"/>
        <v>0.9613235715011319</v>
      </c>
      <c r="BD69" s="2">
        <f t="shared" si="112"/>
        <v>0.86978600719299415</v>
      </c>
      <c r="BE69" s="2">
        <f t="shared" si="113"/>
        <v>0.69286859298436887</v>
      </c>
      <c r="BF69" s="20">
        <f t="shared" si="114"/>
        <v>0.8468710698942884</v>
      </c>
      <c r="BG69" s="2">
        <f t="shared" si="115"/>
        <v>0.98272235331534363</v>
      </c>
      <c r="BH69" s="2">
        <f t="shared" si="116"/>
        <v>0.91804153707765923</v>
      </c>
      <c r="BI69" s="2">
        <f t="shared" si="117"/>
        <v>0.86126143016437851</v>
      </c>
      <c r="BJ69" s="2">
        <f t="shared" si="118"/>
        <v>0.89693001980317721</v>
      </c>
      <c r="BK69" s="20">
        <f t="shared" si="119"/>
        <v>0.77367290214481155</v>
      </c>
      <c r="BL69" s="2">
        <f t="shared" si="120"/>
        <v>0.75817115118056388</v>
      </c>
      <c r="BM69" s="2">
        <f t="shared" si="121"/>
        <v>0.61543094200224646</v>
      </c>
      <c r="BN69" s="2">
        <f t="shared" si="123"/>
        <v>0.54697866984685894</v>
      </c>
      <c r="BO69" s="2">
        <f t="shared" si="130"/>
        <v>0.55153495919475881</v>
      </c>
      <c r="BP69" s="23"/>
      <c r="BU69" s="23"/>
      <c r="BY69" s="25">
        <f t="shared" si="105"/>
        <v>63</v>
      </c>
      <c r="BZ69" s="3">
        <f t="shared" si="106"/>
        <v>72026.805525882621</v>
      </c>
      <c r="CA69" s="3">
        <f t="shared" si="124"/>
        <v>57762</v>
      </c>
      <c r="CB69" s="2">
        <f t="shared" si="125"/>
        <v>0.80195143430654292</v>
      </c>
      <c r="CC69" s="85">
        <f t="shared" si="32"/>
        <v>67</v>
      </c>
      <c r="CD69" s="3" t="str">
        <f t="shared" si="107"/>
        <v>Fixed</v>
      </c>
      <c r="CE69" s="69">
        <f t="shared" si="126"/>
        <v>-3.6587323708704989E-2</v>
      </c>
      <c r="CF69" s="2">
        <f t="array" ref="CF69:CG69">LINEST(AB69:AO69,AB$6:AO$6,TRUE,FALSE)</f>
        <v>-153.76703296703295</v>
      </c>
      <c r="CG69" s="2">
        <v>5279.1098901098903</v>
      </c>
      <c r="CH69" s="1">
        <f t="shared" si="34"/>
        <v>1.0205623120119289</v>
      </c>
      <c r="DC69" s="2">
        <f t="shared" si="36"/>
        <v>1.0999999999999999</v>
      </c>
      <c r="DD69">
        <f t="shared" si="108"/>
        <v>1</v>
      </c>
      <c r="DE69">
        <f t="shared" si="37"/>
        <v>15</v>
      </c>
      <c r="DT69">
        <f t="shared" si="38"/>
        <v>32424</v>
      </c>
      <c r="DU69" s="3">
        <f t="shared" si="39"/>
        <v>5314.072040895363</v>
      </c>
      <c r="DV69" s="3">
        <f t="shared" si="40"/>
        <v>5287.5016806908861</v>
      </c>
      <c r="DW69" s="3">
        <f t="shared" si="41"/>
        <v>5261.0641722874316</v>
      </c>
      <c r="DX69" s="3">
        <f t="shared" si="42"/>
        <v>5234.7588514259951</v>
      </c>
      <c r="DY69" s="3">
        <f t="shared" si="43"/>
        <v>5208.5850571688652</v>
      </c>
      <c r="DZ69" s="3">
        <f t="shared" si="44"/>
        <v>5182.5421318830204</v>
      </c>
      <c r="EA69" s="3">
        <f t="shared" si="45"/>
        <v>5156.6294212236062</v>
      </c>
      <c r="EB69" s="2">
        <f t="shared" si="46"/>
        <v>0.88481005074214092</v>
      </c>
      <c r="ED69" s="2" t="str">
        <f t="shared" si="47"/>
        <v xml:space="preserve"> </v>
      </c>
      <c r="EE69" s="58" t="str">
        <f t="shared" si="48"/>
        <v xml:space="preserve"> </v>
      </c>
      <c r="EF69" s="2">
        <f t="shared" si="49"/>
        <v>0.80195143430654292</v>
      </c>
      <c r="EG69" s="58">
        <f t="shared" si="50"/>
        <v>-3.6587323708704989E-2</v>
      </c>
      <c r="EI69" s="2" t="str">
        <f t="shared" si="51"/>
        <v xml:space="preserve"> </v>
      </c>
      <c r="EJ69" s="2">
        <f t="shared" si="52"/>
        <v>0.88481005074214092</v>
      </c>
      <c r="EK69" s="2"/>
      <c r="EL69" s="2">
        <f t="array" ref="EL69:EM69">LINEST($AB69:$AH69,$AB$6:$AH$6,TRUE,FALSE)</f>
        <v>-22.964285714285701</v>
      </c>
      <c r="EM69" s="2">
        <v>4723.8571428571431</v>
      </c>
      <c r="EN69" s="58">
        <f t="shared" si="53"/>
        <v>-4.9577473476437178E-3</v>
      </c>
      <c r="EO69" s="2">
        <f t="array" ref="EO69:EP69">LINEST($AH69:$AO69,$AH$6:$AO$6,TRUE,FALSE)</f>
        <v>-319.95238095238085</v>
      </c>
      <c r="EP69" s="2">
        <v>7118.4999999999991</v>
      </c>
      <c r="EQ69" s="58">
        <f t="shared" si="54"/>
        <v>-8.5116355667034016E-2</v>
      </c>
      <c r="ES69" s="3">
        <f t="shared" si="55"/>
        <v>39643.654336734435</v>
      </c>
      <c r="ET69" s="3">
        <f t="shared" si="92"/>
        <v>164082.86224489784</v>
      </c>
      <c r="EU69" s="3">
        <f t="shared" si="93"/>
        <v>6235.3584183674293</v>
      </c>
      <c r="EV69" s="3">
        <f t="shared" si="94"/>
        <v>1010025</v>
      </c>
      <c r="EW69" s="3">
        <f t="shared" si="95"/>
        <v>39218.144132653215</v>
      </c>
      <c r="EX69" s="3">
        <f t="shared" si="96"/>
        <v>256976.57653061146</v>
      </c>
      <c r="EY69" s="3">
        <f t="shared" si="97"/>
        <v>29204.368622448892</v>
      </c>
      <c r="EZ69" s="3">
        <f t="shared" si="56"/>
        <v>19566.680839002242</v>
      </c>
      <c r="FA69" s="3">
        <f t="shared" si="98"/>
        <v>115648.57653061216</v>
      </c>
      <c r="FB69" s="29">
        <f t="shared" si="99"/>
        <v>121.52437641722592</v>
      </c>
      <c r="FC69" s="3">
        <f t="shared" si="100"/>
        <v>54277.905328798137</v>
      </c>
      <c r="FD69" s="3">
        <f t="shared" si="101"/>
        <v>33882.290816326647</v>
      </c>
      <c r="FE69" s="3">
        <f t="shared" si="122"/>
        <v>49336.87131519278</v>
      </c>
      <c r="FF69" s="3">
        <f t="shared" si="131"/>
        <v>11413.361111111046</v>
      </c>
      <c r="FG69" s="29"/>
      <c r="FH69" s="3"/>
      <c r="FI69" s="3"/>
      <c r="FQ69" s="4">
        <f>SQRT(AVERAGE(ES69:FF69))/AVERAGE(AB69:AO69)</f>
        <v>8.7620112963460228E-2</v>
      </c>
      <c r="FR69" s="160">
        <v>0.04</v>
      </c>
      <c r="FS69" s="161">
        <f t="shared" si="21"/>
        <v>0.4565161884313137</v>
      </c>
      <c r="FV69" s="4">
        <f t="shared" si="58"/>
        <v>0.10143805446095619</v>
      </c>
      <c r="FW69" s="161">
        <f t="shared" si="59"/>
        <v>0.39432932948646132</v>
      </c>
    </row>
    <row r="70" spans="1:179" x14ac:dyDescent="0.3">
      <c r="A70" s="62">
        <f t="shared" si="109"/>
        <v>64</v>
      </c>
      <c r="B70" s="6">
        <v>57579</v>
      </c>
      <c r="C70" s="6" t="s">
        <v>216</v>
      </c>
      <c r="D70" s="6">
        <v>2009</v>
      </c>
      <c r="E70" s="6">
        <v>2009</v>
      </c>
      <c r="F70" s="6" t="s">
        <v>248</v>
      </c>
      <c r="G70" s="17" t="s">
        <v>636</v>
      </c>
      <c r="H70" s="17" t="s">
        <v>919</v>
      </c>
      <c r="I70" s="6" t="s">
        <v>36</v>
      </c>
      <c r="J70" s="17">
        <v>0</v>
      </c>
      <c r="K70" s="6" t="s">
        <v>24</v>
      </c>
      <c r="L70" s="12">
        <v>37.857999999999997</v>
      </c>
      <c r="M70" s="12">
        <v>-120.8917</v>
      </c>
      <c r="N70" s="14">
        <v>1.5935999999999999</v>
      </c>
      <c r="O70" s="6">
        <v>1.75</v>
      </c>
      <c r="P70" s="94">
        <f>365.25*6.8</f>
        <v>2483.6999999999998</v>
      </c>
      <c r="Q70" s="15" t="s">
        <v>507</v>
      </c>
      <c r="R70" s="14">
        <v>16</v>
      </c>
      <c r="S70" s="3">
        <f t="shared" si="23"/>
        <v>44.986899999999999</v>
      </c>
      <c r="T70" s="128" t="str">
        <f t="shared" si="24"/>
        <v>M</v>
      </c>
      <c r="U70" s="154">
        <v>1793</v>
      </c>
      <c r="V70" s="154">
        <v>572</v>
      </c>
      <c r="W70" s="156">
        <v>0.60799999999999998</v>
      </c>
      <c r="X70" s="1">
        <f t="shared" si="63"/>
        <v>0.31901840490797545</v>
      </c>
      <c r="Y70" s="59">
        <f t="shared" si="25"/>
        <v>0</v>
      </c>
      <c r="Z70" s="1">
        <f t="shared" si="26"/>
        <v>1</v>
      </c>
      <c r="AA70" s="3">
        <f t="shared" si="64"/>
        <v>2965.5360314647232</v>
      </c>
      <c r="AB70" s="6">
        <v>2930</v>
      </c>
      <c r="AC70" s="6">
        <v>2920</v>
      </c>
      <c r="AD70" s="6">
        <v>2912</v>
      </c>
      <c r="AE70" s="6">
        <v>3043</v>
      </c>
      <c r="AF70" s="93">
        <v>3067</v>
      </c>
      <c r="AG70" s="6">
        <v>2828</v>
      </c>
      <c r="AH70" s="6">
        <v>2942</v>
      </c>
      <c r="AI70" s="6">
        <v>2732</v>
      </c>
      <c r="AJ70" s="6">
        <v>2867</v>
      </c>
      <c r="AK70" s="93">
        <v>2761</v>
      </c>
      <c r="AL70" s="6">
        <v>2710</v>
      </c>
      <c r="AM70" s="6">
        <v>1567</v>
      </c>
      <c r="AN70" s="6">
        <v>2162</v>
      </c>
      <c r="AO70" s="6">
        <v>2132</v>
      </c>
      <c r="AP70" s="93">
        <v>1703</v>
      </c>
      <c r="AQ70" s="6">
        <v>2121</v>
      </c>
      <c r="AU70" s="23"/>
      <c r="AY70" s="32">
        <v>16</v>
      </c>
      <c r="AZ70" s="1">
        <f t="shared" si="27"/>
        <v>0.65368787324682243</v>
      </c>
      <c r="BA70" s="24">
        <f t="shared" si="104"/>
        <v>64</v>
      </c>
      <c r="BB70" s="2">
        <f t="shared" si="110"/>
        <v>0.98801699554897282</v>
      </c>
      <c r="BC70" s="2">
        <f t="shared" si="111"/>
        <v>0.98959288833347658</v>
      </c>
      <c r="BD70" s="2">
        <f t="shared" si="112"/>
        <v>0.99184087933746934</v>
      </c>
      <c r="BE70" s="2">
        <f t="shared" si="113"/>
        <v>1.0416684369042739</v>
      </c>
      <c r="BF70" s="20">
        <f t="shared" si="114"/>
        <v>1.0551598267332085</v>
      </c>
      <c r="BG70" s="2">
        <f t="shared" si="115"/>
        <v>0.97782423365654936</v>
      </c>
      <c r="BH70" s="2">
        <f t="shared" si="116"/>
        <v>1.0223532426693467</v>
      </c>
      <c r="BI70" s="2">
        <f t="shared" si="117"/>
        <v>0.95414839628894144</v>
      </c>
      <c r="BJ70" s="2">
        <f t="shared" si="118"/>
        <v>1.0063286609329205</v>
      </c>
      <c r="BK70" s="20">
        <f t="shared" si="119"/>
        <v>0.9739921907534862</v>
      </c>
      <c r="BL70" s="2">
        <f t="shared" si="120"/>
        <v>0.96080505276907802</v>
      </c>
      <c r="BM70" s="2">
        <f t="shared" si="121"/>
        <v>0.55835692028005168</v>
      </c>
      <c r="BN70" s="2">
        <f t="shared" si="123"/>
        <v>0.77423984096966758</v>
      </c>
      <c r="BO70" s="2">
        <f t="shared" si="130"/>
        <v>0.76733312303763546</v>
      </c>
      <c r="BP70" s="20">
        <f>IF(ISNUMBER(AP70),MIN(1.15,AP70/($AA70*(1-$K$3)^(BP$6-1))),"")</f>
        <v>0.61601078022999289</v>
      </c>
      <c r="BQ70" s="2">
        <f>IF(ISNUMBER(AQ70),MIN(1.15,AQ70/($AA70*(1-$K$3)^(BQ$6-1))),"")</f>
        <v>0.77106546524036212</v>
      </c>
      <c r="BU70" s="23"/>
      <c r="BY70" s="25">
        <f t="shared" si="105"/>
        <v>64</v>
      </c>
      <c r="BZ70" s="3">
        <f t="shared" si="106"/>
        <v>45710.105751777963</v>
      </c>
      <c r="CA70" s="3">
        <f t="shared" si="124"/>
        <v>41397</v>
      </c>
      <c r="CB70" s="2">
        <f t="shared" si="125"/>
        <v>0.90564218391443563</v>
      </c>
      <c r="CC70" s="85">
        <f t="shared" si="32"/>
        <v>37</v>
      </c>
      <c r="CD70" s="3" t="str">
        <f t="shared" si="107"/>
        <v>Tracker</v>
      </c>
      <c r="CE70" s="69">
        <f t="shared" si="126"/>
        <v>-3.1310529419465868E-2</v>
      </c>
      <c r="CF70" s="2" cm="1">
        <f t="array" ref="CF70:CG70">LINEST($AB$70:$AQ$70,$AB$6:$AQ$6,TRUE,FALSE)</f>
        <v>-82.29852941176469</v>
      </c>
      <c r="CG70" s="2">
        <v>3286.85</v>
      </c>
      <c r="CH70" s="1">
        <f t="shared" si="34"/>
        <v>0.98585071201192898</v>
      </c>
      <c r="DC70" s="2">
        <f t="shared" si="36"/>
        <v>0.91062857142857134</v>
      </c>
      <c r="DD70">
        <f t="shared" si="108"/>
        <v>0</v>
      </c>
      <c r="DE70">
        <f t="shared" si="37"/>
        <v>16</v>
      </c>
      <c r="DT70">
        <f t="shared" si="38"/>
        <v>20642</v>
      </c>
      <c r="DU70" s="3">
        <f t="shared" si="39"/>
        <v>2965.5360314647232</v>
      </c>
      <c r="DV70" s="3">
        <f t="shared" si="40"/>
        <v>2950.7083513073994</v>
      </c>
      <c r="DW70" s="3">
        <f t="shared" si="41"/>
        <v>2935.9548095508626</v>
      </c>
      <c r="DX70" s="3">
        <f t="shared" si="42"/>
        <v>2921.275035503108</v>
      </c>
      <c r="DY70" s="3">
        <f t="shared" si="43"/>
        <v>2906.668660325593</v>
      </c>
      <c r="DZ70" s="3">
        <f t="shared" si="44"/>
        <v>2892.1353170239649</v>
      </c>
      <c r="EA70" s="3">
        <f t="shared" si="45"/>
        <v>2877.6746404388455</v>
      </c>
      <c r="EB70" s="2">
        <f t="shared" si="46"/>
        <v>1.0093910805484663</v>
      </c>
      <c r="ED70" s="2" t="str">
        <f t="shared" si="47"/>
        <v xml:space="preserve"> </v>
      </c>
      <c r="EE70" s="58" t="str">
        <f t="shared" si="48"/>
        <v xml:space="preserve"> </v>
      </c>
      <c r="EF70" s="2" t="str">
        <f t="shared" si="49"/>
        <v xml:space="preserve"> </v>
      </c>
      <c r="EG70" s="58" t="str">
        <f t="shared" si="50"/>
        <v xml:space="preserve"> </v>
      </c>
      <c r="EI70" s="2" t="str">
        <f t="shared" si="51"/>
        <v xml:space="preserve"> </v>
      </c>
      <c r="EJ70" s="2" t="str">
        <f t="shared" si="52"/>
        <v xml:space="preserve"> </v>
      </c>
      <c r="EK70" s="2"/>
      <c r="EL70" s="2">
        <f t="array" ref="EL70:EM70">LINEST($AB70:$AH70,$AB$6:$AH$6,TRUE,FALSE)</f>
        <v>0.25000000000000161</v>
      </c>
      <c r="EM70" s="2">
        <v>2947.8571428571427</v>
      </c>
      <c r="EN70" s="58">
        <f t="shared" si="53"/>
        <v>8.477860672415519E-5</v>
      </c>
      <c r="EO70" s="2" cm="1">
        <f t="array" ref="EO70:EP70">LINEST($AH$70:$AQ$70,$AH$6:$AQ$6,TRUE,FALSE)</f>
        <v>-128.52727272727276</v>
      </c>
      <c r="EP70" s="2">
        <v>3847.7636363636366</v>
      </c>
      <c r="EQ70" s="58">
        <f t="shared" si="54"/>
        <v>-5.4237782304626225E-2</v>
      </c>
      <c r="ES70" s="3">
        <f t="shared" si="55"/>
        <v>327.86862244897253</v>
      </c>
      <c r="ET70" s="3">
        <f t="shared" si="92"/>
        <v>804.12755102039716</v>
      </c>
      <c r="EU70" s="3">
        <f t="shared" si="93"/>
        <v>1340.082908163251</v>
      </c>
      <c r="EV70" s="3">
        <f t="shared" si="94"/>
        <v>8862.877551020445</v>
      </c>
      <c r="EW70" s="3">
        <f t="shared" si="95"/>
        <v>13898.725765306168</v>
      </c>
      <c r="EX70" s="3">
        <f t="shared" si="96"/>
        <v>14727.556122448932</v>
      </c>
      <c r="EY70" s="3">
        <f t="shared" si="97"/>
        <v>57.868622448976623</v>
      </c>
      <c r="EZ70" s="3">
        <f t="shared" si="56"/>
        <v>7664.206611570241</v>
      </c>
      <c r="FA70" s="3">
        <f t="shared" si="98"/>
        <v>30969.60033057852</v>
      </c>
      <c r="FB70" s="29">
        <f t="shared" si="99"/>
        <v>39405.859173553719</v>
      </c>
      <c r="FC70" s="3">
        <f t="shared" si="100"/>
        <v>76196.074049586765</v>
      </c>
      <c r="FD70" s="3">
        <f t="shared" si="101"/>
        <v>545288.26314049528</v>
      </c>
      <c r="FE70" s="3">
        <f t="shared" si="122"/>
        <v>222.28099173553966</v>
      </c>
      <c r="FF70" s="3">
        <f t="shared" si="131"/>
        <v>6992.0003305785704</v>
      </c>
      <c r="FG70" s="29">
        <f>($EP70+$EO70*FG$6-AP70)^2</f>
        <v>47025.89388429738</v>
      </c>
      <c r="FH70" s="3">
        <f>($EP70+$EO70*FH$6-AQ70)^2</f>
        <v>108684.10710743822</v>
      </c>
      <c r="FI70" s="3"/>
      <c r="FQ70" s="4">
        <f>SQRT(AVERAGE(ES70:FH70))/AVERAGE(AB70:AQ70)</f>
        <v>9.1792433088497993E-2</v>
      </c>
      <c r="FR70" s="160">
        <v>3.3000000000000002E-2</v>
      </c>
      <c r="FS70" s="161">
        <f t="shared" si="21"/>
        <v>0.35950675768866891</v>
      </c>
      <c r="FV70" s="4">
        <f t="shared" si="58"/>
        <v>2.5640762958759149E-2</v>
      </c>
      <c r="FW70" s="161">
        <f t="shared" si="59"/>
        <v>1.2870131849460766</v>
      </c>
    </row>
    <row r="71" spans="1:179" x14ac:dyDescent="0.3">
      <c r="A71" s="62">
        <f t="shared" si="109"/>
        <v>65</v>
      </c>
      <c r="B71" s="6">
        <v>57524</v>
      </c>
      <c r="C71" s="6" t="s">
        <v>217</v>
      </c>
      <c r="D71" s="6">
        <v>2011</v>
      </c>
      <c r="E71" s="6">
        <v>2010</v>
      </c>
      <c r="F71" s="6" t="s">
        <v>252</v>
      </c>
      <c r="G71" s="17" t="s">
        <v>636</v>
      </c>
      <c r="H71" s="17" t="s">
        <v>625</v>
      </c>
      <c r="I71" s="6" t="s">
        <v>36</v>
      </c>
      <c r="J71" s="17">
        <v>0</v>
      </c>
      <c r="K71" s="6" t="s">
        <v>23</v>
      </c>
      <c r="L71" s="12">
        <v>32.289400000000001</v>
      </c>
      <c r="M71" s="12">
        <v>-111.0331</v>
      </c>
      <c r="N71" s="14">
        <v>1.1000000000000001</v>
      </c>
      <c r="O71" s="6">
        <v>1.1000000000000001</v>
      </c>
      <c r="P71" s="94">
        <f>365.25*8.1</f>
        <v>2958.5250000000001</v>
      </c>
      <c r="Q71" s="15" t="s">
        <v>571</v>
      </c>
      <c r="R71" s="14">
        <v>20.2</v>
      </c>
      <c r="S71" s="3">
        <f t="shared" si="23"/>
        <v>52.539924999999997</v>
      </c>
      <c r="T71" s="128" t="str">
        <f t="shared" si="24"/>
        <v>H</v>
      </c>
      <c r="U71" s="154">
        <v>2114</v>
      </c>
      <c r="V71" s="154">
        <v>513</v>
      </c>
      <c r="W71" s="156">
        <v>0.66900000000000004</v>
      </c>
      <c r="X71" s="1">
        <f t="shared" ref="X71:X79" si="132">V71/U71</f>
        <v>0.24266792809839166</v>
      </c>
      <c r="Y71" s="59">
        <f t="shared" si="25"/>
        <v>1.0656633375118463E-3</v>
      </c>
      <c r="Z71" s="1">
        <f t="shared" si="26"/>
        <v>0.98634700222883331</v>
      </c>
      <c r="AA71" s="3">
        <f t="shared" si="64"/>
        <v>2363.6066857677674</v>
      </c>
      <c r="AB71" s="6">
        <v>2320</v>
      </c>
      <c r="AC71" s="6">
        <v>2172</v>
      </c>
      <c r="AD71" s="6">
        <v>2153</v>
      </c>
      <c r="AE71" s="6">
        <v>2144</v>
      </c>
      <c r="AF71" s="93">
        <v>1858</v>
      </c>
      <c r="AG71" s="6">
        <v>1810</v>
      </c>
      <c r="AH71" s="6">
        <v>1817</v>
      </c>
      <c r="AI71" s="6">
        <v>1422</v>
      </c>
      <c r="AJ71" s="6">
        <v>1025</v>
      </c>
      <c r="AK71" s="93">
        <v>696</v>
      </c>
      <c r="AL71" s="6">
        <v>1203</v>
      </c>
      <c r="AM71" s="6">
        <v>1180</v>
      </c>
      <c r="AN71" s="6">
        <v>1132</v>
      </c>
      <c r="AO71" s="6">
        <v>996</v>
      </c>
      <c r="AP71" s="23"/>
      <c r="AU71" s="23"/>
      <c r="AY71" s="32">
        <v>14</v>
      </c>
      <c r="AZ71" s="1">
        <f t="shared" si="27"/>
        <v>0.48128581096867656</v>
      </c>
      <c r="BA71" s="24">
        <f t="shared" ref="BA71:BA106" si="133">A71</f>
        <v>65</v>
      </c>
      <c r="BB71" s="2">
        <f t="shared" si="110"/>
        <v>0.98155078591106515</v>
      </c>
      <c r="BC71" s="2">
        <f t="shared" si="111"/>
        <v>0.92355237697055692</v>
      </c>
      <c r="BD71" s="2">
        <f t="shared" si="112"/>
        <v>0.92007378865673151</v>
      </c>
      <c r="BE71" s="2">
        <f t="shared" si="113"/>
        <v>0.92083184285572428</v>
      </c>
      <c r="BF71" s="20">
        <f t="shared" si="114"/>
        <v>0.80200703331299017</v>
      </c>
      <c r="BG71" s="2">
        <f t="shared" si="115"/>
        <v>0.7852138682089197</v>
      </c>
      <c r="BH71" s="2">
        <f t="shared" si="116"/>
        <v>0.79221166525200992</v>
      </c>
      <c r="BI71" s="2">
        <f t="shared" si="117"/>
        <v>0.62310727439528857</v>
      </c>
      <c r="BJ71" s="2">
        <f t="shared" si="118"/>
        <v>0.45140255161544063</v>
      </c>
      <c r="BK71" s="20">
        <f t="shared" si="119"/>
        <v>0.30805361041730278</v>
      </c>
      <c r="BL71" s="2">
        <f t="shared" si="120"/>
        <v>0.53513038371745969</v>
      </c>
      <c r="BM71" s="2">
        <f t="shared" si="121"/>
        <v>0.52753698065272536</v>
      </c>
      <c r="BN71" s="2">
        <f t="shared" si="123"/>
        <v>0.50862095400637519</v>
      </c>
      <c r="BO71" s="2">
        <f t="shared" si="130"/>
        <v>0.44976336647047044</v>
      </c>
      <c r="BP71" s="23"/>
      <c r="BU71" s="23"/>
      <c r="BY71" s="25">
        <f t="shared" ref="BY71:BY106" si="134">A71</f>
        <v>65</v>
      </c>
      <c r="BZ71" s="3">
        <f t="shared" ref="BZ71:BZ106" si="135">$AA71*IF($K$3=0,$AY71,((1-$K$3)^$AY71-1)/-$K$3)</f>
        <v>32036.26856868633</v>
      </c>
      <c r="CA71" s="3">
        <f t="shared" si="124"/>
        <v>21928</v>
      </c>
      <c r="CB71" s="2">
        <f t="shared" si="125"/>
        <v>0.6844742218646962</v>
      </c>
      <c r="CC71" s="85">
        <f t="shared" si="32"/>
        <v>90</v>
      </c>
      <c r="CD71" s="3" t="str">
        <f t="shared" ref="CD71:CD106" si="136">I71</f>
        <v>Tracker</v>
      </c>
      <c r="CE71" s="69">
        <f t="shared" si="126"/>
        <v>-7.1123693733439103E-2</v>
      </c>
      <c r="CF71" s="2">
        <f t="array" ref="CF71:CG71">LINEST(AB71:AO71,AB$6:AO$6,TRUE,FALSE)</f>
        <v>-115.50769230769237</v>
      </c>
      <c r="CG71" s="2">
        <v>2432.5934065934071</v>
      </c>
      <c r="CH71" s="1">
        <f t="shared" si="34"/>
        <v>0.9556386120119289</v>
      </c>
      <c r="DC71" s="2">
        <f t="shared" si="36"/>
        <v>1</v>
      </c>
      <c r="DD71">
        <f t="shared" ref="DD71:DD106" si="137">D71-E71</f>
        <v>1</v>
      </c>
      <c r="DE71">
        <f t="shared" si="37"/>
        <v>15</v>
      </c>
      <c r="DT71">
        <f t="shared" si="38"/>
        <v>14274</v>
      </c>
      <c r="DU71" s="3">
        <f t="shared" si="39"/>
        <v>2363.6066857677674</v>
      </c>
      <c r="DV71" s="3">
        <f t="shared" si="40"/>
        <v>2351.7886523389284</v>
      </c>
      <c r="DW71" s="3">
        <f t="shared" si="41"/>
        <v>2340.0297090772342</v>
      </c>
      <c r="DX71" s="3">
        <f t="shared" si="42"/>
        <v>2328.3295605318476</v>
      </c>
      <c r="DY71" s="3">
        <f t="shared" si="43"/>
        <v>2316.6879127291886</v>
      </c>
      <c r="DZ71" s="3">
        <f t="shared" si="44"/>
        <v>2305.1044731655429</v>
      </c>
      <c r="EA71" s="3">
        <f t="shared" si="45"/>
        <v>2293.5789507997151</v>
      </c>
      <c r="EB71" s="2">
        <f t="shared" si="46"/>
        <v>0.87575248198479394</v>
      </c>
      <c r="ED71" s="2">
        <f t="shared" si="47"/>
        <v>0.6844742218646962</v>
      </c>
      <c r="EE71" s="58">
        <f t="shared" si="48"/>
        <v>-7.1123693733439103E-2</v>
      </c>
      <c r="EF71" s="2" t="str">
        <f t="shared" si="49"/>
        <v xml:space="preserve"> </v>
      </c>
      <c r="EG71" s="58" t="str">
        <f t="shared" si="50"/>
        <v xml:space="preserve"> </v>
      </c>
      <c r="EI71" s="2">
        <f t="shared" si="51"/>
        <v>0.87575248198479394</v>
      </c>
      <c r="EJ71" s="2" t="str">
        <f t="shared" si="52"/>
        <v xml:space="preserve"> </v>
      </c>
      <c r="EK71" s="2"/>
      <c r="EL71" s="2">
        <f t="array" ref="EL71:EM71">LINEST($AB71:$AH71,$AB$6:$AH$6,TRUE,FALSE)</f>
        <v>-90.285714285714278</v>
      </c>
      <c r="EM71" s="2">
        <v>2400.2857142857142</v>
      </c>
      <c r="EN71" s="58">
        <f t="shared" si="53"/>
        <v>-4.4276306571388535E-2</v>
      </c>
      <c r="EO71" s="2">
        <f t="array" ref="EO71:EP71">LINEST($AH71:$AO71,$AH$6:$AO$6,TRUE,FALSE)</f>
        <v>-74.107142857142847</v>
      </c>
      <c r="EP71" s="2">
        <v>1962</v>
      </c>
      <c r="EQ71" s="58">
        <f t="shared" si="54"/>
        <v>-6.2597100924627044E-2</v>
      </c>
      <c r="ES71" s="3">
        <f t="shared" si="55"/>
        <v>100</v>
      </c>
      <c r="ET71" s="3">
        <f t="shared" si="92"/>
        <v>2276.653061224496</v>
      </c>
      <c r="EU71" s="3">
        <f t="shared" si="93"/>
        <v>555.61224489795302</v>
      </c>
      <c r="EV71" s="3">
        <f t="shared" si="94"/>
        <v>10995.020408163273</v>
      </c>
      <c r="EW71" s="3">
        <f t="shared" si="95"/>
        <v>8255.020408163271</v>
      </c>
      <c r="EX71" s="3">
        <f t="shared" si="96"/>
        <v>2359.1836734693752</v>
      </c>
      <c r="EY71" s="3">
        <f t="shared" si="97"/>
        <v>2373.0816326530676</v>
      </c>
      <c r="EZ71" s="3">
        <f t="shared" si="56"/>
        <v>2793.8775510203877</v>
      </c>
      <c r="FA71" s="3">
        <f t="shared" si="98"/>
        <v>72919.286989795888</v>
      </c>
      <c r="FB71" s="29">
        <f t="shared" si="99"/>
        <v>275550.00510204094</v>
      </c>
      <c r="FC71" s="3">
        <f t="shared" si="100"/>
        <v>3156.0318877550912</v>
      </c>
      <c r="FD71" s="3">
        <f t="shared" si="101"/>
        <v>11510.224489795904</v>
      </c>
      <c r="FE71" s="3">
        <f t="shared" si="122"/>
        <v>17793.654336734657</v>
      </c>
      <c r="FF71" s="3">
        <f t="shared" si="131"/>
        <v>5112.2499999999673</v>
      </c>
      <c r="FG71" s="29"/>
      <c r="FH71" s="3"/>
      <c r="FI71" s="3"/>
      <c r="FQ71" s="4">
        <f t="shared" ref="FQ71:FQ76" si="138">SQRT(AVERAGE(ES71:FF71))/AVERAGE(AB71:AO71)</f>
        <v>0.11002238952506868</v>
      </c>
      <c r="FR71" s="160">
        <v>0.03</v>
      </c>
      <c r="FS71" s="161">
        <f t="shared" ref="FS71:FS106" si="139">FR71/FQ71</f>
        <v>0.27267177280461152</v>
      </c>
      <c r="FV71" s="4">
        <f t="shared" si="58"/>
        <v>3.0408644539476514E-2</v>
      </c>
      <c r="FW71" s="161">
        <f t="shared" si="59"/>
        <v>0.98656156676283246</v>
      </c>
    </row>
    <row r="72" spans="1:179" x14ac:dyDescent="0.3">
      <c r="A72" s="62">
        <f t="shared" si="109"/>
        <v>66</v>
      </c>
      <c r="B72" s="6">
        <v>57200</v>
      </c>
      <c r="C72" s="6" t="s">
        <v>218</v>
      </c>
      <c r="D72" s="6">
        <v>2011</v>
      </c>
      <c r="E72" s="6">
        <v>2010</v>
      </c>
      <c r="F72" s="6" t="s">
        <v>252</v>
      </c>
      <c r="G72" s="17" t="s">
        <v>982</v>
      </c>
      <c r="H72" s="17" t="s">
        <v>639</v>
      </c>
      <c r="I72" s="6" t="s">
        <v>36</v>
      </c>
      <c r="J72" s="17">
        <v>0</v>
      </c>
      <c r="K72" s="6" t="s">
        <v>86</v>
      </c>
      <c r="L72" s="12">
        <v>35.253599999999999</v>
      </c>
      <c r="M72" s="12">
        <v>-81.595600000000005</v>
      </c>
      <c r="N72" s="14">
        <v>1.0349999999999999</v>
      </c>
      <c r="O72" s="6">
        <v>0.94</v>
      </c>
      <c r="P72" s="94">
        <f>365.25*5.8</f>
        <v>2118.4499999999998</v>
      </c>
      <c r="Q72" s="15" t="s">
        <v>565</v>
      </c>
      <c r="R72" s="14">
        <v>15.6</v>
      </c>
      <c r="S72" s="3">
        <f t="shared" ref="S72:S106" si="140">R72+11.448+2.715*IF($I72="Tracker",P72*0.95,P72)/365.25</f>
        <v>42.007649999999998</v>
      </c>
      <c r="T72" s="128" t="str">
        <f t="shared" ref="T72:T106" si="141">IF(S72&gt;=50,"H",IF(S72&gt;=40,"M","C"))</f>
        <v>M</v>
      </c>
      <c r="U72" s="154">
        <v>1635</v>
      </c>
      <c r="V72" s="154">
        <v>689</v>
      </c>
      <c r="W72" s="156">
        <v>0.53400000000000003</v>
      </c>
      <c r="X72" s="1">
        <f t="shared" si="132"/>
        <v>0.42140672782874616</v>
      </c>
      <c r="Y72" s="59">
        <f t="shared" ref="Y72:Y106" si="142">MAX(0,IF($I72="Tracker",P72*0.95,P72)*(N72/O72)*0.0000994+0.3284*X72-0.358)</f>
        <v>6.5254034715173104E-4</v>
      </c>
      <c r="Z72" s="1">
        <f t="shared" ref="Z72:Z106" si="143">EXP(-12.9*Y72)</f>
        <v>0.99161755974824095</v>
      </c>
      <c r="AA72" s="3">
        <f t="shared" si="64"/>
        <v>1662.6529460818799</v>
      </c>
      <c r="AB72" s="6">
        <v>1823</v>
      </c>
      <c r="AC72" s="6">
        <v>1752</v>
      </c>
      <c r="AD72" s="6">
        <v>1725</v>
      </c>
      <c r="AE72" s="6">
        <v>1777</v>
      </c>
      <c r="AF72" s="93">
        <v>1622</v>
      </c>
      <c r="AG72" s="6">
        <v>1599</v>
      </c>
      <c r="AH72" s="6">
        <v>1725</v>
      </c>
      <c r="AI72" s="6">
        <v>1691</v>
      </c>
      <c r="AJ72" s="6">
        <v>1332</v>
      </c>
      <c r="AK72" s="93">
        <v>1488</v>
      </c>
      <c r="AL72" s="6">
        <v>1535</v>
      </c>
      <c r="AM72" s="6">
        <v>1178</v>
      </c>
      <c r="AN72" s="6">
        <v>1111</v>
      </c>
      <c r="AO72" s="6">
        <v>1349</v>
      </c>
      <c r="AP72" s="23"/>
      <c r="AU72" s="23"/>
      <c r="AY72" s="32">
        <v>14</v>
      </c>
      <c r="AZ72" s="1">
        <f t="shared" ref="AZ72:AZ106" si="144">SUM(AB72:AX72)/AY72/N72/P72</f>
        <v>0.70715269789244106</v>
      </c>
      <c r="BA72" s="24">
        <f t="shared" si="133"/>
        <v>66</v>
      </c>
      <c r="BB72" s="2">
        <f t="shared" si="110"/>
        <v>1.0964404834430332</v>
      </c>
      <c r="BC72" s="2">
        <f t="shared" si="111"/>
        <v>1.0590328091318879</v>
      </c>
      <c r="BD72" s="2">
        <f t="shared" si="112"/>
        <v>1.0479518573188467</v>
      </c>
      <c r="BE72" s="2">
        <f t="shared" si="113"/>
        <v>1.0849671257479228</v>
      </c>
      <c r="BF72" s="20">
        <f t="shared" si="114"/>
        <v>0.9953066842163153</v>
      </c>
      <c r="BG72" s="2">
        <f t="shared" si="115"/>
        <v>0.98612383003915272</v>
      </c>
      <c r="BH72" s="2">
        <f t="shared" si="116"/>
        <v>1.0691755254179205</v>
      </c>
      <c r="BI72" s="2">
        <f t="shared" si="117"/>
        <v>1.0533687646823704</v>
      </c>
      <c r="BJ72" s="2">
        <f t="shared" si="118"/>
        <v>0.83390767828314682</v>
      </c>
      <c r="BK72" s="20">
        <f t="shared" si="119"/>
        <v>0.93625381055828882</v>
      </c>
      <c r="BL72" s="2">
        <f t="shared" si="120"/>
        <v>0.97067974226439546</v>
      </c>
      <c r="BM72" s="2">
        <f t="shared" si="121"/>
        <v>0.74866890569293243</v>
      </c>
      <c r="BN72" s="2">
        <f t="shared" si="123"/>
        <v>0.7096357459836089</v>
      </c>
      <c r="BO72" s="2">
        <f t="shared" si="130"/>
        <v>0.86598484893584782</v>
      </c>
      <c r="BP72" s="23"/>
      <c r="BU72" s="23"/>
      <c r="BY72" s="25">
        <f t="shared" si="134"/>
        <v>66</v>
      </c>
      <c r="BZ72" s="3">
        <f t="shared" si="135"/>
        <v>22535.558321918772</v>
      </c>
      <c r="CA72" s="3">
        <f t="shared" si="124"/>
        <v>21707</v>
      </c>
      <c r="CB72" s="2">
        <f t="shared" si="125"/>
        <v>0.96323329069185337</v>
      </c>
      <c r="CC72" s="85">
        <f t="shared" ref="CC72:CC106" si="145">ROUND(RANK(CB72,$CB$7:$CB$106,0),0)</f>
        <v>21</v>
      </c>
      <c r="CD72" s="3" t="str">
        <f t="shared" si="136"/>
        <v>Tracker</v>
      </c>
      <c r="CE72" s="69">
        <f t="shared" si="126"/>
        <v>-2.979145284823605E-2</v>
      </c>
      <c r="CF72" s="2">
        <f t="array" ref="CF72:CG72">LINEST(AB72:AO72,AB$6:AO$6,TRUE,FALSE)</f>
        <v>-46.890109890109905</v>
      </c>
      <c r="CG72" s="2">
        <v>1902.1758241758243</v>
      </c>
      <c r="CH72" s="1">
        <f t="shared" ref="CH72:CH106" si="146">1+IF(G72="CdSCdTe",-0.0025,-0.004)*(S72-$S$4)</f>
        <v>0.99776771201192893</v>
      </c>
      <c r="DC72" s="2">
        <f t="shared" ref="DC72:DC106" si="147">N72/O72</f>
        <v>1.1010638297872339</v>
      </c>
      <c r="DD72">
        <f t="shared" si="137"/>
        <v>1</v>
      </c>
      <c r="DE72">
        <f t="shared" ref="DE72:DE106" si="148">AY72+DD72</f>
        <v>15</v>
      </c>
      <c r="DT72">
        <f t="shared" ref="DT72:DT106" si="149">SUM(AB72:AH72)</f>
        <v>12023</v>
      </c>
      <c r="DU72" s="3">
        <f t="shared" ref="DU72:DU106" si="150">IF(BB72&gt;0,AB72/BB72,$AA72)</f>
        <v>1662.6529460818799</v>
      </c>
      <c r="DV72" s="3">
        <f t="shared" ref="DV72:DV106" si="151">IF(BC72&gt;0,AC72/BC72,$AA72)</f>
        <v>1654.3396813514703</v>
      </c>
      <c r="DW72" s="3">
        <f t="shared" ref="DW72:DW106" si="152">IF(BD72&gt;0,AD72/BD72,$AA72)</f>
        <v>1646.0679829447133</v>
      </c>
      <c r="DX72" s="3">
        <f t="shared" ref="DX72:DX106" si="153">IF(BE72&gt;0,AE72/BE72,$AA72)</f>
        <v>1637.8376430299895</v>
      </c>
      <c r="DY72" s="3">
        <f t="shared" ref="DY72:DY106" si="154">IF(BF72&gt;0,AF72/BF72,$AA72)</f>
        <v>1629.6484548148399</v>
      </c>
      <c r="DZ72" s="3">
        <f t="shared" ref="DZ72:DZ106" si="155">IF(BG72&gt;0,AG72/BG72,$AA72)</f>
        <v>1621.5002125407657</v>
      </c>
      <c r="EA72" s="3">
        <f t="shared" ref="EA72:EA106" si="156">IF(BH72&gt;0,AH72/BH72,$AA72)</f>
        <v>1613.3927114780618</v>
      </c>
      <c r="EB72" s="2">
        <f t="shared" ref="EB72:EB106" si="157">DT72/SUM(DU72:EA72)</f>
        <v>1.0486296544783484</v>
      </c>
      <c r="ED72" s="2" t="str">
        <f t="shared" ref="ED72:ED106" si="158">IF($T72="H",CB72," ")</f>
        <v xml:space="preserve"> </v>
      </c>
      <c r="EE72" s="58" t="str">
        <f t="shared" ref="EE72:EE106" si="159">IF($T72="H",$CE72," ")</f>
        <v xml:space="preserve"> </v>
      </c>
      <c r="EF72" s="2" t="str">
        <f t="shared" ref="EF72:EF106" si="160">IF($T72="C",CB72," ")</f>
        <v xml:space="preserve"> </v>
      </c>
      <c r="EG72" s="58" t="str">
        <f t="shared" ref="EG72:EG106" si="161">IF($T72="C",CE72," ")</f>
        <v xml:space="preserve"> </v>
      </c>
      <c r="EI72" s="2" t="str">
        <f t="shared" ref="EI72:EI106" si="162">IF($T72="H",$EB72," ")</f>
        <v xml:space="preserve"> </v>
      </c>
      <c r="EJ72" s="2" t="str">
        <f t="shared" ref="EJ72:EJ106" si="163">IF($T72="C",$EB72," ")</f>
        <v xml:space="preserve"> </v>
      </c>
      <c r="EK72" s="2"/>
      <c r="EL72" s="2">
        <f t="array" ref="EL72:EM72">LINEST($AB72:$AH72,$AB$6:$AH$6,TRUE,FALSE)</f>
        <v>-25.107142857142854</v>
      </c>
      <c r="EM72" s="2">
        <v>1818</v>
      </c>
      <c r="EN72" s="58">
        <f t="shared" ref="EN72:EN106" si="164">EL72/(EL72*($AB$6+$AH$6)*0.5+EM72)</f>
        <v>-1.4617815852948513E-2</v>
      </c>
      <c r="EO72" s="2">
        <f t="array" ref="EO72:EP72">LINEST($AH72:$AO72,$AH$6:$AO$6,TRUE,FALSE)</f>
        <v>-70.797619047619023</v>
      </c>
      <c r="EP72" s="2">
        <v>2169.5</v>
      </c>
      <c r="EQ72" s="58">
        <f t="shared" ref="EQ72:EQ106" si="165">EO72/(EO72*(AY72/2+7/2)+EP72)</f>
        <v>-4.964334756604015E-2</v>
      </c>
      <c r="ES72" s="3">
        <f t="shared" ref="ES72:ES106" si="166">($EM72+$EL72*ES$6-AB72)^2</f>
        <v>906.44005102041012</v>
      </c>
      <c r="ET72" s="3">
        <f t="shared" si="92"/>
        <v>249.18877551020202</v>
      </c>
      <c r="EU72" s="3">
        <f t="shared" si="93"/>
        <v>312.53188775510665</v>
      </c>
      <c r="EV72" s="3">
        <f t="shared" si="94"/>
        <v>3531.7551020408046</v>
      </c>
      <c r="EW72" s="3">
        <f t="shared" si="95"/>
        <v>4965.2155612244987</v>
      </c>
      <c r="EX72" s="3">
        <f t="shared" si="96"/>
        <v>4672.6989795918407</v>
      </c>
      <c r="EY72" s="3">
        <f t="shared" si="97"/>
        <v>6847.5625</v>
      </c>
      <c r="EZ72" s="3">
        <f t="shared" ref="EZ72:EZ106" si="167">($EP72+$EO72*EZ$6-AI72)^2</f>
        <v>7723.0617913832048</v>
      </c>
      <c r="FA72" s="3">
        <f t="shared" si="98"/>
        <v>40128.67474489809</v>
      </c>
      <c r="FB72" s="29">
        <f t="shared" si="99"/>
        <v>700.98866213151359</v>
      </c>
      <c r="FC72" s="3">
        <f t="shared" si="100"/>
        <v>20814.932114512372</v>
      </c>
      <c r="FD72" s="3">
        <f t="shared" si="101"/>
        <v>20143.719387755202</v>
      </c>
      <c r="FE72" s="3">
        <f t="shared" si="122"/>
        <v>19080.160005669037</v>
      </c>
      <c r="FF72" s="3">
        <f t="shared" si="131"/>
        <v>29127.111111110982</v>
      </c>
      <c r="FG72" s="29"/>
      <c r="FH72" s="3"/>
      <c r="FI72" s="3"/>
      <c r="FQ72" s="4">
        <f t="shared" si="138"/>
        <v>6.8776687444174894E-2</v>
      </c>
      <c r="FR72" s="160">
        <v>3.3000000000000002E-2</v>
      </c>
      <c r="FS72" s="161">
        <f t="shared" si="139"/>
        <v>0.4798137454175247</v>
      </c>
      <c r="FV72" s="4">
        <f t="shared" ref="FV72:FV106" si="168">SQRT(AVERAGE(ES72:EY72))/AVERAGE(AB72:AH72)</f>
        <v>3.2255800358496366E-2</v>
      </c>
      <c r="FW72" s="161">
        <f t="shared" ref="FW72:FW106" si="169">FR72/FV72</f>
        <v>1.0230718082711474</v>
      </c>
    </row>
    <row r="73" spans="1:179" x14ac:dyDescent="0.3">
      <c r="A73" s="62">
        <f t="shared" si="109"/>
        <v>67</v>
      </c>
      <c r="B73" s="6">
        <v>57341</v>
      </c>
      <c r="C73" s="6" t="s">
        <v>222</v>
      </c>
      <c r="D73" s="6">
        <v>2011</v>
      </c>
      <c r="E73" s="6">
        <v>2010</v>
      </c>
      <c r="F73" s="6" t="s">
        <v>248</v>
      </c>
      <c r="G73" s="17" t="s">
        <v>636</v>
      </c>
      <c r="H73" s="17" t="s">
        <v>638</v>
      </c>
      <c r="I73" s="6" t="s">
        <v>35</v>
      </c>
      <c r="J73" s="17">
        <v>20</v>
      </c>
      <c r="K73" s="6" t="s">
        <v>52</v>
      </c>
      <c r="L73" s="12">
        <v>40.494799999999998</v>
      </c>
      <c r="M73" s="12">
        <v>-74.399510000000006</v>
      </c>
      <c r="N73" s="14">
        <v>2</v>
      </c>
      <c r="O73" s="6">
        <v>1.7</v>
      </c>
      <c r="P73" s="94">
        <f>365.25*4.4</f>
        <v>1607.1000000000001</v>
      </c>
      <c r="Q73" s="15" t="s">
        <v>556</v>
      </c>
      <c r="R73" s="14">
        <v>12.7</v>
      </c>
      <c r="S73" s="3">
        <f t="shared" si="140"/>
        <v>36.094000000000001</v>
      </c>
      <c r="T73" s="128" t="str">
        <f t="shared" si="141"/>
        <v>C</v>
      </c>
      <c r="U73" s="154">
        <v>1412</v>
      </c>
      <c r="V73" s="154">
        <v>685</v>
      </c>
      <c r="W73" s="156">
        <v>0.49199999999999999</v>
      </c>
      <c r="X73" s="1">
        <f t="shared" si="132"/>
        <v>0.48512747875354106</v>
      </c>
      <c r="Y73" s="59">
        <f t="shared" si="142"/>
        <v>0</v>
      </c>
      <c r="Z73" s="1">
        <f t="shared" si="143"/>
        <v>1</v>
      </c>
      <c r="AA73" s="3">
        <f t="shared" ref="AA73:AA106" si="170">N73*P73*INDEX($C$3:$D$4,MATCH(I73,$C$3:$C$4,0),2)*CH73</f>
        <v>2626.4444762149942</v>
      </c>
      <c r="AB73" s="6">
        <v>2385</v>
      </c>
      <c r="AC73" s="6">
        <v>2623</v>
      </c>
      <c r="AD73" s="6">
        <v>2596</v>
      </c>
      <c r="AE73" s="6">
        <v>2390</v>
      </c>
      <c r="AF73" s="93">
        <v>2434</v>
      </c>
      <c r="AG73" s="6">
        <v>2502</v>
      </c>
      <c r="AH73" s="6">
        <v>2460</v>
      </c>
      <c r="AI73" s="6">
        <v>2330</v>
      </c>
      <c r="AJ73" s="6">
        <v>2343</v>
      </c>
      <c r="AK73" s="93">
        <v>2531</v>
      </c>
      <c r="AL73" s="6">
        <v>1914</v>
      </c>
      <c r="AM73" s="6">
        <v>2665</v>
      </c>
      <c r="AN73" s="6">
        <v>2567</v>
      </c>
      <c r="AO73" s="6">
        <v>2531</v>
      </c>
      <c r="AP73" s="23"/>
      <c r="AU73" s="23"/>
      <c r="AY73" s="32">
        <v>14</v>
      </c>
      <c r="AZ73" s="1">
        <f t="shared" si="144"/>
        <v>0.76159808706009935</v>
      </c>
      <c r="BA73" s="24">
        <f t="shared" si="133"/>
        <v>67</v>
      </c>
      <c r="BB73" s="2">
        <f t="shared" si="110"/>
        <v>0.90807173789451545</v>
      </c>
      <c r="BC73" s="2">
        <f t="shared" si="111"/>
        <v>1.0037070756285889</v>
      </c>
      <c r="BD73" s="2">
        <f t="shared" si="112"/>
        <v>0.99836719561659493</v>
      </c>
      <c r="BE73" s="2">
        <f t="shared" si="113"/>
        <v>0.92376272639145729</v>
      </c>
      <c r="BF73" s="20">
        <f t="shared" si="114"/>
        <v>0.94549672043767252</v>
      </c>
      <c r="BG73" s="2">
        <f t="shared" si="115"/>
        <v>0.97679556142877755</v>
      </c>
      <c r="BH73" s="2">
        <f t="shared" si="116"/>
        <v>0.96522463681910453</v>
      </c>
      <c r="BI73" s="2">
        <f t="shared" si="117"/>
        <v>0.9188108852345116</v>
      </c>
      <c r="BJ73" s="2">
        <f t="shared" si="118"/>
        <v>0.92858019889337695</v>
      </c>
      <c r="BK73" s="20">
        <f t="shared" si="119"/>
        <v>1.0081292005907203</v>
      </c>
      <c r="BL73" s="2">
        <f t="shared" si="120"/>
        <v>0.76620133060825202</v>
      </c>
      <c r="BM73" s="2">
        <f t="shared" si="121"/>
        <v>1.0721982672353363</v>
      </c>
      <c r="BN73" s="2">
        <f t="shared" si="123"/>
        <v>1.0379601391547262</v>
      </c>
      <c r="BO73" s="2">
        <f t="shared" si="130"/>
        <v>1.0285463594562654</v>
      </c>
      <c r="BP73" s="23"/>
      <c r="BU73" s="23"/>
      <c r="BY73" s="25">
        <f t="shared" si="134"/>
        <v>67</v>
      </c>
      <c r="BZ73" s="3">
        <f t="shared" si="135"/>
        <v>35598.765703031801</v>
      </c>
      <c r="CA73" s="3">
        <f t="shared" si="124"/>
        <v>34271</v>
      </c>
      <c r="CB73" s="2">
        <f t="shared" si="125"/>
        <v>0.96270191741735811</v>
      </c>
      <c r="CC73" s="85">
        <f t="shared" si="145"/>
        <v>22</v>
      </c>
      <c r="CD73" s="3" t="str">
        <f t="shared" si="136"/>
        <v>Fixed</v>
      </c>
      <c r="CE73" s="69">
        <f t="shared" si="126"/>
        <v>-1.3915518180341903E-3</v>
      </c>
      <c r="CF73" s="2">
        <f t="array" ref="CF73:CG73">LINEST(AB73:AO73,AB$6:AO$6,TRUE,FALSE)</f>
        <v>-3.4087912087912127</v>
      </c>
      <c r="CG73" s="2">
        <v>2473.4945054945056</v>
      </c>
      <c r="CH73" s="1">
        <f t="shared" si="146"/>
        <v>1.021422312011929</v>
      </c>
      <c r="DC73" s="2">
        <f t="shared" si="147"/>
        <v>1.1764705882352942</v>
      </c>
      <c r="DD73">
        <f t="shared" si="137"/>
        <v>1</v>
      </c>
      <c r="DE73">
        <f t="shared" si="148"/>
        <v>15</v>
      </c>
      <c r="DT73">
        <f t="shared" si="149"/>
        <v>17390</v>
      </c>
      <c r="DU73" s="3">
        <f t="shared" si="150"/>
        <v>2626.4444762149942</v>
      </c>
      <c r="DV73" s="3">
        <f t="shared" si="151"/>
        <v>2613.3122538339198</v>
      </c>
      <c r="DW73" s="3">
        <f t="shared" si="152"/>
        <v>2600.2456925647498</v>
      </c>
      <c r="DX73" s="3">
        <f t="shared" si="153"/>
        <v>2587.244464101926</v>
      </c>
      <c r="DY73" s="3">
        <f t="shared" si="154"/>
        <v>2574.3082417814162</v>
      </c>
      <c r="DZ73" s="3">
        <f t="shared" si="155"/>
        <v>2561.4367005725094</v>
      </c>
      <c r="EA73" s="3">
        <f t="shared" si="156"/>
        <v>2548.6295170696471</v>
      </c>
      <c r="EB73" s="2">
        <f t="shared" si="157"/>
        <v>0.96015699906993746</v>
      </c>
      <c r="ED73" s="2" t="str">
        <f t="shared" si="158"/>
        <v xml:space="preserve"> </v>
      </c>
      <c r="EE73" s="58" t="str">
        <f t="shared" si="159"/>
        <v xml:space="preserve"> </v>
      </c>
      <c r="EF73" s="2">
        <f t="shared" si="160"/>
        <v>0.96270191741735811</v>
      </c>
      <c r="EG73" s="58">
        <f t="shared" si="161"/>
        <v>-1.3915518180341903E-3</v>
      </c>
      <c r="EI73" s="2" t="str">
        <f t="shared" si="162"/>
        <v xml:space="preserve"> </v>
      </c>
      <c r="EJ73" s="2">
        <f t="shared" si="163"/>
        <v>0.96015699906993746</v>
      </c>
      <c r="EK73" s="2"/>
      <c r="EL73" s="2">
        <f t="array" ref="EL73:EM73">LINEST($AB73:$AH73,$AB$6:$AH$6,TRUE,FALSE)</f>
        <v>-6.3928571428571397</v>
      </c>
      <c r="EM73" s="2">
        <v>2509.8571428571427</v>
      </c>
      <c r="EN73" s="58">
        <f t="shared" si="164"/>
        <v>-2.5733179988499124E-3</v>
      </c>
      <c r="EO73" s="2">
        <f t="array" ref="EO73:EP73">LINEST($AH73:$AO73,$AH$6:$AO$6,TRUE,FALSE)</f>
        <v>24.178571428571431</v>
      </c>
      <c r="EP73" s="2">
        <v>2163.75</v>
      </c>
      <c r="EQ73" s="58">
        <f t="shared" si="165"/>
        <v>1.0000960210359932E-2</v>
      </c>
      <c r="ES73" s="3">
        <f t="shared" si="166"/>
        <v>14033.786989795826</v>
      </c>
      <c r="ET73" s="3">
        <f t="shared" si="92"/>
        <v>15858.005102040848</v>
      </c>
      <c r="EU73" s="3">
        <f t="shared" si="93"/>
        <v>11092.603316326598</v>
      </c>
      <c r="EV73" s="3">
        <f t="shared" si="94"/>
        <v>8889.7959183673338</v>
      </c>
      <c r="EW73" s="3">
        <f t="shared" si="95"/>
        <v>1926.5829081632426</v>
      </c>
      <c r="EX73" s="3">
        <f t="shared" si="96"/>
        <v>930.25</v>
      </c>
      <c r="EY73" s="3">
        <f t="shared" si="97"/>
        <v>26.082908163263316</v>
      </c>
      <c r="EZ73" s="3">
        <f t="shared" si="167"/>
        <v>738.67474489796621</v>
      </c>
      <c r="FA73" s="3">
        <f t="shared" si="98"/>
        <v>1471.2704081632853</v>
      </c>
      <c r="FB73" s="29">
        <f t="shared" si="99"/>
        <v>15741.286989795935</v>
      </c>
      <c r="FC73" s="3">
        <f t="shared" si="100"/>
        <v>265961.22448979598</v>
      </c>
      <c r="FD73" s="3">
        <f t="shared" si="101"/>
        <v>44566.225765306037</v>
      </c>
      <c r="FE73" s="3">
        <f t="shared" si="122"/>
        <v>7908.2908163265538</v>
      </c>
      <c r="FF73" s="3">
        <f t="shared" si="131"/>
        <v>826.5625</v>
      </c>
      <c r="FG73" s="29"/>
      <c r="FH73" s="3"/>
      <c r="FI73" s="3"/>
      <c r="FQ73" s="4">
        <f t="shared" si="138"/>
        <v>6.8179403623275819E-2</v>
      </c>
      <c r="FR73" s="160">
        <v>3.1E-2</v>
      </c>
      <c r="FS73" s="161">
        <f t="shared" si="139"/>
        <v>0.45468276858639001</v>
      </c>
      <c r="FV73" s="4">
        <f t="shared" si="168"/>
        <v>3.4945392666825975E-2</v>
      </c>
      <c r="FW73" s="161">
        <f t="shared" si="169"/>
        <v>0.8870983449966674</v>
      </c>
    </row>
    <row r="74" spans="1:179" x14ac:dyDescent="0.3">
      <c r="A74" s="62">
        <f t="shared" si="109"/>
        <v>68</v>
      </c>
      <c r="B74" s="6">
        <v>56930</v>
      </c>
      <c r="C74" s="6" t="s">
        <v>223</v>
      </c>
      <c r="D74" s="6">
        <v>2011</v>
      </c>
      <c r="E74" s="6">
        <v>2010</v>
      </c>
      <c r="F74" s="6" t="s">
        <v>248</v>
      </c>
      <c r="G74" s="17" t="s">
        <v>636</v>
      </c>
      <c r="H74" s="17" t="s">
        <v>638</v>
      </c>
      <c r="I74" s="6" t="s">
        <v>35</v>
      </c>
      <c r="J74" s="17">
        <v>20</v>
      </c>
      <c r="K74" s="6" t="s">
        <v>109</v>
      </c>
      <c r="L74" s="12">
        <v>28.486000000000001</v>
      </c>
      <c r="M74" s="12">
        <v>-80.680999999999997</v>
      </c>
      <c r="N74" s="14">
        <v>11.5</v>
      </c>
      <c r="O74" s="6">
        <v>10</v>
      </c>
      <c r="P74" s="94">
        <f>365.25*5.2</f>
        <v>1899.3</v>
      </c>
      <c r="Q74" s="15" t="s">
        <v>572</v>
      </c>
      <c r="R74" s="14">
        <v>21.3</v>
      </c>
      <c r="S74" s="3">
        <f t="shared" si="140"/>
        <v>46.866</v>
      </c>
      <c r="T74" s="128" t="str">
        <f t="shared" si="141"/>
        <v>M</v>
      </c>
      <c r="U74" s="154">
        <v>1771</v>
      </c>
      <c r="V74" s="154">
        <v>769</v>
      </c>
      <c r="W74" s="156">
        <v>0.54600000000000004</v>
      </c>
      <c r="X74" s="1">
        <f t="shared" si="132"/>
        <v>0.4342179559570864</v>
      </c>
      <c r="Y74" s="59">
        <f t="shared" si="142"/>
        <v>1.7061597363071668E-3</v>
      </c>
      <c r="Z74" s="1">
        <f t="shared" si="143"/>
        <v>0.97823098035702183</v>
      </c>
      <c r="AA74" s="3">
        <f t="shared" si="170"/>
        <v>17094.983300999163</v>
      </c>
      <c r="AB74" s="6">
        <v>18842</v>
      </c>
      <c r="AC74" s="6">
        <v>18508</v>
      </c>
      <c r="AD74" s="6">
        <v>18169</v>
      </c>
      <c r="AE74" s="6">
        <v>17551</v>
      </c>
      <c r="AF74" s="93">
        <v>17682</v>
      </c>
      <c r="AG74" s="6">
        <v>18300</v>
      </c>
      <c r="AH74" s="6">
        <v>15557</v>
      </c>
      <c r="AI74" s="6">
        <v>17546</v>
      </c>
      <c r="AJ74" s="6">
        <v>16554</v>
      </c>
      <c r="AK74" s="93">
        <v>14798</v>
      </c>
      <c r="AL74" s="6">
        <v>16431</v>
      </c>
      <c r="AM74" s="6">
        <v>14878</v>
      </c>
      <c r="AN74" s="6">
        <v>12814</v>
      </c>
      <c r="AO74" s="6">
        <v>8582</v>
      </c>
      <c r="AP74" s="23"/>
      <c r="AU74" s="23"/>
      <c r="AY74" s="32">
        <v>14</v>
      </c>
      <c r="AZ74" s="1">
        <f t="shared" si="144"/>
        <v>0.73976911402141288</v>
      </c>
      <c r="BA74" s="24">
        <f t="shared" si="133"/>
        <v>68</v>
      </c>
      <c r="BB74" s="2">
        <f t="shared" si="110"/>
        <v>1.1021947005294077</v>
      </c>
      <c r="BC74" s="2">
        <f t="shared" si="111"/>
        <v>1.088097291328646</v>
      </c>
      <c r="BD74" s="2">
        <f t="shared" si="112"/>
        <v>1.0735349367406608</v>
      </c>
      <c r="BE74" s="2">
        <f t="shared" si="113"/>
        <v>1.0422308955053954</v>
      </c>
      <c r="BF74" s="20">
        <f t="shared" si="114"/>
        <v>1.0552864999790359</v>
      </c>
      <c r="BG74" s="2">
        <f t="shared" si="115"/>
        <v>1.0976578941316897</v>
      </c>
      <c r="BH74" s="2">
        <f t="shared" si="116"/>
        <v>0.93781826394303192</v>
      </c>
      <c r="BI74" s="2">
        <f t="shared" si="117"/>
        <v>1.0630357714615657</v>
      </c>
      <c r="BJ74" s="2">
        <f t="shared" si="118"/>
        <v>1.0079746825300995</v>
      </c>
      <c r="BK74" s="20">
        <f t="shared" si="119"/>
        <v>0.90557956825813324</v>
      </c>
      <c r="BL74" s="2">
        <f t="shared" si="120"/>
        <v>1.0105655922570949</v>
      </c>
      <c r="BM74" s="2">
        <f t="shared" si="121"/>
        <v>0.91964875082007669</v>
      </c>
      <c r="BN74" s="2">
        <f t="shared" si="123"/>
        <v>0.79604765952416079</v>
      </c>
      <c r="BO74" s="2">
        <f t="shared" si="130"/>
        <v>0.53582106051063405</v>
      </c>
      <c r="BP74" s="23"/>
      <c r="BU74" s="23"/>
      <c r="BY74" s="25">
        <f t="shared" si="134"/>
        <v>68</v>
      </c>
      <c r="BZ74" s="3">
        <f t="shared" si="135"/>
        <v>231704.99538087135</v>
      </c>
      <c r="CA74" s="3">
        <f t="shared" si="124"/>
        <v>226212</v>
      </c>
      <c r="CB74" s="2">
        <f t="shared" si="125"/>
        <v>0.97629315081514711</v>
      </c>
      <c r="CC74" s="85">
        <f t="shared" si="145"/>
        <v>16</v>
      </c>
      <c r="CD74" s="3" t="str">
        <f t="shared" si="136"/>
        <v>Fixed</v>
      </c>
      <c r="CE74" s="69">
        <f t="shared" si="126"/>
        <v>-3.3586534252736333E-2</v>
      </c>
      <c r="CF74" s="2">
        <f t="array" ref="CF74:CG74">LINEST(AB74:AO74,AB$6:AO$6,TRUE,FALSE)</f>
        <v>-551.96043956043968</v>
      </c>
      <c r="CG74" s="2">
        <v>20297.703296703297</v>
      </c>
      <c r="CH74" s="1">
        <f t="shared" si="146"/>
        <v>0.978334312011929</v>
      </c>
      <c r="DC74" s="2">
        <f t="shared" si="147"/>
        <v>1.1499999999999999</v>
      </c>
      <c r="DD74">
        <f t="shared" si="137"/>
        <v>1</v>
      </c>
      <c r="DE74">
        <f t="shared" si="148"/>
        <v>15</v>
      </c>
      <c r="DT74">
        <f t="shared" si="149"/>
        <v>124609</v>
      </c>
      <c r="DU74" s="3">
        <f t="shared" si="150"/>
        <v>17094.983300999163</v>
      </c>
      <c r="DV74" s="3">
        <f t="shared" si="151"/>
        <v>17009.508384494169</v>
      </c>
      <c r="DW74" s="3">
        <f t="shared" si="152"/>
        <v>16924.460842571698</v>
      </c>
      <c r="DX74" s="3">
        <f t="shared" si="153"/>
        <v>16839.838538358839</v>
      </c>
      <c r="DY74" s="3">
        <f t="shared" si="154"/>
        <v>16755.639345667045</v>
      </c>
      <c r="DZ74" s="3">
        <f t="shared" si="155"/>
        <v>16671.861148938711</v>
      </c>
      <c r="EA74" s="3">
        <f t="shared" si="156"/>
        <v>16588.501843194019</v>
      </c>
      <c r="EB74" s="2">
        <f t="shared" si="157"/>
        <v>1.0570404918361203</v>
      </c>
      <c r="ED74" s="2" t="str">
        <f t="shared" si="158"/>
        <v xml:space="preserve"> </v>
      </c>
      <c r="EE74" s="58" t="str">
        <f t="shared" si="159"/>
        <v xml:space="preserve"> </v>
      </c>
      <c r="EF74" s="2" t="str">
        <f t="shared" si="160"/>
        <v xml:space="preserve"> </v>
      </c>
      <c r="EG74" s="58" t="str">
        <f t="shared" si="161"/>
        <v xml:space="preserve"> </v>
      </c>
      <c r="EI74" s="2" t="str">
        <f t="shared" si="162"/>
        <v xml:space="preserve"> </v>
      </c>
      <c r="EJ74" s="2" t="str">
        <f t="shared" si="163"/>
        <v xml:space="preserve"> </v>
      </c>
      <c r="EK74" s="2"/>
      <c r="EL74" s="2">
        <f t="array" ref="EL74:EM74">LINEST($AB74:$AH74,$AB$6:$AH$6,TRUE,FALSE)</f>
        <v>-384.21428571428567</v>
      </c>
      <c r="EM74" s="2">
        <v>19338.142857142855</v>
      </c>
      <c r="EN74" s="58">
        <f t="shared" si="164"/>
        <v>-2.1583513229381502E-2</v>
      </c>
      <c r="EO74" s="2">
        <f t="array" ref="EO74:EP74">LINEST($AH74:$AO74,$AH$6:$AO$6,TRUE,FALSE)</f>
        <v>-903.33333333333348</v>
      </c>
      <c r="EP74" s="2">
        <v>24130</v>
      </c>
      <c r="EQ74" s="58">
        <f t="shared" si="165"/>
        <v>-6.1682030271992733E-2</v>
      </c>
      <c r="ES74" s="3">
        <f t="shared" si="166"/>
        <v>12528.005102040235</v>
      </c>
      <c r="ET74" s="3">
        <f t="shared" si="92"/>
        <v>3808.6530612241049</v>
      </c>
      <c r="EU74" s="3">
        <f t="shared" si="93"/>
        <v>272.25</v>
      </c>
      <c r="EV74" s="3">
        <f t="shared" si="94"/>
        <v>62642.938775509945</v>
      </c>
      <c r="EW74" s="3">
        <f t="shared" si="95"/>
        <v>70187.147959184222</v>
      </c>
      <c r="EX74" s="3">
        <f t="shared" si="96"/>
        <v>1605651.0204081673</v>
      </c>
      <c r="EY74" s="3">
        <f t="shared" si="97"/>
        <v>1191684.1275510159</v>
      </c>
      <c r="EZ74" s="3">
        <f t="shared" si="167"/>
        <v>413020.44444444601</v>
      </c>
      <c r="FA74" s="3">
        <f t="shared" si="98"/>
        <v>306916.00000000204</v>
      </c>
      <c r="FB74" s="29">
        <f t="shared" si="99"/>
        <v>89201.777777776326</v>
      </c>
      <c r="FC74" s="3">
        <f t="shared" si="100"/>
        <v>5007152.1111111166</v>
      </c>
      <c r="FD74" s="3">
        <f t="shared" si="101"/>
        <v>2521744.0000000056</v>
      </c>
      <c r="FE74" s="3">
        <f t="shared" si="122"/>
        <v>182613.77777777985</v>
      </c>
      <c r="FF74" s="3">
        <f t="shared" si="131"/>
        <v>8417735.1111111045</v>
      </c>
      <c r="FG74" s="29"/>
      <c r="FH74" s="3"/>
      <c r="FI74" s="3"/>
      <c r="FQ74" s="4">
        <f t="shared" si="138"/>
        <v>7.3758638997599504E-2</v>
      </c>
      <c r="FR74" s="160">
        <v>3.2000000000000001E-2</v>
      </c>
      <c r="FS74" s="161">
        <f t="shared" si="139"/>
        <v>0.43384748464571654</v>
      </c>
      <c r="FV74" s="4">
        <f t="shared" si="168"/>
        <v>3.644794394042615E-2</v>
      </c>
      <c r="FW74" s="161">
        <f t="shared" si="169"/>
        <v>0.8779644759195121</v>
      </c>
    </row>
    <row r="75" spans="1:179" x14ac:dyDescent="0.3">
      <c r="A75" s="62">
        <f t="shared" si="109"/>
        <v>69</v>
      </c>
      <c r="B75" s="6">
        <v>57559</v>
      </c>
      <c r="C75" s="6" t="s">
        <v>226</v>
      </c>
      <c r="D75" s="6">
        <v>2011</v>
      </c>
      <c r="E75" s="6">
        <v>2010</v>
      </c>
      <c r="F75" s="6" t="s">
        <v>252</v>
      </c>
      <c r="G75" s="17" t="s">
        <v>636</v>
      </c>
      <c r="H75" s="17" t="s">
        <v>638</v>
      </c>
      <c r="I75" s="6" t="s">
        <v>35</v>
      </c>
      <c r="J75" s="17">
        <v>5</v>
      </c>
      <c r="K75" s="6" t="s">
        <v>24</v>
      </c>
      <c r="L75" s="12">
        <v>37.750900000000001</v>
      </c>
      <c r="M75" s="12">
        <v>-122.482</v>
      </c>
      <c r="N75" s="14">
        <v>5</v>
      </c>
      <c r="O75" s="6">
        <v>4.5</v>
      </c>
      <c r="P75" s="94">
        <f>365.25*4.85</f>
        <v>1771.4624999999999</v>
      </c>
      <c r="Q75" s="15" t="s">
        <v>509</v>
      </c>
      <c r="R75" s="14">
        <v>13.9</v>
      </c>
      <c r="S75" s="3">
        <f t="shared" si="140"/>
        <v>38.515749999999997</v>
      </c>
      <c r="T75" s="128" t="str">
        <f t="shared" si="141"/>
        <v>C</v>
      </c>
      <c r="U75" s="154">
        <v>1738</v>
      </c>
      <c r="V75" s="154">
        <v>576</v>
      </c>
      <c r="W75" s="156">
        <v>0.58299999999999996</v>
      </c>
      <c r="X75" s="1">
        <f t="shared" si="132"/>
        <v>0.33141542002301494</v>
      </c>
      <c r="Y75" s="59">
        <f t="shared" si="142"/>
        <v>0</v>
      </c>
      <c r="Z75" s="1">
        <f t="shared" si="143"/>
        <v>1</v>
      </c>
      <c r="AA75" s="3">
        <f t="shared" si="170"/>
        <v>7169.0046606197275</v>
      </c>
      <c r="AB75" s="6">
        <v>6751</v>
      </c>
      <c r="AC75" s="6">
        <v>6828</v>
      </c>
      <c r="AD75" s="6">
        <v>2582</v>
      </c>
      <c r="AE75" s="6">
        <v>6640</v>
      </c>
      <c r="AF75" s="93">
        <v>6759</v>
      </c>
      <c r="AG75" s="6">
        <v>6879</v>
      </c>
      <c r="AH75" s="6">
        <v>6545</v>
      </c>
      <c r="AI75" s="6">
        <v>6905</v>
      </c>
      <c r="AJ75" s="6">
        <v>6572</v>
      </c>
      <c r="AK75" s="93">
        <v>6531</v>
      </c>
      <c r="AL75" s="6">
        <v>6375</v>
      </c>
      <c r="AM75" s="6">
        <v>6246</v>
      </c>
      <c r="AN75" s="6">
        <v>6028</v>
      </c>
      <c r="AO75" s="6">
        <v>6488</v>
      </c>
      <c r="AP75" s="23"/>
      <c r="AU75" s="23"/>
      <c r="AY75" s="32">
        <v>14</v>
      </c>
      <c r="AZ75" s="1">
        <f t="shared" si="144"/>
        <v>0.71070412965880703</v>
      </c>
      <c r="BA75" s="24">
        <f t="shared" si="133"/>
        <v>69</v>
      </c>
      <c r="BB75" s="2">
        <f t="shared" si="110"/>
        <v>0.9416927899467159</v>
      </c>
      <c r="BC75" s="2">
        <f t="shared" si="111"/>
        <v>0.95721956989155166</v>
      </c>
      <c r="BD75" s="2">
        <f t="shared" si="112"/>
        <v>0.36379038270732489</v>
      </c>
      <c r="BE75" s="2">
        <f t="shared" si="113"/>
        <v>0.94024270896567941</v>
      </c>
      <c r="BF75" s="20">
        <f t="shared" si="114"/>
        <v>0.96190295905718759</v>
      </c>
      <c r="BG75" s="2">
        <f t="shared" si="115"/>
        <v>0.98390018673845536</v>
      </c>
      <c r="BH75" s="2">
        <f t="shared" si="116"/>
        <v>0.94083248371574246</v>
      </c>
      <c r="BI75" s="2">
        <f t="shared" si="117"/>
        <v>0.99756971259002458</v>
      </c>
      <c r="BJ75" s="2">
        <f t="shared" si="118"/>
        <v>0.95423215296491748</v>
      </c>
      <c r="BK75" s="20">
        <f t="shared" si="119"/>
        <v>0.95304431332161055</v>
      </c>
      <c r="BL75" s="2">
        <f t="shared" si="120"/>
        <v>0.93495459188843721</v>
      </c>
      <c r="BM75" s="2">
        <f t="shared" si="121"/>
        <v>0.92063870425621119</v>
      </c>
      <c r="BN75" s="2">
        <f t="shared" si="123"/>
        <v>0.89297111707375176</v>
      </c>
      <c r="BO75" s="2">
        <f t="shared" si="130"/>
        <v>0.96594395460622651</v>
      </c>
      <c r="BP75" s="23"/>
      <c r="BU75" s="23"/>
      <c r="BY75" s="25">
        <f t="shared" si="134"/>
        <v>69</v>
      </c>
      <c r="BZ75" s="3">
        <f t="shared" si="135"/>
        <v>97168.517952120601</v>
      </c>
      <c r="CA75" s="3">
        <f t="shared" si="124"/>
        <v>88129</v>
      </c>
      <c r="CB75" s="2">
        <f t="shared" si="125"/>
        <v>0.90697071291573272</v>
      </c>
      <c r="CC75" s="85">
        <f t="shared" si="145"/>
        <v>36</v>
      </c>
      <c r="CD75" s="3" t="str">
        <f t="shared" si="136"/>
        <v>Fixed</v>
      </c>
      <c r="CE75" s="69">
        <f t="shared" si="126"/>
        <v>6.0236196207301331E-3</v>
      </c>
      <c r="CF75" s="2">
        <f t="array" ref="CF75:CG75">LINEST(AB75:AO75,AB$6:AO$6,TRUE,FALSE)</f>
        <v>37.804395604395609</v>
      </c>
      <c r="CG75" s="2">
        <v>6011.3956043956041</v>
      </c>
      <c r="CH75" s="1">
        <f t="shared" si="146"/>
        <v>1.011735312011929</v>
      </c>
      <c r="DC75" s="2">
        <f t="shared" si="147"/>
        <v>1.1111111111111112</v>
      </c>
      <c r="DD75">
        <f t="shared" si="137"/>
        <v>1</v>
      </c>
      <c r="DE75">
        <f t="shared" si="148"/>
        <v>15</v>
      </c>
      <c r="DT75">
        <f t="shared" si="149"/>
        <v>42984</v>
      </c>
      <c r="DU75" s="3">
        <f t="shared" si="150"/>
        <v>7169.0046606197275</v>
      </c>
      <c r="DV75" s="3">
        <f t="shared" si="151"/>
        <v>7133.1596373166285</v>
      </c>
      <c r="DW75" s="3">
        <f t="shared" si="152"/>
        <v>7097.4938391300457</v>
      </c>
      <c r="DX75" s="3">
        <f t="shared" si="153"/>
        <v>7062.0063699343955</v>
      </c>
      <c r="DY75" s="3">
        <f t="shared" si="154"/>
        <v>7026.6963380847237</v>
      </c>
      <c r="DZ75" s="3">
        <f t="shared" si="155"/>
        <v>6991.5628563943001</v>
      </c>
      <c r="EA75" s="3">
        <f t="shared" si="156"/>
        <v>6956.6050421123291</v>
      </c>
      <c r="EB75" s="2">
        <f t="shared" si="157"/>
        <v>0.86947852311680529</v>
      </c>
      <c r="ED75" s="2" t="str">
        <f t="shared" si="158"/>
        <v xml:space="preserve"> </v>
      </c>
      <c r="EE75" s="58" t="str">
        <f t="shared" si="159"/>
        <v xml:space="preserve"> </v>
      </c>
      <c r="EF75" s="2">
        <f t="shared" si="160"/>
        <v>0.90697071291573272</v>
      </c>
      <c r="EG75" s="58">
        <f t="shared" si="161"/>
        <v>6.0236196207301331E-3</v>
      </c>
      <c r="EI75" s="2" t="str">
        <f t="shared" si="162"/>
        <v xml:space="preserve"> </v>
      </c>
      <c r="EJ75" s="2">
        <f t="shared" si="163"/>
        <v>0.86947852311680529</v>
      </c>
      <c r="EK75" s="2"/>
      <c r="EL75" s="2">
        <f t="array" ref="EL75:EM75">LINEST($AB75:$AH75,$AB$6:$AH$6,TRUE,FALSE)</f>
        <v>130.74999999999994</v>
      </c>
      <c r="EM75" s="2">
        <v>5617.5714285714284</v>
      </c>
      <c r="EN75" s="58">
        <f t="shared" si="164"/>
        <v>2.1292806625721191E-2</v>
      </c>
      <c r="EO75" s="2">
        <f t="array" ref="EO75:EP75">LINEST($AH75:$AO75,$AH$6:$AO$6,TRUE,FALSE)</f>
        <v>-70.452380952380963</v>
      </c>
      <c r="EP75" s="2">
        <v>7201</v>
      </c>
      <c r="EQ75" s="58">
        <f t="shared" si="165"/>
        <v>-1.0903831449391522E-2</v>
      </c>
      <c r="ES75" s="3">
        <f t="shared" si="166"/>
        <v>1005364.3176020411</v>
      </c>
      <c r="ET75" s="3">
        <f t="shared" si="92"/>
        <v>900465.43367346958</v>
      </c>
      <c r="EU75" s="3">
        <f t="shared" si="93"/>
        <v>11749959.746173469</v>
      </c>
      <c r="EV75" s="3">
        <f t="shared" si="94"/>
        <v>249428.89795918381</v>
      </c>
      <c r="EW75" s="3">
        <f t="shared" si="95"/>
        <v>237830.38903061236</v>
      </c>
      <c r="EX75" s="3">
        <f t="shared" si="96"/>
        <v>227460.86224489808</v>
      </c>
      <c r="EY75" s="3">
        <f t="shared" si="97"/>
        <v>148.31760204084165</v>
      </c>
      <c r="EZ75" s="3">
        <f t="shared" si="167"/>
        <v>71619.954648526123</v>
      </c>
      <c r="FA75" s="3">
        <f t="shared" si="98"/>
        <v>25.719387755100723</v>
      </c>
      <c r="FB75" s="29">
        <f t="shared" si="99"/>
        <v>1191.8934240362573</v>
      </c>
      <c r="FC75" s="3">
        <f t="shared" si="100"/>
        <v>2603.4291383219602</v>
      </c>
      <c r="FD75" s="3">
        <f t="shared" si="101"/>
        <v>12005.897959183645</v>
      </c>
      <c r="FE75" s="3">
        <f t="shared" si="122"/>
        <v>66110.204648526123</v>
      </c>
      <c r="FF75" s="3">
        <f t="shared" si="131"/>
        <v>74711.111111111444</v>
      </c>
      <c r="FG75" s="29"/>
      <c r="FH75" s="3"/>
      <c r="FI75" s="3"/>
      <c r="FQ75" s="4">
        <f t="shared" si="138"/>
        <v>0.16222046121428207</v>
      </c>
      <c r="FR75" s="160">
        <v>2.3E-2</v>
      </c>
      <c r="FS75" s="161">
        <f t="shared" si="139"/>
        <v>0.14178236104025485</v>
      </c>
      <c r="FV75" s="4">
        <f t="shared" si="168"/>
        <v>0.23333533928683955</v>
      </c>
      <c r="FW75" s="161">
        <f t="shared" si="169"/>
        <v>9.8570581165701859E-2</v>
      </c>
    </row>
    <row r="76" spans="1:179" x14ac:dyDescent="0.3">
      <c r="A76" s="62">
        <f t="shared" si="109"/>
        <v>70</v>
      </c>
      <c r="B76" s="6">
        <v>57402</v>
      </c>
      <c r="C76" s="6" t="s">
        <v>227</v>
      </c>
      <c r="D76" s="6">
        <v>2011</v>
      </c>
      <c r="E76" s="6">
        <v>2010</v>
      </c>
      <c r="F76" s="6" t="s">
        <v>252</v>
      </c>
      <c r="G76" s="17" t="s">
        <v>636</v>
      </c>
      <c r="H76" s="17" t="s">
        <v>638</v>
      </c>
      <c r="I76" s="6" t="s">
        <v>36</v>
      </c>
      <c r="J76" s="17">
        <v>0</v>
      </c>
      <c r="K76" s="6" t="s">
        <v>86</v>
      </c>
      <c r="L76" s="12">
        <v>35.908999999999999</v>
      </c>
      <c r="M76" s="12">
        <v>-81.152000000000001</v>
      </c>
      <c r="N76" s="14">
        <v>1.2</v>
      </c>
      <c r="O76" s="6">
        <v>1</v>
      </c>
      <c r="P76" s="94">
        <f>365.25*5.8</f>
        <v>2118.4499999999998</v>
      </c>
      <c r="Q76" s="15" t="s">
        <v>565</v>
      </c>
      <c r="R76" s="14">
        <v>15.6</v>
      </c>
      <c r="S76" s="3">
        <f t="shared" si="140"/>
        <v>42.007649999999998</v>
      </c>
      <c r="T76" s="128" t="str">
        <f t="shared" si="141"/>
        <v>M</v>
      </c>
      <c r="U76" s="154">
        <v>1635</v>
      </c>
      <c r="V76" s="154">
        <v>689</v>
      </c>
      <c r="W76" s="156">
        <v>0.53400000000000003</v>
      </c>
      <c r="X76" s="1">
        <f t="shared" si="132"/>
        <v>0.42140672782874616</v>
      </c>
      <c r="Y76" s="59">
        <f t="shared" si="142"/>
        <v>2.0444249618960186E-2</v>
      </c>
      <c r="Z76" s="1">
        <f t="shared" si="143"/>
        <v>0.76818029053449433</v>
      </c>
      <c r="AA76" s="3">
        <f t="shared" si="170"/>
        <v>1927.7135606746438</v>
      </c>
      <c r="AB76" s="6">
        <v>1853</v>
      </c>
      <c r="AC76" s="6">
        <v>1772</v>
      </c>
      <c r="AD76" s="6">
        <v>1722</v>
      </c>
      <c r="AE76" s="6">
        <v>1668</v>
      </c>
      <c r="AF76" s="93">
        <v>1688</v>
      </c>
      <c r="AG76" s="6">
        <v>1852</v>
      </c>
      <c r="AH76" s="6">
        <v>1639</v>
      </c>
      <c r="AI76" s="6">
        <v>1598</v>
      </c>
      <c r="AJ76" s="6">
        <v>1645</v>
      </c>
      <c r="AK76" s="93">
        <v>1492</v>
      </c>
      <c r="AL76" s="6">
        <v>1538</v>
      </c>
      <c r="AM76" s="6">
        <v>1451</v>
      </c>
      <c r="AN76" s="6">
        <v>1332</v>
      </c>
      <c r="AO76" s="6">
        <v>1013</v>
      </c>
      <c r="AP76" s="23"/>
      <c r="AU76" s="23"/>
      <c r="AY76" s="32">
        <v>14</v>
      </c>
      <c r="AZ76" s="1">
        <f t="shared" si="144"/>
        <v>0.62554158532350146</v>
      </c>
      <c r="BA76" s="24">
        <f t="shared" si="133"/>
        <v>70</v>
      </c>
      <c r="BB76" s="2">
        <f t="shared" si="110"/>
        <v>0.96124239503274744</v>
      </c>
      <c r="BC76" s="2">
        <f t="shared" si="111"/>
        <v>0.92384291885657566</v>
      </c>
      <c r="BD76" s="2">
        <f t="shared" si="112"/>
        <v>0.90228654915152684</v>
      </c>
      <c r="BE76" s="2">
        <f t="shared" si="113"/>
        <v>0.87838376784313366</v>
      </c>
      <c r="BF76" s="20">
        <f t="shared" si="114"/>
        <v>0.89338286162178382</v>
      </c>
      <c r="BG76" s="2">
        <f t="shared" si="115"/>
        <v>0.98510625385430906</v>
      </c>
      <c r="BH76" s="2">
        <f t="shared" si="116"/>
        <v>0.87618934307998564</v>
      </c>
      <c r="BI76" s="2">
        <f t="shared" si="117"/>
        <v>0.85856406513459127</v>
      </c>
      <c r="BJ76" s="2">
        <f t="shared" si="118"/>
        <v>0.88825723558116154</v>
      </c>
      <c r="BK76" s="20">
        <f t="shared" si="119"/>
        <v>0.80968966136890708</v>
      </c>
      <c r="BL76" s="2">
        <f t="shared" si="120"/>
        <v>0.83884752124252571</v>
      </c>
      <c r="BM76" s="2">
        <f t="shared" si="121"/>
        <v>0.79537332522358528</v>
      </c>
      <c r="BN76" s="2">
        <f t="shared" si="123"/>
        <v>0.73381190528647067</v>
      </c>
      <c r="BO76" s="2">
        <f t="shared" si="130"/>
        <v>0.56087604694281823</v>
      </c>
      <c r="BP76" s="23"/>
      <c r="BU76" s="23"/>
      <c r="BY76" s="25">
        <f t="shared" si="134"/>
        <v>70</v>
      </c>
      <c r="BZ76" s="3">
        <f t="shared" si="135"/>
        <v>26128.183561644957</v>
      </c>
      <c r="CA76" s="3">
        <f t="shared" si="124"/>
        <v>22263</v>
      </c>
      <c r="CB76" s="2">
        <f t="shared" si="125"/>
        <v>0.85206841675290124</v>
      </c>
      <c r="CC76" s="85">
        <f t="shared" si="145"/>
        <v>57</v>
      </c>
      <c r="CD76" s="3" t="str">
        <f t="shared" si="136"/>
        <v>Tracker</v>
      </c>
      <c r="CE76" s="69">
        <f t="shared" si="126"/>
        <v>-2.8274083248515176E-2</v>
      </c>
      <c r="CF76" s="2">
        <f t="array" ref="CF76:CG76">LINEST(AB76:AO76,AB$6:AO$6,TRUE,FALSE)</f>
        <v>-45.606593406593412</v>
      </c>
      <c r="CG76" s="2">
        <v>1932.2637362637363</v>
      </c>
      <c r="CH76" s="1">
        <f t="shared" si="146"/>
        <v>0.99776771201192893</v>
      </c>
      <c r="DC76" s="2">
        <f t="shared" si="147"/>
        <v>1.2</v>
      </c>
      <c r="DD76">
        <f t="shared" si="137"/>
        <v>1</v>
      </c>
      <c r="DE76">
        <f t="shared" si="148"/>
        <v>15</v>
      </c>
      <c r="DT76">
        <f t="shared" si="149"/>
        <v>12194</v>
      </c>
      <c r="DU76" s="3">
        <f t="shared" si="150"/>
        <v>1927.7135606746438</v>
      </c>
      <c r="DV76" s="3">
        <f t="shared" si="151"/>
        <v>1918.0749928712703</v>
      </c>
      <c r="DW76" s="3">
        <f t="shared" si="152"/>
        <v>1908.4846179069143</v>
      </c>
      <c r="DX76" s="3">
        <f t="shared" si="153"/>
        <v>1898.9421948173797</v>
      </c>
      <c r="DY76" s="3">
        <f t="shared" si="154"/>
        <v>1889.4474838432927</v>
      </c>
      <c r="DZ76" s="3">
        <f t="shared" si="155"/>
        <v>1880.0002464240765</v>
      </c>
      <c r="EA76" s="3">
        <f t="shared" si="156"/>
        <v>1870.600245191956</v>
      </c>
      <c r="EB76" s="2">
        <f t="shared" si="157"/>
        <v>0.91730673548918706</v>
      </c>
      <c r="ED76" s="2" t="str">
        <f t="shared" si="158"/>
        <v xml:space="preserve"> </v>
      </c>
      <c r="EE76" s="58" t="str">
        <f t="shared" si="159"/>
        <v xml:space="preserve"> </v>
      </c>
      <c r="EF76" s="2" t="str">
        <f t="shared" si="160"/>
        <v xml:space="preserve"> </v>
      </c>
      <c r="EG76" s="58" t="str">
        <f t="shared" si="161"/>
        <v xml:space="preserve"> </v>
      </c>
      <c r="EI76" s="2" t="str">
        <f t="shared" si="162"/>
        <v xml:space="preserve"> </v>
      </c>
      <c r="EJ76" s="2" t="str">
        <f t="shared" si="163"/>
        <v xml:space="preserve"> </v>
      </c>
      <c r="EK76" s="2"/>
      <c r="EL76" s="2">
        <f t="array" ref="EL76:EM76">LINEST($AB76:$AH76,$AB$6:$AH$6,TRUE,FALSE)</f>
        <v>-18.428571428571431</v>
      </c>
      <c r="EM76" s="2">
        <v>1815.7142857142858</v>
      </c>
      <c r="EN76" s="58">
        <f t="shared" si="164"/>
        <v>-1.057897326554043E-2</v>
      </c>
      <c r="EO76" s="2">
        <f t="array" ref="EO76:EP76">LINEST($AH76:$AO76,$AH$6:$AO$6,TRUE,FALSE)</f>
        <v>-74.380952380952365</v>
      </c>
      <c r="EP76" s="2">
        <v>2244.5</v>
      </c>
      <c r="EQ76" s="58">
        <f t="shared" si="165"/>
        <v>-5.082401939251955E-2</v>
      </c>
      <c r="ES76" s="3">
        <f t="shared" si="166"/>
        <v>3104.081632653043</v>
      </c>
      <c r="ET76" s="3">
        <f t="shared" si="92"/>
        <v>47.020408163265749</v>
      </c>
      <c r="EU76" s="3">
        <f t="shared" si="93"/>
        <v>1476.7551020408264</v>
      </c>
      <c r="EV76" s="3">
        <f t="shared" si="94"/>
        <v>5476</v>
      </c>
      <c r="EW76" s="3">
        <f t="shared" si="95"/>
        <v>1265.3265306122519</v>
      </c>
      <c r="EX76" s="3">
        <f t="shared" si="96"/>
        <v>21567.020408163276</v>
      </c>
      <c r="EY76" s="3">
        <f t="shared" si="97"/>
        <v>2276.653061224496</v>
      </c>
      <c r="EZ76" s="3">
        <f t="shared" si="167"/>
        <v>2647.3475056689585</v>
      </c>
      <c r="FA76" s="3">
        <f t="shared" si="98"/>
        <v>4890.0051020408027</v>
      </c>
      <c r="FB76" s="29">
        <f t="shared" si="99"/>
        <v>75.524376417236766</v>
      </c>
      <c r="FC76" s="3">
        <f t="shared" si="100"/>
        <v>12474.762471655318</v>
      </c>
      <c r="FD76" s="3">
        <f t="shared" si="101"/>
        <v>9815.1479591836469</v>
      </c>
      <c r="FE76" s="3">
        <f t="shared" si="122"/>
        <v>2965.0617913831966</v>
      </c>
      <c r="FF76" s="3">
        <f t="shared" si="131"/>
        <v>36163.361111111226</v>
      </c>
      <c r="FG76" s="29"/>
      <c r="FH76" s="3"/>
      <c r="FI76" s="3"/>
      <c r="FQ76" s="4">
        <f t="shared" si="138"/>
        <v>5.4263275531647774E-2</v>
      </c>
      <c r="FR76" s="160">
        <v>3.3000000000000002E-2</v>
      </c>
      <c r="FS76" s="161">
        <f t="shared" si="139"/>
        <v>0.60814611128208673</v>
      </c>
      <c r="FV76" s="4">
        <f t="shared" si="168"/>
        <v>4.0714908368577635E-2</v>
      </c>
      <c r="FW76" s="161">
        <f t="shared" si="169"/>
        <v>0.81051392038667258</v>
      </c>
    </row>
    <row r="77" spans="1:179" x14ac:dyDescent="0.3">
      <c r="A77" s="62">
        <f t="shared" si="109"/>
        <v>71</v>
      </c>
      <c r="B77" s="6">
        <v>57352</v>
      </c>
      <c r="C77" s="6" t="s">
        <v>228</v>
      </c>
      <c r="D77" s="6">
        <v>2012</v>
      </c>
      <c r="E77" s="6">
        <v>2010</v>
      </c>
      <c r="F77" s="6" t="s">
        <v>248</v>
      </c>
      <c r="G77" s="17" t="s">
        <v>636</v>
      </c>
      <c r="H77" s="17" t="s">
        <v>638</v>
      </c>
      <c r="I77" s="6" t="s">
        <v>35</v>
      </c>
      <c r="J77" s="17">
        <v>20</v>
      </c>
      <c r="K77" s="6" t="s">
        <v>52</v>
      </c>
      <c r="L77" s="12">
        <v>40.231400000000001</v>
      </c>
      <c r="M77" s="12">
        <v>-74.753900000000002</v>
      </c>
      <c r="N77" s="14">
        <v>1.3</v>
      </c>
      <c r="O77" s="6">
        <v>1</v>
      </c>
      <c r="P77" s="94">
        <f>365.25*4.5</f>
        <v>1643.625</v>
      </c>
      <c r="Q77" s="15" t="s">
        <v>551</v>
      </c>
      <c r="R77" s="14">
        <v>12.4</v>
      </c>
      <c r="S77" s="3">
        <f t="shared" si="140"/>
        <v>36.0655</v>
      </c>
      <c r="T77" s="128" t="str">
        <f t="shared" si="141"/>
        <v>C</v>
      </c>
      <c r="U77" s="154">
        <v>1455</v>
      </c>
      <c r="V77" s="154">
        <v>671.5</v>
      </c>
      <c r="W77" s="156">
        <v>0.501</v>
      </c>
      <c r="X77" s="1">
        <f t="shared" si="132"/>
        <v>0.46151202749140896</v>
      </c>
      <c r="Y77" s="59">
        <f t="shared" si="142"/>
        <v>5.9497723281787263E-3</v>
      </c>
      <c r="Z77" s="1">
        <f t="shared" si="143"/>
        <v>0.92611944438895144</v>
      </c>
      <c r="AA77" s="3">
        <f t="shared" si="170"/>
        <v>1746.1835256638312</v>
      </c>
      <c r="AB77" s="6">
        <v>1617</v>
      </c>
      <c r="AC77" s="6">
        <v>1583</v>
      </c>
      <c r="AD77" s="6">
        <v>1515</v>
      </c>
      <c r="AE77" s="6">
        <v>1599</v>
      </c>
      <c r="AF77" s="93">
        <v>1649</v>
      </c>
      <c r="AG77" s="6">
        <v>1543</v>
      </c>
      <c r="AH77" s="6">
        <v>1470</v>
      </c>
      <c r="AI77" s="6">
        <v>1582</v>
      </c>
      <c r="AJ77" s="6">
        <v>1598</v>
      </c>
      <c r="AK77" s="93">
        <v>1179</v>
      </c>
      <c r="AL77" s="6">
        <v>1588</v>
      </c>
      <c r="AM77" s="6">
        <v>1591</v>
      </c>
      <c r="AN77" s="6">
        <v>1575</v>
      </c>
      <c r="AP77" s="23"/>
      <c r="AU77" s="23"/>
      <c r="AY77" s="32">
        <v>13</v>
      </c>
      <c r="AZ77" s="1">
        <f t="shared" si="144"/>
        <v>0.72321741568306097</v>
      </c>
      <c r="BA77" s="24">
        <f t="shared" si="133"/>
        <v>71</v>
      </c>
      <c r="BB77" s="2">
        <f t="shared" si="110"/>
        <v>0.92601950266669675</v>
      </c>
      <c r="BC77" s="2">
        <f t="shared" si="111"/>
        <v>0.91110398791818148</v>
      </c>
      <c r="BD77" s="2">
        <f t="shared" si="112"/>
        <v>0.87634796959912942</v>
      </c>
      <c r="BE77" s="2">
        <f t="shared" si="113"/>
        <v>0.929585487429894</v>
      </c>
      <c r="BF77" s="20">
        <f t="shared" si="114"/>
        <v>0.96347055400322135</v>
      </c>
      <c r="BG77" s="2">
        <f t="shared" si="115"/>
        <v>0.9060676730084446</v>
      </c>
      <c r="BH77" s="2">
        <f t="shared" si="116"/>
        <v>0.86753891252921345</v>
      </c>
      <c r="BI77" s="2">
        <f t="shared" si="117"/>
        <v>0.93832875918450476</v>
      </c>
      <c r="BJ77" s="2">
        <f t="shared" si="118"/>
        <v>0.95258171843848727</v>
      </c>
      <c r="BK77" s="20">
        <f t="shared" si="119"/>
        <v>0.70634388842773099</v>
      </c>
      <c r="BL77" s="2">
        <f t="shared" si="120"/>
        <v>0.95615831048647537</v>
      </c>
      <c r="BM77" s="2">
        <f t="shared" si="121"/>
        <v>0.96277854763995196</v>
      </c>
      <c r="BN77" s="2">
        <f t="shared" si="123"/>
        <v>0.95788572815865891</v>
      </c>
      <c r="BP77" s="23"/>
      <c r="BU77" s="23"/>
      <c r="BY77" s="25">
        <f t="shared" si="134"/>
        <v>71</v>
      </c>
      <c r="BZ77" s="3">
        <f t="shared" si="135"/>
        <v>22031.704800945849</v>
      </c>
      <c r="CA77" s="3">
        <f t="shared" si="124"/>
        <v>20089</v>
      </c>
      <c r="CB77" s="2">
        <f t="shared" si="125"/>
        <v>0.91182231159603933</v>
      </c>
      <c r="CC77" s="85">
        <f t="shared" si="145"/>
        <v>35</v>
      </c>
      <c r="CD77" s="3" t="str">
        <f t="shared" si="136"/>
        <v>Fixed</v>
      </c>
      <c r="CE77" s="69">
        <f t="shared" si="126"/>
        <v>-4.4098734334394709E-3</v>
      </c>
      <c r="CF77" s="2">
        <f t="array" ref="CF77:CG77">LINEST(AB77:AN77,AB$6:AN$6,TRUE,FALSE)</f>
        <v>-6.8296703296703303</v>
      </c>
      <c r="CG77" s="2">
        <v>1593.1153846153848</v>
      </c>
      <c r="CH77" s="1">
        <f t="shared" si="146"/>
        <v>1.021536312011929</v>
      </c>
      <c r="DC77" s="2">
        <f t="shared" si="147"/>
        <v>1.3</v>
      </c>
      <c r="DD77">
        <f t="shared" si="137"/>
        <v>2</v>
      </c>
      <c r="DE77">
        <f t="shared" si="148"/>
        <v>15</v>
      </c>
      <c r="DT77">
        <f t="shared" si="149"/>
        <v>10976</v>
      </c>
      <c r="DU77" s="3">
        <f t="shared" si="150"/>
        <v>1746.1835256638312</v>
      </c>
      <c r="DV77" s="3">
        <f t="shared" si="151"/>
        <v>1737.452608035512</v>
      </c>
      <c r="DW77" s="3">
        <f t="shared" si="152"/>
        <v>1728.7653449953345</v>
      </c>
      <c r="DX77" s="3">
        <f t="shared" si="153"/>
        <v>1720.1215182703579</v>
      </c>
      <c r="DY77" s="3">
        <f t="shared" si="154"/>
        <v>1711.5209106790062</v>
      </c>
      <c r="DZ77" s="3">
        <f t="shared" si="155"/>
        <v>1702.9633061256111</v>
      </c>
      <c r="EA77" s="3">
        <f t="shared" si="156"/>
        <v>1694.4484895949831</v>
      </c>
      <c r="EB77" s="2">
        <f t="shared" si="157"/>
        <v>0.91151769938688354</v>
      </c>
      <c r="ED77" s="2" t="str">
        <f t="shared" si="158"/>
        <v xml:space="preserve"> </v>
      </c>
      <c r="EE77" s="58" t="str">
        <f t="shared" si="159"/>
        <v xml:space="preserve"> </v>
      </c>
      <c r="EF77" s="2">
        <f t="shared" si="160"/>
        <v>0.91182231159603933</v>
      </c>
      <c r="EG77" s="58">
        <f t="shared" si="161"/>
        <v>-4.4098734334394709E-3</v>
      </c>
      <c r="EI77" s="2" t="str">
        <f t="shared" si="162"/>
        <v xml:space="preserve"> </v>
      </c>
      <c r="EJ77" s="2">
        <f t="shared" si="163"/>
        <v>0.91151769938688354</v>
      </c>
      <c r="EK77" s="2"/>
      <c r="EL77" s="2">
        <f t="array" ref="EL77:EM77">LINEST($AB77:$AH77,$AB$6:$AH$6,TRUE,FALSE)</f>
        <v>-13.821428571428569</v>
      </c>
      <c r="EM77" s="2">
        <v>1623.2857142857142</v>
      </c>
      <c r="EN77" s="58">
        <f t="shared" si="164"/>
        <v>-8.8146865889212819E-3</v>
      </c>
      <c r="EO77" s="2">
        <f t="array" ref="EO77:EP77">LINEST($AH77:$AN77,$AH$6:$AN$6,TRUE,FALSE)</f>
        <v>11.535714285714279</v>
      </c>
      <c r="EP77" s="2">
        <v>1396.5</v>
      </c>
      <c r="EQ77" s="58">
        <f t="shared" si="165"/>
        <v>7.6301615798922756E-3</v>
      </c>
      <c r="ES77" s="3">
        <f t="shared" si="166"/>
        <v>56.786989795920817</v>
      </c>
      <c r="ET77" s="3">
        <f t="shared" si="92"/>
        <v>159.84183673469306</v>
      </c>
      <c r="EU77" s="3">
        <f t="shared" si="93"/>
        <v>4465.1033163265129</v>
      </c>
      <c r="EV77" s="3">
        <f t="shared" si="94"/>
        <v>961</v>
      </c>
      <c r="EW77" s="3">
        <f t="shared" si="95"/>
        <v>8991.1033163265492</v>
      </c>
      <c r="EX77" s="3">
        <f t="shared" si="96"/>
        <v>6.9846938775508489</v>
      </c>
      <c r="EY77" s="3">
        <f t="shared" si="97"/>
        <v>3196.2869897959108</v>
      </c>
      <c r="EZ77" s="3">
        <f t="shared" si="167"/>
        <v>8688.9030612245024</v>
      </c>
      <c r="FA77" s="3">
        <f t="shared" si="98"/>
        <v>9541.1033163265565</v>
      </c>
      <c r="FB77" s="29">
        <f t="shared" si="99"/>
        <v>110793.87755102043</v>
      </c>
      <c r="FC77" s="3">
        <f t="shared" si="100"/>
        <v>4174.0829081632692</v>
      </c>
      <c r="FD77" s="3">
        <f t="shared" si="101"/>
        <v>3144.0051020408273</v>
      </c>
      <c r="FE77" s="3">
        <f t="shared" si="122"/>
        <v>814.28698979592764</v>
      </c>
      <c r="FF77" s="3"/>
      <c r="FG77" s="29"/>
      <c r="FH77" s="3"/>
      <c r="FI77" s="3"/>
      <c r="FQ77" s="4">
        <f>SQRT(AVERAGE(ES77:FE77))/AVERAGE(AB77:AN77)</f>
        <v>7.0659394654338362E-2</v>
      </c>
      <c r="FR77" s="160">
        <v>3.3000000000000002E-2</v>
      </c>
      <c r="FS77" s="161">
        <f t="shared" si="139"/>
        <v>0.46702919210437732</v>
      </c>
      <c r="FV77" s="4">
        <f t="shared" si="168"/>
        <v>3.2193421234928868E-2</v>
      </c>
      <c r="FW77" s="161">
        <f t="shared" si="169"/>
        <v>1.0250541487711167</v>
      </c>
    </row>
    <row r="78" spans="1:179" x14ac:dyDescent="0.3">
      <c r="A78" s="62">
        <f t="shared" si="109"/>
        <v>72</v>
      </c>
      <c r="B78" s="6">
        <v>57392</v>
      </c>
      <c r="C78" s="6" t="s">
        <v>229</v>
      </c>
      <c r="D78" s="6">
        <v>2012</v>
      </c>
      <c r="E78" s="6">
        <v>2010</v>
      </c>
      <c r="F78" s="6" t="s">
        <v>248</v>
      </c>
      <c r="G78" s="17" t="s">
        <v>636</v>
      </c>
      <c r="H78" s="17" t="s">
        <v>638</v>
      </c>
      <c r="I78" s="6" t="s">
        <v>36</v>
      </c>
      <c r="J78" s="17">
        <v>0</v>
      </c>
      <c r="K78" s="6" t="s">
        <v>23</v>
      </c>
      <c r="L78" s="12">
        <v>32.098999999999997</v>
      </c>
      <c r="M78" s="12">
        <v>-110.81100000000001</v>
      </c>
      <c r="N78" s="14">
        <v>1.6</v>
      </c>
      <c r="O78" s="6">
        <v>1.2</v>
      </c>
      <c r="P78" s="94">
        <f>365.25*8.1</f>
        <v>2958.5250000000001</v>
      </c>
      <c r="Q78" s="15" t="s">
        <v>571</v>
      </c>
      <c r="R78" s="14">
        <v>20.2</v>
      </c>
      <c r="S78" s="3">
        <f t="shared" si="140"/>
        <v>52.539924999999997</v>
      </c>
      <c r="T78" s="128" t="str">
        <f t="shared" si="141"/>
        <v>H</v>
      </c>
      <c r="U78" s="154">
        <v>2114</v>
      </c>
      <c r="V78" s="154">
        <v>513</v>
      </c>
      <c r="W78" s="156">
        <v>0.66900000000000004</v>
      </c>
      <c r="X78" s="1">
        <f t="shared" si="132"/>
        <v>0.24266792809839166</v>
      </c>
      <c r="Y78" s="59">
        <f t="shared" si="142"/>
        <v>9.4190168587511891E-2</v>
      </c>
      <c r="Z78" s="1">
        <f t="shared" si="143"/>
        <v>0.29669423722411159</v>
      </c>
      <c r="AA78" s="3">
        <f t="shared" si="170"/>
        <v>3437.9733611167521</v>
      </c>
      <c r="AB78" s="6">
        <v>3038</v>
      </c>
      <c r="AC78" s="6">
        <v>3091</v>
      </c>
      <c r="AD78" s="6">
        <v>2781</v>
      </c>
      <c r="AE78" s="6">
        <v>2550</v>
      </c>
      <c r="AF78" s="93">
        <v>1402</v>
      </c>
      <c r="AG78" s="6">
        <v>2818</v>
      </c>
      <c r="AH78" s="6">
        <v>2997</v>
      </c>
      <c r="AI78" s="6">
        <v>2203</v>
      </c>
      <c r="AJ78" s="6">
        <v>2584</v>
      </c>
      <c r="AK78" s="93">
        <v>1539</v>
      </c>
      <c r="AL78" s="6">
        <v>320</v>
      </c>
      <c r="AM78" s="6">
        <v>403</v>
      </c>
      <c r="AN78" s="6">
        <v>1591</v>
      </c>
      <c r="AP78" s="23"/>
      <c r="AU78" s="23"/>
      <c r="AY78" s="32">
        <v>13</v>
      </c>
      <c r="AZ78" s="1">
        <f t="shared" si="144"/>
        <v>0.44390948452093781</v>
      </c>
      <c r="BA78" s="24">
        <f t="shared" si="133"/>
        <v>72</v>
      </c>
      <c r="BB78" s="2">
        <f t="shared" si="110"/>
        <v>0.88366013371702523</v>
      </c>
      <c r="BC78" s="2">
        <f t="shared" si="111"/>
        <v>0.9035941634834227</v>
      </c>
      <c r="BD78" s="2">
        <f t="shared" si="112"/>
        <v>0.81705693418480252</v>
      </c>
      <c r="BE78" s="2">
        <f t="shared" si="113"/>
        <v>0.75295397598248215</v>
      </c>
      <c r="BF78" s="20">
        <f t="shared" si="114"/>
        <v>0.41605733543302392</v>
      </c>
      <c r="BG78" s="2">
        <f t="shared" si="115"/>
        <v>0.84047166735980994</v>
      </c>
      <c r="BH78" s="2">
        <f t="shared" si="116"/>
        <v>0.89835037040324062</v>
      </c>
      <c r="BI78" s="2">
        <f t="shared" si="117"/>
        <v>0.66366730750795666</v>
      </c>
      <c r="BJ78" s="2">
        <f t="shared" si="118"/>
        <v>0.7823576906778833</v>
      </c>
      <c r="BK78" s="20">
        <f t="shared" si="119"/>
        <v>0.4683045591553987</v>
      </c>
      <c r="BL78" s="2">
        <f t="shared" si="120"/>
        <v>9.7862580563458992E-2</v>
      </c>
      <c r="BM78" s="2">
        <f t="shared" si="121"/>
        <v>0.12386501245940318</v>
      </c>
      <c r="BN78" s="2">
        <f t="shared" si="123"/>
        <v>0.49146285976510451</v>
      </c>
      <c r="BP78" s="23"/>
      <c r="BU78" s="23"/>
      <c r="BY78" s="25">
        <f t="shared" si="134"/>
        <v>72</v>
      </c>
      <c r="BZ78" s="3">
        <f t="shared" si="135"/>
        <v>43377.121071420486</v>
      </c>
      <c r="CA78" s="3">
        <f t="shared" si="124"/>
        <v>27317</v>
      </c>
      <c r="CB78" s="2">
        <f t="shared" si="125"/>
        <v>0.62975594795750789</v>
      </c>
      <c r="CC78" s="85">
        <f t="shared" si="145"/>
        <v>92</v>
      </c>
      <c r="CD78" s="3" t="str">
        <f t="shared" si="136"/>
        <v>Tracker</v>
      </c>
      <c r="CE78" s="69">
        <f t="shared" si="126"/>
        <v>-8.3320177515830859E-2</v>
      </c>
      <c r="CF78" s="2">
        <f t="array" ref="CF78:CG78">LINEST(AB78:AN78,AB$6:AN$6,TRUE,FALSE)</f>
        <v>-182.69230769230776</v>
      </c>
      <c r="CG78" s="2">
        <v>3380.1538461538466</v>
      </c>
      <c r="CH78" s="1">
        <f t="shared" si="146"/>
        <v>0.9556386120119289</v>
      </c>
      <c r="DC78" s="2">
        <f t="shared" si="147"/>
        <v>1.3333333333333335</v>
      </c>
      <c r="DD78">
        <f t="shared" si="137"/>
        <v>2</v>
      </c>
      <c r="DE78">
        <f t="shared" si="148"/>
        <v>15</v>
      </c>
      <c r="DT78">
        <f t="shared" si="149"/>
        <v>18677</v>
      </c>
      <c r="DU78" s="3">
        <f t="shared" si="150"/>
        <v>3437.9733611167521</v>
      </c>
      <c r="DV78" s="3">
        <f t="shared" si="151"/>
        <v>3420.7834943111684</v>
      </c>
      <c r="DW78" s="3">
        <f t="shared" si="152"/>
        <v>3403.6795768396128</v>
      </c>
      <c r="DX78" s="3">
        <f t="shared" si="153"/>
        <v>3386.6611789554149</v>
      </c>
      <c r="DY78" s="3">
        <f t="shared" si="154"/>
        <v>3369.7278730606376</v>
      </c>
      <c r="DZ78" s="3">
        <f t="shared" si="155"/>
        <v>3352.8792336953347</v>
      </c>
      <c r="EA78" s="3">
        <f t="shared" si="156"/>
        <v>3336.1148375268581</v>
      </c>
      <c r="EB78" s="2">
        <f t="shared" si="157"/>
        <v>0.78779914602743595</v>
      </c>
      <c r="ED78" s="2">
        <f t="shared" si="158"/>
        <v>0.62975594795750789</v>
      </c>
      <c r="EE78" s="58">
        <f t="shared" si="159"/>
        <v>-8.3320177515830859E-2</v>
      </c>
      <c r="EF78" s="2" t="str">
        <f t="shared" si="160"/>
        <v xml:space="preserve"> </v>
      </c>
      <c r="EG78" s="58" t="str">
        <f t="shared" si="161"/>
        <v xml:space="preserve"> </v>
      </c>
      <c r="EI78" s="2">
        <f t="shared" si="162"/>
        <v>0.78779914602743595</v>
      </c>
      <c r="EJ78" s="2" t="str">
        <f t="shared" si="163"/>
        <v xml:space="preserve"> </v>
      </c>
      <c r="EK78" s="2"/>
      <c r="EL78" s="2">
        <f t="array" ref="EL78:EM78">LINEST($AB78:$AH78,$AB$6:$AH$6,TRUE,FALSE)</f>
        <v>-73.142857142857153</v>
      </c>
      <c r="EM78" s="2">
        <v>2960.7142857142858</v>
      </c>
      <c r="EN78" s="58">
        <f t="shared" si="164"/>
        <v>-2.7413396155699526E-2</v>
      </c>
      <c r="EO78" s="2">
        <f t="array" ref="EO78:EP78">LINEST($AH78:$AN78,$AH$6:$AN$6,TRUE,FALSE)</f>
        <v>-360.07142857142861</v>
      </c>
      <c r="EP78" s="2">
        <v>5263.1428571428578</v>
      </c>
      <c r="EQ78" s="58">
        <f t="shared" si="165"/>
        <v>-0.2165936237861992</v>
      </c>
      <c r="ES78" s="3">
        <f t="shared" si="166"/>
        <v>22628.755102040854</v>
      </c>
      <c r="ET78" s="3">
        <f t="shared" si="92"/>
        <v>76491.755102040741</v>
      </c>
      <c r="EU78" s="3">
        <f t="shared" si="93"/>
        <v>1577.2244897959235</v>
      </c>
      <c r="EV78" s="3">
        <f t="shared" si="94"/>
        <v>13957.734693877597</v>
      </c>
      <c r="EW78" s="3">
        <f t="shared" si="95"/>
        <v>1423249</v>
      </c>
      <c r="EX78" s="3">
        <f t="shared" si="96"/>
        <v>87700.591836734544</v>
      </c>
      <c r="EY78" s="3">
        <f t="shared" si="97"/>
        <v>300617.22448979586</v>
      </c>
      <c r="EZ78" s="3">
        <f t="shared" si="167"/>
        <v>32245.897959183789</v>
      </c>
      <c r="FA78" s="3">
        <f t="shared" si="98"/>
        <v>315282.24999999948</v>
      </c>
      <c r="FB78" s="29">
        <f t="shared" si="99"/>
        <v>15234.612244897991</v>
      </c>
      <c r="FC78" s="3">
        <f t="shared" si="100"/>
        <v>965025.55612244946</v>
      </c>
      <c r="FD78" s="3">
        <f t="shared" si="101"/>
        <v>290829.08163265348</v>
      </c>
      <c r="FE78" s="3">
        <f t="shared" si="122"/>
        <v>1017648.6173469378</v>
      </c>
      <c r="FF78" s="3"/>
      <c r="FG78" s="29"/>
      <c r="FH78" s="3"/>
      <c r="FI78" s="3"/>
      <c r="FQ78" s="4">
        <f>SQRT(AVERAGE(ES78:FE78))/AVERAGE(AB78:AN78)</f>
        <v>0.28192887310025644</v>
      </c>
      <c r="FR78" s="160">
        <v>0.03</v>
      </c>
      <c r="FS78" s="161">
        <f t="shared" si="139"/>
        <v>0.10640981773204808</v>
      </c>
      <c r="FV78" s="4">
        <f t="shared" si="168"/>
        <v>0.19660524641868901</v>
      </c>
      <c r="FW78" s="161">
        <f t="shared" si="169"/>
        <v>0.15259002771529417</v>
      </c>
    </row>
    <row r="79" spans="1:179" x14ac:dyDescent="0.3">
      <c r="A79" s="62">
        <f t="shared" si="109"/>
        <v>73</v>
      </c>
      <c r="B79" s="6">
        <v>57383</v>
      </c>
      <c r="C79" s="6" t="s">
        <v>232</v>
      </c>
      <c r="D79" s="6">
        <v>2011</v>
      </c>
      <c r="E79" s="6">
        <v>2010</v>
      </c>
      <c r="F79" s="6" t="s">
        <v>248</v>
      </c>
      <c r="G79" s="17" t="s">
        <v>636</v>
      </c>
      <c r="H79" s="17" t="s">
        <v>638</v>
      </c>
      <c r="I79" s="6" t="s">
        <v>35</v>
      </c>
      <c r="J79" s="17">
        <v>13</v>
      </c>
      <c r="K79" s="6" t="s">
        <v>52</v>
      </c>
      <c r="L79" s="12">
        <v>40.677199999999999</v>
      </c>
      <c r="M79" s="12">
        <v>-74.091899999999995</v>
      </c>
      <c r="N79" s="14">
        <v>1.7</v>
      </c>
      <c r="O79" s="6">
        <v>1.5</v>
      </c>
      <c r="P79" s="94">
        <f>365.25*4.15</f>
        <v>1515.7875000000001</v>
      </c>
      <c r="Q79" s="15" t="s">
        <v>556</v>
      </c>
      <c r="R79" s="14">
        <v>12.7</v>
      </c>
      <c r="S79" s="3">
        <f t="shared" si="140"/>
        <v>35.41525</v>
      </c>
      <c r="T79" s="128" t="str">
        <f t="shared" si="141"/>
        <v>C</v>
      </c>
      <c r="U79" s="154">
        <v>1412</v>
      </c>
      <c r="V79" s="154">
        <v>685</v>
      </c>
      <c r="W79" s="156">
        <v>0.49199999999999999</v>
      </c>
      <c r="X79" s="1">
        <f t="shared" si="132"/>
        <v>0.48512747875354106</v>
      </c>
      <c r="Y79" s="59">
        <f t="shared" si="142"/>
        <v>0</v>
      </c>
      <c r="Z79" s="1">
        <f t="shared" si="143"/>
        <v>1</v>
      </c>
      <c r="AA79" s="3">
        <f t="shared" si="170"/>
        <v>2111.2293687305437</v>
      </c>
      <c r="AB79" s="6">
        <v>1991</v>
      </c>
      <c r="AC79" s="6">
        <v>2073</v>
      </c>
      <c r="AD79" s="6">
        <v>1772</v>
      </c>
      <c r="AE79" s="6">
        <v>1746</v>
      </c>
      <c r="AF79" s="93">
        <v>2142</v>
      </c>
      <c r="AG79" s="6">
        <v>1464</v>
      </c>
      <c r="AH79" s="6">
        <v>1801</v>
      </c>
      <c r="AI79" s="6">
        <v>1974</v>
      </c>
      <c r="AJ79" s="6">
        <v>1147</v>
      </c>
      <c r="AK79" s="93">
        <v>1452</v>
      </c>
      <c r="AL79" s="6">
        <v>2010</v>
      </c>
      <c r="AM79" s="6">
        <v>2169</v>
      </c>
      <c r="AN79" s="6">
        <v>2059</v>
      </c>
      <c r="AO79" s="6">
        <v>2015</v>
      </c>
      <c r="AP79" s="23"/>
      <c r="AU79" s="23"/>
      <c r="AY79" s="32">
        <v>14</v>
      </c>
      <c r="AZ79" s="1">
        <f t="shared" si="144"/>
        <v>0.71557778748420764</v>
      </c>
      <c r="BA79" s="24">
        <f t="shared" si="133"/>
        <v>73</v>
      </c>
      <c r="BB79" s="2">
        <f t="shared" si="110"/>
        <v>0.94305243640920167</v>
      </c>
      <c r="BC79" s="2">
        <f t="shared" si="111"/>
        <v>0.98682649847745763</v>
      </c>
      <c r="BD79" s="2">
        <f t="shared" si="112"/>
        <v>0.84777799043556168</v>
      </c>
      <c r="BE79" s="2">
        <f t="shared" si="113"/>
        <v>0.83953649245124651</v>
      </c>
      <c r="BF79" s="20">
        <f t="shared" si="114"/>
        <v>1.0351224431611492</v>
      </c>
      <c r="BG79" s="2">
        <f t="shared" si="115"/>
        <v>0.71103381369401752</v>
      </c>
      <c r="BH79" s="2">
        <f t="shared" si="116"/>
        <v>0.87910309639929529</v>
      </c>
      <c r="BI79" s="2">
        <f t="shared" si="117"/>
        <v>0.96838970660755697</v>
      </c>
      <c r="BJ79" s="2">
        <f t="shared" si="118"/>
        <v>0.56551399015282477</v>
      </c>
      <c r="BK79" s="20">
        <f t="shared" si="119"/>
        <v>0.7194878610155413</v>
      </c>
      <c r="BL79" s="2">
        <f t="shared" si="120"/>
        <v>1.0009902132156914</v>
      </c>
      <c r="BM79" s="2">
        <f t="shared" si="121"/>
        <v>1.0856010262580738</v>
      </c>
      <c r="BN79" s="2">
        <f t="shared" si="123"/>
        <v>1.035723807171113</v>
      </c>
      <c r="BO79" s="2">
        <f>IF(ISNUMBER(AO79),MIN(1.15,AO79/($AA79*(1-$K$3)^(BO$6-1))),"")</f>
        <v>1.01868422806104</v>
      </c>
      <c r="BP79" s="23"/>
      <c r="BU79" s="23"/>
      <c r="BY79" s="25">
        <f t="shared" si="134"/>
        <v>73</v>
      </c>
      <c r="BZ79" s="3">
        <f t="shared" si="135"/>
        <v>28615.552441111711</v>
      </c>
      <c r="CA79" s="3">
        <f t="shared" si="124"/>
        <v>25815</v>
      </c>
      <c r="CB79" s="2">
        <f t="shared" si="125"/>
        <v>0.90213180588160924</v>
      </c>
      <c r="CC79" s="85">
        <f t="shared" si="145"/>
        <v>40</v>
      </c>
      <c r="CD79" s="3" t="str">
        <f t="shared" si="136"/>
        <v>Fixed</v>
      </c>
      <c r="CE79" s="69">
        <f t="shared" si="126"/>
        <v>1.611571825287008E-3</v>
      </c>
      <c r="CF79" s="2">
        <f t="array" ref="CF79:CG79">LINEST(AB79:AO79,AB$6:AO$6,TRUE,FALSE)</f>
        <v>2.9692307692307742</v>
      </c>
      <c r="CG79" s="2">
        <v>1821.6593406593406</v>
      </c>
      <c r="CH79" s="1">
        <f t="shared" si="146"/>
        <v>1.024137312011929</v>
      </c>
      <c r="DC79" s="2">
        <f t="shared" si="147"/>
        <v>1.1333333333333333</v>
      </c>
      <c r="DD79">
        <f t="shared" si="137"/>
        <v>1</v>
      </c>
      <c r="DE79">
        <f t="shared" si="148"/>
        <v>15</v>
      </c>
      <c r="DT79">
        <f t="shared" si="149"/>
        <v>12989</v>
      </c>
      <c r="DU79" s="3">
        <f t="shared" si="150"/>
        <v>2111.2293687305437</v>
      </c>
      <c r="DV79" s="3">
        <f t="shared" si="151"/>
        <v>2100.673221886891</v>
      </c>
      <c r="DW79" s="3">
        <f t="shared" si="152"/>
        <v>2090.1698557774566</v>
      </c>
      <c r="DX79" s="3">
        <f t="shared" si="153"/>
        <v>2079.7190064985693</v>
      </c>
      <c r="DY79" s="3">
        <f t="shared" si="154"/>
        <v>2069.3204114660766</v>
      </c>
      <c r="DZ79" s="3">
        <f t="shared" si="155"/>
        <v>2058.9738094087461</v>
      </c>
      <c r="EA79" s="3">
        <f t="shared" si="156"/>
        <v>2048.6789403617026</v>
      </c>
      <c r="EB79" s="2">
        <f t="shared" si="157"/>
        <v>0.89217734775336266</v>
      </c>
      <c r="ED79" s="2" t="str">
        <f t="shared" si="158"/>
        <v xml:space="preserve"> </v>
      </c>
      <c r="EE79" s="58" t="str">
        <f t="shared" si="159"/>
        <v xml:space="preserve"> </v>
      </c>
      <c r="EF79" s="2">
        <f t="shared" si="160"/>
        <v>0.90213180588160924</v>
      </c>
      <c r="EG79" s="58">
        <f t="shared" si="161"/>
        <v>1.611571825287008E-3</v>
      </c>
      <c r="EI79" s="2" t="str">
        <f t="shared" si="162"/>
        <v xml:space="preserve"> </v>
      </c>
      <c r="EJ79" s="2">
        <f t="shared" si="163"/>
        <v>0.89217734775336266</v>
      </c>
      <c r="EK79" s="2"/>
      <c r="EL79" s="2">
        <f t="array" ref="EL79:EM79">LINEST($AB79:$AH79,$AB$6:$AH$6,TRUE,FALSE)</f>
        <v>-50.642857142857139</v>
      </c>
      <c r="EM79" s="2">
        <v>2058.1428571428573</v>
      </c>
      <c r="EN79" s="58">
        <f t="shared" si="164"/>
        <v>-2.7292324274386014E-2</v>
      </c>
      <c r="EO79" s="2">
        <f t="array" ref="EO79:EP79">LINEST($AH79:$AO79,$AH$6:$AO$6,TRUE,FALSE)</f>
        <v>66.035714285714292</v>
      </c>
      <c r="EP79" s="2">
        <v>1135</v>
      </c>
      <c r="EQ79" s="58">
        <f t="shared" si="165"/>
        <v>3.6117161023156791E-2</v>
      </c>
      <c r="ES79" s="3">
        <f t="shared" si="166"/>
        <v>272.2500000000075</v>
      </c>
      <c r="ET79" s="3">
        <f t="shared" si="92"/>
        <v>13489.163265306062</v>
      </c>
      <c r="EU79" s="3">
        <f t="shared" si="93"/>
        <v>18013.474489795997</v>
      </c>
      <c r="EV79" s="3">
        <f t="shared" si="94"/>
        <v>12005.897959183745</v>
      </c>
      <c r="EW79" s="3">
        <f t="shared" si="95"/>
        <v>113617.14795918358</v>
      </c>
      <c r="EX79" s="3">
        <f t="shared" si="96"/>
        <v>84265.795918367439</v>
      </c>
      <c r="EY79" s="3">
        <f t="shared" si="97"/>
        <v>9478.4132653060842</v>
      </c>
      <c r="EZ79" s="3">
        <f t="shared" si="167"/>
        <v>96543.367346938816</v>
      </c>
      <c r="FA79" s="3">
        <f t="shared" si="98"/>
        <v>339098.24617346952</v>
      </c>
      <c r="FB79" s="29">
        <f t="shared" si="99"/>
        <v>117894.12755102043</v>
      </c>
      <c r="FC79" s="3">
        <f t="shared" si="100"/>
        <v>22084.082908163207</v>
      </c>
      <c r="FD79" s="3">
        <f t="shared" si="101"/>
        <v>58356.755102040755</v>
      </c>
      <c r="FE79" s="3">
        <f t="shared" si="122"/>
        <v>4294.9298469387668</v>
      </c>
      <c r="FF79" s="3">
        <f>($EP79+$EO79*FF$6-AO79)^2</f>
        <v>1980.25</v>
      </c>
      <c r="FG79" s="29"/>
      <c r="FH79" s="3"/>
      <c r="FI79" s="3"/>
      <c r="FQ79" s="4">
        <f>SQRT(AVERAGE(ES79:FF79))/AVERAGE(AB79:AO79)</f>
        <v>0.13684430170414477</v>
      </c>
      <c r="FR79" s="160">
        <v>2.8000000000000001E-2</v>
      </c>
      <c r="FS79" s="161">
        <f t="shared" si="139"/>
        <v>0.20461210040397268</v>
      </c>
      <c r="FV79" s="4">
        <f t="shared" si="168"/>
        <v>0.10207822295777291</v>
      </c>
      <c r="FW79" s="161">
        <f t="shared" si="169"/>
        <v>0.27429944594140188</v>
      </c>
    </row>
    <row r="80" spans="1:179" x14ac:dyDescent="0.3">
      <c r="A80" s="62">
        <f t="shared" si="109"/>
        <v>74</v>
      </c>
      <c r="B80" s="6">
        <v>57203</v>
      </c>
      <c r="C80" s="6" t="s">
        <v>236</v>
      </c>
      <c r="D80" s="6">
        <v>2011</v>
      </c>
      <c r="E80" s="6">
        <v>2010</v>
      </c>
      <c r="F80" s="6" t="s">
        <v>252</v>
      </c>
      <c r="G80" s="17" t="s">
        <v>634</v>
      </c>
      <c r="H80" s="17" t="s">
        <v>630</v>
      </c>
      <c r="I80" s="6" t="s">
        <v>35</v>
      </c>
      <c r="J80" s="17">
        <v>25</v>
      </c>
      <c r="K80" s="6" t="s">
        <v>233</v>
      </c>
      <c r="L80" s="12">
        <v>40.8795</v>
      </c>
      <c r="M80" s="12">
        <v>-83.316999999999993</v>
      </c>
      <c r="N80" s="14">
        <v>12</v>
      </c>
      <c r="O80" s="6">
        <v>10</v>
      </c>
      <c r="P80" s="94">
        <f>365.25*4.2</f>
        <v>1534.05</v>
      </c>
      <c r="Q80" s="15" t="s">
        <v>573</v>
      </c>
      <c r="R80" s="14">
        <v>9.6999999999999993</v>
      </c>
      <c r="S80" s="3">
        <f t="shared" si="140"/>
        <v>32.551000000000002</v>
      </c>
      <c r="T80" s="128" t="str">
        <f t="shared" si="141"/>
        <v>C</v>
      </c>
      <c r="U80" s="154">
        <v>1390</v>
      </c>
      <c r="V80" s="154">
        <v>716.6</v>
      </c>
      <c r="W80" s="156">
        <v>0.48499999999999999</v>
      </c>
      <c r="X80" s="1">
        <f t="shared" ref="X80:X105" si="171">V80/U80</f>
        <v>0.51553956834532377</v>
      </c>
      <c r="Y80" s="59">
        <f t="shared" si="142"/>
        <v>0</v>
      </c>
      <c r="Z80" s="1">
        <f t="shared" si="143"/>
        <v>1</v>
      </c>
      <c r="AA80" s="3">
        <f t="shared" si="170"/>
        <v>15054.500726051396</v>
      </c>
      <c r="AB80" s="6">
        <v>14068</v>
      </c>
      <c r="AC80" s="6">
        <v>15763</v>
      </c>
      <c r="AD80" s="6">
        <v>14203</v>
      </c>
      <c r="AE80" s="6">
        <v>14593</v>
      </c>
      <c r="AF80" s="93">
        <v>14582</v>
      </c>
      <c r="AG80" s="6">
        <v>14398</v>
      </c>
      <c r="AH80" s="6">
        <v>13609</v>
      </c>
      <c r="AI80" s="6">
        <v>13045</v>
      </c>
      <c r="AJ80" s="6">
        <v>12511</v>
      </c>
      <c r="AK80" s="93">
        <v>11825</v>
      </c>
      <c r="AL80" s="6">
        <v>13165</v>
      </c>
      <c r="AM80" s="6">
        <v>12700</v>
      </c>
      <c r="AN80" s="6">
        <v>10243</v>
      </c>
      <c r="AO80" s="6">
        <v>11815</v>
      </c>
      <c r="AP80" s="93">
        <v>10477</v>
      </c>
      <c r="AU80" s="23"/>
      <c r="AY80" s="32">
        <v>15</v>
      </c>
      <c r="AZ80" s="1">
        <f t="shared" si="144"/>
        <v>0.71342379829717262</v>
      </c>
      <c r="BA80" s="24">
        <f t="shared" si="133"/>
        <v>74</v>
      </c>
      <c r="BB80" s="2">
        <f t="shared" si="110"/>
        <v>0.93447137543762682</v>
      </c>
      <c r="BC80" s="2">
        <f t="shared" si="111"/>
        <v>1.0523239092122048</v>
      </c>
      <c r="BD80" s="2">
        <f t="shared" si="112"/>
        <v>0.95294441391382123</v>
      </c>
      <c r="BE80" s="2">
        <f t="shared" si="113"/>
        <v>0.98403145999973773</v>
      </c>
      <c r="BF80" s="20">
        <f t="shared" si="114"/>
        <v>0.98823086512643898</v>
      </c>
      <c r="BG80" s="2">
        <f t="shared" si="115"/>
        <v>0.98066439701528274</v>
      </c>
      <c r="BH80" s="2">
        <f t="shared" si="116"/>
        <v>0.93158260946215887</v>
      </c>
      <c r="BI80" s="2">
        <f t="shared" si="117"/>
        <v>0.89746219084502266</v>
      </c>
      <c r="BJ80" s="2">
        <f t="shared" si="118"/>
        <v>0.8650496229450878</v>
      </c>
      <c r="BK80" s="20">
        <f t="shared" si="119"/>
        <v>0.82172607031044154</v>
      </c>
      <c r="BL80" s="2">
        <f t="shared" si="120"/>
        <v>0.91944064641490431</v>
      </c>
      <c r="BM80" s="2">
        <f t="shared" si="121"/>
        <v>0.8914222620485095</v>
      </c>
      <c r="BN80" s="2">
        <f t="shared" si="123"/>
        <v>0.72257652278422679</v>
      </c>
      <c r="BO80" s="2">
        <f>IF(ISNUMBER(AO80),MIN(1.15,AO80/($AA80*(1-$K$3)^(BO$6-1))),"")</f>
        <v>0.83765911630746137</v>
      </c>
      <c r="BP80" s="20">
        <f>IF(ISNUMBER(AP80),MIN(1.15,AP80/($AA80*(1-$K$3)^(BP$6-1))),"")</f>
        <v>0.74653032930656427</v>
      </c>
      <c r="BU80" s="23"/>
      <c r="BY80" s="25">
        <f t="shared" si="134"/>
        <v>74</v>
      </c>
      <c r="BZ80" s="3">
        <f t="shared" si="135"/>
        <v>218082.60230262627</v>
      </c>
      <c r="CA80" s="3">
        <f t="shared" si="124"/>
        <v>196997</v>
      </c>
      <c r="CB80" s="2">
        <f t="shared" si="125"/>
        <v>0.90331368903344955</v>
      </c>
      <c r="CC80" s="85">
        <f t="shared" si="145"/>
        <v>39</v>
      </c>
      <c r="CD80" s="3" t="str">
        <f t="shared" si="136"/>
        <v>Fixed</v>
      </c>
      <c r="CE80" s="69">
        <f t="shared" si="126"/>
        <v>-2.330039679731085E-2</v>
      </c>
      <c r="CF80" s="2">
        <f t="array" ref="CF80:CG80">LINEST(AB80:AP80,AB$6:AP$6,TRUE,FALSE)</f>
        <v>-309.61428571428576</v>
      </c>
      <c r="CG80" s="2">
        <v>15610.047619047618</v>
      </c>
      <c r="CH80" s="1">
        <f t="shared" si="146"/>
        <v>1.0222464450074555</v>
      </c>
      <c r="DC80" s="2">
        <f t="shared" si="147"/>
        <v>1.2</v>
      </c>
      <c r="DD80">
        <f t="shared" si="137"/>
        <v>1</v>
      </c>
      <c r="DE80">
        <f t="shared" si="148"/>
        <v>16</v>
      </c>
      <c r="DT80">
        <f t="shared" si="149"/>
        <v>101216</v>
      </c>
      <c r="DU80" s="3">
        <f t="shared" si="150"/>
        <v>15054.500726051396</v>
      </c>
      <c r="DV80" s="3">
        <f t="shared" si="151"/>
        <v>14979.228222421141</v>
      </c>
      <c r="DW80" s="3">
        <f t="shared" si="152"/>
        <v>14904.332081309034</v>
      </c>
      <c r="DX80" s="3">
        <f t="shared" si="153"/>
        <v>14829.810420902488</v>
      </c>
      <c r="DY80" s="3">
        <f t="shared" si="154"/>
        <v>14755.661368797977</v>
      </c>
      <c r="DZ80" s="3">
        <f t="shared" si="155"/>
        <v>14681.883061953988</v>
      </c>
      <c r="EA80" s="3">
        <f t="shared" si="156"/>
        <v>14608.473646644217</v>
      </c>
      <c r="EB80" s="2">
        <f t="shared" si="157"/>
        <v>0.97497551108151526</v>
      </c>
      <c r="ED80" s="2" t="str">
        <f t="shared" si="158"/>
        <v xml:space="preserve"> </v>
      </c>
      <c r="EE80" s="58" t="str">
        <f t="shared" si="159"/>
        <v xml:space="preserve"> </v>
      </c>
      <c r="EF80" s="2">
        <f t="shared" si="160"/>
        <v>0.90331368903344955</v>
      </c>
      <c r="EG80" s="58">
        <f t="shared" si="161"/>
        <v>-2.330039679731085E-2</v>
      </c>
      <c r="EI80" s="2" t="str">
        <f t="shared" si="162"/>
        <v xml:space="preserve"> </v>
      </c>
      <c r="EJ80" s="2">
        <f t="shared" si="163"/>
        <v>0.97497551108151526</v>
      </c>
      <c r="EK80" s="2"/>
      <c r="EL80" s="2">
        <f t="array" ref="EL80:EM80">LINEST($AB80:$AH80,$AB$6:$AH$6,TRUE,FALSE)</f>
        <v>-133.14285714285711</v>
      </c>
      <c r="EM80" s="2">
        <v>14992</v>
      </c>
      <c r="EN80" s="58">
        <f t="shared" si="164"/>
        <v>-9.2080303509326552E-3</v>
      </c>
      <c r="EO80" s="2">
        <f t="array" ref="EO80:EP80">LINEST($AH80:$AP80,$AH$6:$AP$6,TRUE,FALSE)</f>
        <v>-331.31666666666649</v>
      </c>
      <c r="EP80" s="2">
        <v>15798.927777777777</v>
      </c>
      <c r="EQ80" s="58">
        <f t="shared" si="165"/>
        <v>-2.7258890209342704E-2</v>
      </c>
      <c r="ES80" s="3">
        <f t="shared" si="166"/>
        <v>625455.02040816366</v>
      </c>
      <c r="ET80" s="3">
        <f t="shared" si="92"/>
        <v>1075961.6530612234</v>
      </c>
      <c r="EU80" s="3">
        <f t="shared" si="93"/>
        <v>151765.89795918428</v>
      </c>
      <c r="EV80" s="3">
        <f t="shared" si="94"/>
        <v>17841.326530611968</v>
      </c>
      <c r="EW80" s="3">
        <f t="shared" si="95"/>
        <v>65389.795918367614</v>
      </c>
      <c r="EX80" s="3">
        <f t="shared" si="96"/>
        <v>41966.448979591943</v>
      </c>
      <c r="EY80" s="3">
        <f t="shared" si="97"/>
        <v>203401</v>
      </c>
      <c r="EZ80" s="3">
        <f t="shared" si="167"/>
        <v>10690.411141975626</v>
      </c>
      <c r="FA80" s="3">
        <f t="shared" si="98"/>
        <v>93683.606049383132</v>
      </c>
      <c r="FB80" s="29">
        <f t="shared" si="99"/>
        <v>436605.24595678994</v>
      </c>
      <c r="FC80" s="3">
        <f t="shared" si="100"/>
        <v>1021222.5308641959</v>
      </c>
      <c r="FD80" s="3">
        <f t="shared" si="101"/>
        <v>768904.89410493511</v>
      </c>
      <c r="FE80" s="3">
        <f t="shared" si="122"/>
        <v>1559529.1912345747</v>
      </c>
      <c r="FF80" s="3">
        <f>($EP80+$EO80*FF$6-AO80)^2</f>
        <v>428377.52225308394</v>
      </c>
      <c r="FG80" s="29">
        <f>($EP80+$EO80*FG$6-AP80)^2</f>
        <v>124029.18716049456</v>
      </c>
      <c r="FH80" s="3"/>
      <c r="FI80" s="3"/>
      <c r="FQ80" s="4">
        <f>SQRT(AVERAGE(ES80:FG80))/AVERAGE(AB80:AP80)</f>
        <v>5.0602640656698089E-2</v>
      </c>
      <c r="FR80" s="160">
        <v>3.6999999999999998E-2</v>
      </c>
      <c r="FS80" s="161">
        <f t="shared" si="139"/>
        <v>0.73118713805901825</v>
      </c>
      <c r="FV80" s="4">
        <f t="shared" si="168"/>
        <v>3.861050142043445E-2</v>
      </c>
      <c r="FW80" s="161">
        <f t="shared" si="169"/>
        <v>0.95828851319754937</v>
      </c>
    </row>
    <row r="81" spans="1:179" x14ac:dyDescent="0.3">
      <c r="A81" s="62">
        <f t="shared" si="109"/>
        <v>75</v>
      </c>
      <c r="B81" s="6">
        <v>57382</v>
      </c>
      <c r="C81" s="6" t="s">
        <v>234</v>
      </c>
      <c r="D81" s="6">
        <v>2011</v>
      </c>
      <c r="E81" s="6">
        <v>2010</v>
      </c>
      <c r="F81" s="6" t="s">
        <v>248</v>
      </c>
      <c r="G81" s="17" t="s">
        <v>636</v>
      </c>
      <c r="H81" s="17" t="s">
        <v>638</v>
      </c>
      <c r="I81" s="6" t="s">
        <v>35</v>
      </c>
      <c r="J81" s="17">
        <v>15</v>
      </c>
      <c r="K81" s="6" t="s">
        <v>52</v>
      </c>
      <c r="L81" s="12">
        <v>40.168799999999997</v>
      </c>
      <c r="M81" s="12">
        <v>-74.656700000000001</v>
      </c>
      <c r="N81" s="14">
        <v>4.3</v>
      </c>
      <c r="O81" s="6">
        <v>3.6</v>
      </c>
      <c r="P81" s="94">
        <f>365.25*4.25</f>
        <v>1552.3125</v>
      </c>
      <c r="Q81" s="15" t="s">
        <v>551</v>
      </c>
      <c r="R81" s="14">
        <v>12.4</v>
      </c>
      <c r="S81" s="3">
        <f t="shared" si="140"/>
        <v>35.386749999999999</v>
      </c>
      <c r="T81" s="128" t="str">
        <f t="shared" si="141"/>
        <v>C</v>
      </c>
      <c r="U81" s="154">
        <v>1455</v>
      </c>
      <c r="V81" s="154">
        <v>671.5</v>
      </c>
      <c r="W81" s="156">
        <v>0.501</v>
      </c>
      <c r="X81" s="1">
        <f t="shared" si="171"/>
        <v>0.46151202749140896</v>
      </c>
      <c r="Y81" s="59">
        <f t="shared" si="142"/>
        <v>0</v>
      </c>
      <c r="Z81" s="1">
        <f t="shared" si="143"/>
        <v>1</v>
      </c>
      <c r="AA81" s="3">
        <f t="shared" si="170"/>
        <v>5469.4559148346598</v>
      </c>
      <c r="AB81" s="6">
        <v>4616</v>
      </c>
      <c r="AC81" s="6">
        <v>5700</v>
      </c>
      <c r="AD81" s="6">
        <v>5467</v>
      </c>
      <c r="AE81" s="6">
        <v>5460</v>
      </c>
      <c r="AF81" s="93">
        <v>5675</v>
      </c>
      <c r="AG81" s="6">
        <v>5769</v>
      </c>
      <c r="AH81" s="6">
        <v>5312</v>
      </c>
      <c r="AI81" s="6">
        <v>5016</v>
      </c>
      <c r="AJ81" s="6">
        <v>5121</v>
      </c>
      <c r="AK81" s="93">
        <v>5419</v>
      </c>
      <c r="AL81" s="6">
        <v>3852</v>
      </c>
      <c r="AM81" s="6">
        <v>5820</v>
      </c>
      <c r="AN81" s="6">
        <v>5362</v>
      </c>
      <c r="AO81" s="6">
        <v>5551</v>
      </c>
      <c r="AP81" s="23"/>
      <c r="AU81" s="23"/>
      <c r="AY81" s="32">
        <v>14</v>
      </c>
      <c r="AZ81" s="1">
        <f t="shared" si="144"/>
        <v>0.79337212178219252</v>
      </c>
      <c r="BA81" s="24">
        <f t="shared" si="133"/>
        <v>75</v>
      </c>
      <c r="BB81" s="2">
        <f t="shared" si="110"/>
        <v>0.84395963179447997</v>
      </c>
      <c r="BC81" s="2">
        <f t="shared" si="111"/>
        <v>1.0473881324361269</v>
      </c>
      <c r="BD81" s="2">
        <f t="shared" si="112"/>
        <v>1.0096219553959809</v>
      </c>
      <c r="BE81" s="2">
        <f t="shared" si="113"/>
        <v>1.0133962066528095</v>
      </c>
      <c r="BF81" s="20">
        <f t="shared" si="114"/>
        <v>1.0585939721970095</v>
      </c>
      <c r="BG81" s="2">
        <f t="shared" si="115"/>
        <v>1.0815360725397114</v>
      </c>
      <c r="BH81" s="2">
        <f t="shared" si="116"/>
        <v>1.0008648925562023</v>
      </c>
      <c r="BI81" s="2">
        <f t="shared" si="117"/>
        <v>0.94984302178473523</v>
      </c>
      <c r="BJ81" s="2">
        <f t="shared" si="118"/>
        <v>0.97459909486820651</v>
      </c>
      <c r="BK81" s="20">
        <f t="shared" si="119"/>
        <v>1.0364952069644866</v>
      </c>
      <c r="BL81" s="2">
        <f t="shared" si="120"/>
        <v>0.74047661025689493</v>
      </c>
      <c r="BM81" s="2">
        <f t="shared" si="121"/>
        <v>1.1244107014029463</v>
      </c>
      <c r="BN81" s="2">
        <f t="shared" si="123"/>
        <v>1.0411318069596431</v>
      </c>
      <c r="BO81" s="2">
        <f>IF(ISNUMBER(AO81),MIN(1.15,AO81/($AA81*(1-$K$3)^(BO$6-1))),"")</f>
        <v>1.0832458938543854</v>
      </c>
      <c r="BP81" s="23"/>
      <c r="BU81" s="23"/>
      <c r="BY81" s="25">
        <f t="shared" si="134"/>
        <v>75</v>
      </c>
      <c r="BZ81" s="3">
        <f t="shared" si="135"/>
        <v>74132.874842210193</v>
      </c>
      <c r="CA81" s="3">
        <f t="shared" si="124"/>
        <v>74140</v>
      </c>
      <c r="CB81" s="2">
        <f t="shared" si="125"/>
        <v>1.0000961133344008</v>
      </c>
      <c r="CC81" s="85">
        <f t="shared" si="145"/>
        <v>9</v>
      </c>
      <c r="CD81" s="3" t="str">
        <f t="shared" si="136"/>
        <v>Fixed</v>
      </c>
      <c r="CE81" s="69">
        <f t="shared" si="126"/>
        <v>-1.3114177537429561E-3</v>
      </c>
      <c r="CF81" s="2">
        <f t="array" ref="CF81:CG81">LINEST(AB81:AO81,AB$6:AO$6,TRUE,FALSE)</f>
        <v>-6.9494505494505656</v>
      </c>
      <c r="CG81" s="2">
        <v>5347.8351648351645</v>
      </c>
      <c r="CH81" s="1">
        <f t="shared" si="146"/>
        <v>1.024251312011929</v>
      </c>
      <c r="DC81" s="2">
        <f t="shared" si="147"/>
        <v>1.1944444444444444</v>
      </c>
      <c r="DD81">
        <f t="shared" si="137"/>
        <v>1</v>
      </c>
      <c r="DE81">
        <f t="shared" si="148"/>
        <v>15</v>
      </c>
      <c r="DT81">
        <f t="shared" si="149"/>
        <v>37999</v>
      </c>
      <c r="DU81" s="3">
        <f t="shared" si="150"/>
        <v>5469.4559148346598</v>
      </c>
      <c r="DV81" s="3">
        <f t="shared" si="151"/>
        <v>5442.1086352604862</v>
      </c>
      <c r="DW81" s="3">
        <f t="shared" si="152"/>
        <v>5414.8980920841841</v>
      </c>
      <c r="DX81" s="3">
        <f t="shared" si="153"/>
        <v>5387.8236016237634</v>
      </c>
      <c r="DY81" s="3">
        <f t="shared" si="154"/>
        <v>5360.8844836156459</v>
      </c>
      <c r="DZ81" s="3">
        <f t="shared" si="155"/>
        <v>5334.0800611975674</v>
      </c>
      <c r="EA81" s="3">
        <f t="shared" si="156"/>
        <v>5307.4096608915788</v>
      </c>
      <c r="EB81" s="2">
        <f t="shared" si="157"/>
        <v>1.0074858046053703</v>
      </c>
      <c r="ED81" s="2" t="str">
        <f t="shared" si="158"/>
        <v xml:space="preserve"> </v>
      </c>
      <c r="EE81" s="58" t="str">
        <f t="shared" si="159"/>
        <v xml:space="preserve"> </v>
      </c>
      <c r="EF81" s="2">
        <f t="shared" si="160"/>
        <v>1.0000961133344008</v>
      </c>
      <c r="EG81" s="58">
        <f t="shared" si="161"/>
        <v>-1.3114177537429561E-3</v>
      </c>
      <c r="EI81" s="2" t="str">
        <f t="shared" si="162"/>
        <v xml:space="preserve"> </v>
      </c>
      <c r="EJ81" s="2">
        <f t="shared" si="163"/>
        <v>1.0074858046053703</v>
      </c>
      <c r="EK81" s="2"/>
      <c r="EL81" s="2">
        <f t="array" ref="EL81:EM81">LINEST($AB81:$AH81,$AB$6:$AH$6,TRUE,FALSE)</f>
        <v>86.928571428571445</v>
      </c>
      <c r="EM81" s="2">
        <v>5080.7142857142862</v>
      </c>
      <c r="EN81" s="58">
        <f t="shared" si="164"/>
        <v>1.6013579304718546E-2</v>
      </c>
      <c r="EO81" s="2">
        <f t="array" ref="EO81:EP81">LINEST($AH81:$AO81,$AH$6:$AO$6,TRUE,FALSE)</f>
        <v>46.821428571428569</v>
      </c>
      <c r="EP81" s="2">
        <v>4690</v>
      </c>
      <c r="EQ81" s="58">
        <f t="shared" si="165"/>
        <v>9.0360511560424704E-3</v>
      </c>
      <c r="ES81" s="3">
        <f t="shared" si="166"/>
        <v>304309.84183673543</v>
      </c>
      <c r="ET81" s="3">
        <f t="shared" si="92"/>
        <v>198406.61224489726</v>
      </c>
      <c r="EU81" s="3">
        <f t="shared" si="93"/>
        <v>15750.249999999771</v>
      </c>
      <c r="EV81" s="3">
        <f t="shared" si="94"/>
        <v>996.75510204075067</v>
      </c>
      <c r="EW81" s="3">
        <f t="shared" si="95"/>
        <v>25485.841836734609</v>
      </c>
      <c r="EX81" s="3">
        <f t="shared" si="96"/>
        <v>27793.653061224359</v>
      </c>
      <c r="EY81" s="3">
        <f t="shared" si="97"/>
        <v>142290.61734693917</v>
      </c>
      <c r="EZ81" s="3">
        <f t="shared" si="167"/>
        <v>2359.1836734693752</v>
      </c>
      <c r="FA81" s="3">
        <f t="shared" si="98"/>
        <v>92.297193877556012</v>
      </c>
      <c r="FB81" s="29">
        <f t="shared" si="99"/>
        <v>68009.188775510411</v>
      </c>
      <c r="FC81" s="3">
        <f t="shared" si="100"/>
        <v>1830705.6441326516</v>
      </c>
      <c r="FD81" s="3">
        <f t="shared" si="101"/>
        <v>322786.3061224487</v>
      </c>
      <c r="FE81" s="3">
        <f t="shared" si="122"/>
        <v>4009.6033163265142</v>
      </c>
      <c r="FF81" s="3">
        <f>($EP81+$EO81*FF$6-AO81)^2</f>
        <v>42230.25</v>
      </c>
      <c r="FG81" s="29"/>
      <c r="FH81" s="3"/>
      <c r="FI81" s="3"/>
      <c r="FQ81" s="4">
        <f>SQRT(AVERAGE(ES81:FF81))/AVERAGE(AB81:AO81)</f>
        <v>8.7196699591747431E-2</v>
      </c>
      <c r="FR81" s="160">
        <v>3.1E-2</v>
      </c>
      <c r="FS81" s="161">
        <f t="shared" si="139"/>
        <v>0.3555180430582941</v>
      </c>
      <c r="FV81" s="4">
        <f t="shared" si="168"/>
        <v>5.8876240239126715E-2</v>
      </c>
      <c r="FW81" s="161">
        <f t="shared" si="169"/>
        <v>0.52652818648223876</v>
      </c>
    </row>
    <row r="82" spans="1:179" x14ac:dyDescent="0.3">
      <c r="A82" s="62">
        <f t="shared" si="109"/>
        <v>76</v>
      </c>
      <c r="B82" s="6">
        <v>57422</v>
      </c>
      <c r="C82" s="6" t="s">
        <v>235</v>
      </c>
      <c r="D82" s="6">
        <v>2011</v>
      </c>
      <c r="E82" s="6">
        <v>2010</v>
      </c>
      <c r="F82" s="6" t="s">
        <v>278</v>
      </c>
      <c r="G82" s="17" t="s">
        <v>982</v>
      </c>
      <c r="H82" s="17" t="s">
        <v>628</v>
      </c>
      <c r="I82" s="6" t="s">
        <v>36</v>
      </c>
      <c r="J82" s="17">
        <v>0</v>
      </c>
      <c r="K82" s="6" t="s">
        <v>24</v>
      </c>
      <c r="L82" s="12">
        <v>38.659700000000001</v>
      </c>
      <c r="M82" s="12">
        <v>-121.7294</v>
      </c>
      <c r="N82" s="14">
        <v>1.1000000000000001</v>
      </c>
      <c r="O82" s="6">
        <v>1</v>
      </c>
      <c r="P82" s="94">
        <f>365.25*6.8</f>
        <v>2483.6999999999998</v>
      </c>
      <c r="Q82" s="15" t="s">
        <v>507</v>
      </c>
      <c r="R82" s="14">
        <v>16</v>
      </c>
      <c r="S82" s="3">
        <f t="shared" si="140"/>
        <v>44.986899999999999</v>
      </c>
      <c r="T82" s="128" t="str">
        <f t="shared" si="141"/>
        <v>M</v>
      </c>
      <c r="U82" s="154">
        <v>1793</v>
      </c>
      <c r="V82" s="154">
        <v>572</v>
      </c>
      <c r="W82" s="156">
        <v>0.60799999999999998</v>
      </c>
      <c r="X82" s="1">
        <f t="shared" si="171"/>
        <v>0.31901840490797545</v>
      </c>
      <c r="Y82" s="59">
        <f t="shared" si="142"/>
        <v>4.7550142717791566E-3</v>
      </c>
      <c r="Z82" s="1">
        <f t="shared" si="143"/>
        <v>0.94050371134738509</v>
      </c>
      <c r="AA82" s="3">
        <f t="shared" si="170"/>
        <v>2046.9939976224873</v>
      </c>
      <c r="AB82" s="6">
        <v>2034</v>
      </c>
      <c r="AC82" s="6">
        <v>2041</v>
      </c>
      <c r="AD82" s="6">
        <v>2041</v>
      </c>
      <c r="AE82" s="6">
        <v>2021</v>
      </c>
      <c r="AF82" s="93">
        <v>2037</v>
      </c>
      <c r="AG82" s="6">
        <v>1940</v>
      </c>
      <c r="AH82" s="6">
        <v>1930</v>
      </c>
      <c r="AI82" s="6">
        <v>1869</v>
      </c>
      <c r="AJ82" s="6">
        <v>1106</v>
      </c>
      <c r="AK82" s="93">
        <v>1332</v>
      </c>
      <c r="AL82" s="6">
        <v>1298</v>
      </c>
      <c r="AM82" s="6">
        <v>533</v>
      </c>
      <c r="AN82" s="6">
        <v>534</v>
      </c>
      <c r="AO82" s="6">
        <v>0</v>
      </c>
      <c r="AP82" s="23"/>
      <c r="AU82" s="23"/>
      <c r="AY82" s="32">
        <v>14</v>
      </c>
      <c r="AZ82" s="1">
        <f t="shared" si="144"/>
        <v>0.5416092141542076</v>
      </c>
      <c r="BA82" s="24">
        <f t="shared" si="133"/>
        <v>76</v>
      </c>
      <c r="BB82" s="2">
        <f t="shared" si="110"/>
        <v>0.9936521564608497</v>
      </c>
      <c r="BC82" s="2">
        <f t="shared" si="111"/>
        <v>1.0020822160638958</v>
      </c>
      <c r="BD82" s="2">
        <f t="shared" si="112"/>
        <v>1.0071178050893423</v>
      </c>
      <c r="BE82" s="2">
        <f t="shared" si="113"/>
        <v>1.0022602399974203</v>
      </c>
      <c r="BF82" s="20">
        <f t="shared" si="114"/>
        <v>1.0152713636837056</v>
      </c>
      <c r="BG82" s="2">
        <f t="shared" si="115"/>
        <v>0.97178402841225708</v>
      </c>
      <c r="BH82" s="2">
        <f t="shared" si="116"/>
        <v>0.97163299737639541</v>
      </c>
      <c r="BI82" s="2">
        <f t="shared" si="117"/>
        <v>0.94565161147524313</v>
      </c>
      <c r="BJ82" s="2">
        <f t="shared" si="118"/>
        <v>0.56241113663105191</v>
      </c>
      <c r="BK82" s="20">
        <f t="shared" si="119"/>
        <v>0.68073789743705981</v>
      </c>
      <c r="BL82" s="2">
        <f t="shared" si="120"/>
        <v>0.66669518076365575</v>
      </c>
      <c r="BM82" s="2">
        <f t="shared" si="121"/>
        <v>0.27514191244901592</v>
      </c>
      <c r="BN82" s="2">
        <f t="shared" si="123"/>
        <v>0.27704334288284671</v>
      </c>
      <c r="BO82" s="2">
        <f>IF(ISNUMBER(AO82),MIN(1.15,AO82/($AA82*(1-$K$3)^(BO$6-1))),"")</f>
        <v>0</v>
      </c>
      <c r="BP82" s="23"/>
      <c r="BU82" s="23"/>
      <c r="BY82" s="25">
        <f t="shared" si="134"/>
        <v>76</v>
      </c>
      <c r="BZ82" s="3">
        <f t="shared" si="135"/>
        <v>27744.90775525169</v>
      </c>
      <c r="CA82" s="3">
        <f t="shared" si="124"/>
        <v>20716</v>
      </c>
      <c r="CB82" s="2">
        <f t="shared" si="125"/>
        <v>0.74665953776972915</v>
      </c>
      <c r="CC82" s="85">
        <f t="shared" si="145"/>
        <v>78</v>
      </c>
      <c r="CD82" s="3" t="str">
        <f t="shared" si="136"/>
        <v>Tracker</v>
      </c>
      <c r="CE82" s="69">
        <f t="shared" si="126"/>
        <v>-9.5794326441722991E-2</v>
      </c>
      <c r="CF82" s="2">
        <f t="array" ref="CF82:CG82">LINEST(AB82:AO82,AB$6:AO$6,TRUE,FALSE)</f>
        <v>-148.87912087912088</v>
      </c>
      <c r="CG82" s="2">
        <v>2596.3076923076924</v>
      </c>
      <c r="CH82" s="1">
        <f t="shared" si="146"/>
        <v>0.98585071201192898</v>
      </c>
      <c r="DC82" s="2">
        <f t="shared" si="147"/>
        <v>1.1000000000000001</v>
      </c>
      <c r="DD82">
        <f t="shared" si="137"/>
        <v>1</v>
      </c>
      <c r="DE82">
        <f t="shared" si="148"/>
        <v>15</v>
      </c>
      <c r="DT82">
        <f t="shared" si="149"/>
        <v>14044</v>
      </c>
      <c r="DU82" s="3">
        <f t="shared" si="150"/>
        <v>2046.9939976224873</v>
      </c>
      <c r="DV82" s="3">
        <f t="shared" si="151"/>
        <v>2036.7590276343749</v>
      </c>
      <c r="DW82" s="3">
        <f t="shared" si="152"/>
        <v>2026.5752324962034</v>
      </c>
      <c r="DX82" s="3">
        <f t="shared" si="153"/>
        <v>2016.442356333722</v>
      </c>
      <c r="DY82" s="3">
        <f t="shared" si="154"/>
        <v>2006.3601445520535</v>
      </c>
      <c r="DZ82" s="3">
        <f t="shared" si="155"/>
        <v>1996.3283438292933</v>
      </c>
      <c r="EA82" s="3">
        <f t="shared" si="156"/>
        <v>1986.3467021101469</v>
      </c>
      <c r="EB82" s="2">
        <f t="shared" si="157"/>
        <v>0.9949130920634377</v>
      </c>
      <c r="ED82" s="2" t="str">
        <f t="shared" si="158"/>
        <v xml:space="preserve"> </v>
      </c>
      <c r="EE82" s="58" t="str">
        <f t="shared" si="159"/>
        <v xml:space="preserve"> </v>
      </c>
      <c r="EF82" s="2" t="str">
        <f t="shared" si="160"/>
        <v xml:space="preserve"> </v>
      </c>
      <c r="EG82" s="58" t="str">
        <f t="shared" si="161"/>
        <v xml:space="preserve"> </v>
      </c>
      <c r="EI82" s="2" t="str">
        <f t="shared" si="162"/>
        <v xml:space="preserve"> </v>
      </c>
      <c r="EJ82" s="2" t="str">
        <f t="shared" si="163"/>
        <v xml:space="preserve"> </v>
      </c>
      <c r="EK82" s="2"/>
      <c r="EL82" s="2">
        <f t="array" ref="EL82:EM82">LINEST($AB82:$AH82,$AB$6:$AH$6,TRUE,FALSE)</f>
        <v>-18.499999999999996</v>
      </c>
      <c r="EM82" s="2">
        <v>2080.2857142857142</v>
      </c>
      <c r="EN82" s="58">
        <f t="shared" si="164"/>
        <v>-9.2210196525206473E-3</v>
      </c>
      <c r="EO82" s="2">
        <f t="array" ref="EO82:EP82">LINEST($AH82:$AO82,$AH$6:$AO$6,TRUE,FALSE)</f>
        <v>-261.16666666666669</v>
      </c>
      <c r="EP82" s="2">
        <v>3817.5</v>
      </c>
      <c r="EQ82" s="58">
        <f t="shared" si="165"/>
        <v>-0.24288925056188485</v>
      </c>
      <c r="ES82" s="3">
        <f t="shared" si="166"/>
        <v>772.04591836734335</v>
      </c>
      <c r="ET82" s="3">
        <f t="shared" si="92"/>
        <v>5.2244897959180703</v>
      </c>
      <c r="EU82" s="3">
        <f t="shared" si="93"/>
        <v>262.90306122449192</v>
      </c>
      <c r="EV82" s="3">
        <f t="shared" si="94"/>
        <v>216.51020408163455</v>
      </c>
      <c r="EW82" s="3">
        <f t="shared" si="95"/>
        <v>2422.0459183673534</v>
      </c>
      <c r="EX82" s="3">
        <f t="shared" si="96"/>
        <v>857.65306122448601</v>
      </c>
      <c r="EY82" s="3">
        <f t="shared" si="97"/>
        <v>432.04591836734426</v>
      </c>
      <c r="EZ82" s="3">
        <f t="shared" si="167"/>
        <v>19834.027777777821</v>
      </c>
      <c r="FA82" s="3">
        <f t="shared" si="98"/>
        <v>130321</v>
      </c>
      <c r="FB82" s="29">
        <f t="shared" si="99"/>
        <v>15918.027777777854</v>
      </c>
      <c r="FC82" s="3">
        <f t="shared" si="100"/>
        <v>124844.44444444455</v>
      </c>
      <c r="FD82" s="3">
        <f t="shared" si="101"/>
        <v>22650.25</v>
      </c>
      <c r="FE82" s="3">
        <f t="shared" si="122"/>
        <v>12469.444444444513</v>
      </c>
      <c r="FF82" s="3">
        <f>($EP82+$EO82*FF$6-AO82)^2</f>
        <v>25974.694444444394</v>
      </c>
      <c r="FG82" s="29"/>
      <c r="FH82" s="3"/>
      <c r="FI82" s="3"/>
      <c r="FQ82" s="4">
        <f>SQRT(AVERAGE(ES82:FF82))/AVERAGE(AB82:AO82)</f>
        <v>0.10791461140674943</v>
      </c>
      <c r="FR82" s="160">
        <v>3.3000000000000002E-2</v>
      </c>
      <c r="FS82" s="161">
        <f t="shared" si="139"/>
        <v>0.30579732966481349</v>
      </c>
      <c r="FV82" s="4">
        <f t="shared" si="168"/>
        <v>1.3279071963808443E-2</v>
      </c>
      <c r="FW82" s="161">
        <f t="shared" si="169"/>
        <v>2.4851134243371922</v>
      </c>
    </row>
    <row r="83" spans="1:179" x14ac:dyDescent="0.3">
      <c r="A83" s="62">
        <f t="shared" si="109"/>
        <v>77</v>
      </c>
      <c r="B83" s="6">
        <v>57310</v>
      </c>
      <c r="C83" s="6" t="s">
        <v>358</v>
      </c>
      <c r="D83" s="6">
        <v>2011</v>
      </c>
      <c r="E83" s="6">
        <v>2011</v>
      </c>
      <c r="F83" s="6" t="s">
        <v>278</v>
      </c>
      <c r="G83" s="17" t="s">
        <v>636</v>
      </c>
      <c r="H83" s="17" t="s">
        <v>638</v>
      </c>
      <c r="I83" s="6" t="s">
        <v>35</v>
      </c>
      <c r="J83" s="17">
        <v>10</v>
      </c>
      <c r="K83" s="6" t="s">
        <v>24</v>
      </c>
      <c r="L83" s="12">
        <v>33.795000000000002</v>
      </c>
      <c r="M83" s="12">
        <v>-118.241</v>
      </c>
      <c r="N83" s="14">
        <v>1.3</v>
      </c>
      <c r="O83" s="6">
        <v>1</v>
      </c>
      <c r="P83" s="94">
        <f>365.25*5.25</f>
        <v>1917.5625</v>
      </c>
      <c r="Q83" s="15" t="s">
        <v>568</v>
      </c>
      <c r="R83" s="14">
        <v>17.899999999999999</v>
      </c>
      <c r="S83" s="3">
        <f t="shared" si="140"/>
        <v>43.601749999999996</v>
      </c>
      <c r="T83" s="128" t="str">
        <f t="shared" si="141"/>
        <v>M</v>
      </c>
      <c r="U83" s="154">
        <v>1818</v>
      </c>
      <c r="V83" s="154">
        <v>665</v>
      </c>
      <c r="W83" s="156">
        <v>0.58499999999999996</v>
      </c>
      <c r="X83" s="1">
        <f t="shared" si="171"/>
        <v>0.36578657865786579</v>
      </c>
      <c r="Y83" s="59">
        <f t="shared" si="142"/>
        <v>9.9117386812431763E-3</v>
      </c>
      <c r="Z83" s="1">
        <f t="shared" si="143"/>
        <v>0.87997530976560068</v>
      </c>
      <c r="AA83" s="3">
        <f t="shared" si="170"/>
        <v>1977.0969948494699</v>
      </c>
      <c r="AB83" s="6">
        <v>1992</v>
      </c>
      <c r="AC83" s="6">
        <v>2173</v>
      </c>
      <c r="AD83" s="6">
        <v>1528</v>
      </c>
      <c r="AE83" s="6">
        <v>2149</v>
      </c>
      <c r="AF83" s="93">
        <v>1515</v>
      </c>
      <c r="AG83" s="6">
        <v>1592</v>
      </c>
      <c r="AH83" s="6">
        <v>1660</v>
      </c>
      <c r="AI83" s="6">
        <v>2139</v>
      </c>
      <c r="AJ83" s="6">
        <v>1781</v>
      </c>
      <c r="AK83" s="93">
        <v>1713</v>
      </c>
      <c r="AL83" s="6">
        <v>1509</v>
      </c>
      <c r="AM83" s="6">
        <v>0</v>
      </c>
      <c r="AP83" s="23"/>
      <c r="AU83" s="23"/>
      <c r="AY83" s="32">
        <v>12</v>
      </c>
      <c r="AZ83" s="1">
        <f t="shared" si="144"/>
        <v>0.66025996210801141</v>
      </c>
      <c r="BA83" s="24">
        <f t="shared" si="133"/>
        <v>77</v>
      </c>
      <c r="BB83" s="2">
        <f t="shared" si="110"/>
        <v>1.007537821962885</v>
      </c>
      <c r="BC83" s="2">
        <f t="shared" si="111"/>
        <v>1.1046092344883802</v>
      </c>
      <c r="BD83" s="2">
        <f t="shared" si="112"/>
        <v>0.78063715276716983</v>
      </c>
      <c r="BE83" s="2">
        <f t="shared" si="113"/>
        <v>1.1034157971116367</v>
      </c>
      <c r="BF83" s="20">
        <f t="shared" si="114"/>
        <v>0.78179400147509515</v>
      </c>
      <c r="BG83" s="2">
        <f t="shared" si="115"/>
        <v>0.82565703126082646</v>
      </c>
      <c r="BH83" s="2">
        <f t="shared" si="116"/>
        <v>0.86525003907285924</v>
      </c>
      <c r="BI83" s="2">
        <f t="shared" si="117"/>
        <v>1.1205242075297246</v>
      </c>
      <c r="BJ83" s="2">
        <f t="shared" si="118"/>
        <v>0.93767275536656614</v>
      </c>
      <c r="BK83" s="20">
        <f t="shared" si="119"/>
        <v>0.90640368035738927</v>
      </c>
      <c r="BL83" s="2">
        <f t="shared" si="120"/>
        <v>0.80247305040045547</v>
      </c>
      <c r="BM83" s="2">
        <f t="shared" si="121"/>
        <v>0</v>
      </c>
      <c r="BP83" s="23"/>
      <c r="BU83" s="23"/>
      <c r="BY83" s="25">
        <f t="shared" si="134"/>
        <v>77</v>
      </c>
      <c r="BZ83" s="3">
        <f t="shared" si="135"/>
        <v>23083.474603466915</v>
      </c>
      <c r="CA83" s="3">
        <f t="shared" si="124"/>
        <v>19751</v>
      </c>
      <c r="CB83" s="2">
        <f t="shared" si="125"/>
        <v>0.85563375268615716</v>
      </c>
      <c r="CC83" s="85">
        <f t="shared" si="145"/>
        <v>56</v>
      </c>
      <c r="CD83" s="3" t="str">
        <f t="shared" si="136"/>
        <v>Fixed</v>
      </c>
      <c r="CE83" s="69">
        <f t="shared" si="126"/>
        <v>-5.4740016088863419E-2</v>
      </c>
      <c r="CF83" s="2">
        <f t="array" ref="CF83:CG83">LINEST(AB83:AM83,AB$6:AM$6,TRUE,FALSE)</f>
        <v>-92.632867132867133</v>
      </c>
      <c r="CG83" s="2">
        <v>2248.030303030303</v>
      </c>
      <c r="CH83" s="1">
        <f t="shared" si="146"/>
        <v>0.99139131201192898</v>
      </c>
      <c r="DC83" s="2">
        <f t="shared" si="147"/>
        <v>1.3</v>
      </c>
      <c r="DD83">
        <f t="shared" si="137"/>
        <v>0</v>
      </c>
      <c r="DE83">
        <f t="shared" si="148"/>
        <v>12</v>
      </c>
      <c r="DT83">
        <f t="shared" si="149"/>
        <v>12609</v>
      </c>
      <c r="DU83" s="3">
        <f t="shared" si="150"/>
        <v>1977.0969948494696</v>
      </c>
      <c r="DV83" s="3">
        <f t="shared" si="151"/>
        <v>1967.2115098752224</v>
      </c>
      <c r="DW83" s="3">
        <f t="shared" si="152"/>
        <v>1957.3754523258465</v>
      </c>
      <c r="DX83" s="3">
        <f t="shared" si="153"/>
        <v>1947.5885750642171</v>
      </c>
      <c r="DY83" s="3">
        <f t="shared" si="154"/>
        <v>1937.8506321888963</v>
      </c>
      <c r="DZ83" s="3">
        <f t="shared" si="155"/>
        <v>1928.1613790279521</v>
      </c>
      <c r="EA83" s="3">
        <f t="shared" si="156"/>
        <v>1918.5205721328123</v>
      </c>
      <c r="EB83" s="2">
        <f t="shared" si="157"/>
        <v>0.92483352176554068</v>
      </c>
      <c r="ED83" s="2" t="str">
        <f t="shared" si="158"/>
        <v xml:space="preserve"> </v>
      </c>
      <c r="EE83" s="58" t="str">
        <f t="shared" si="159"/>
        <v xml:space="preserve"> </v>
      </c>
      <c r="EF83" s="2" t="str">
        <f t="shared" si="160"/>
        <v xml:space="preserve"> </v>
      </c>
      <c r="EG83" s="58" t="str">
        <f t="shared" si="161"/>
        <v xml:space="preserve"> </v>
      </c>
      <c r="EI83" s="2" t="str">
        <f t="shared" si="162"/>
        <v xml:space="preserve"> </v>
      </c>
      <c r="EJ83" s="2" t="str">
        <f t="shared" si="163"/>
        <v xml:space="preserve"> </v>
      </c>
      <c r="EK83" s="2"/>
      <c r="EL83" s="2">
        <f t="array" ref="EL83:EM83">LINEST($AB83:$AH83,$AB$6:$AH$6,TRUE,FALSE)</f>
        <v>-77.535714285714278</v>
      </c>
      <c r="EM83" s="2">
        <v>2111.4285714285716</v>
      </c>
      <c r="EN83" s="58">
        <f t="shared" si="164"/>
        <v>-4.3044650646363702E-2</v>
      </c>
      <c r="EO83" s="2">
        <f t="array" ref="EO83:EP83">LINEST($AH83:$AM83,$AH$6:$AM$6,TRUE,FALSE)</f>
        <v>-293.0857142857144</v>
      </c>
      <c r="EP83" s="2">
        <v>4251.3142857142866</v>
      </c>
      <c r="EQ83" s="58">
        <f t="shared" si="165"/>
        <v>-0.19978576297594711</v>
      </c>
      <c r="ES83" s="3">
        <f t="shared" si="166"/>
        <v>1755.011479591853</v>
      </c>
      <c r="ET83" s="3">
        <f t="shared" si="92"/>
        <v>46934.127551020298</v>
      </c>
      <c r="EU83" s="3">
        <f t="shared" si="93"/>
        <v>123075.67474489803</v>
      </c>
      <c r="EV83" s="3">
        <f t="shared" si="94"/>
        <v>120905.2244897958</v>
      </c>
      <c r="EW83" s="3">
        <f t="shared" si="95"/>
        <v>43576.562500000095</v>
      </c>
      <c r="EX83" s="3">
        <f t="shared" si="96"/>
        <v>2939.1887755102111</v>
      </c>
      <c r="EY83" s="3">
        <f t="shared" si="97"/>
        <v>8339.6033163265074</v>
      </c>
      <c r="EZ83" s="3">
        <f t="shared" si="167"/>
        <v>53996.480816326555</v>
      </c>
      <c r="FA83" s="3">
        <f t="shared" si="98"/>
        <v>28041.894693877606</v>
      </c>
      <c r="FB83" s="29">
        <f t="shared" si="99"/>
        <v>154089.89469387778</v>
      </c>
      <c r="FC83" s="3">
        <f t="shared" si="100"/>
        <v>231966.08081632692</v>
      </c>
      <c r="FD83" s="3">
        <f t="shared" si="101"/>
        <v>539175.51020408084</v>
      </c>
      <c r="FE83" s="3"/>
      <c r="FF83" s="3"/>
      <c r="FG83" s="29"/>
      <c r="FH83" s="3"/>
      <c r="FI83" s="3"/>
      <c r="FQ83" s="4">
        <f>SQRT(AVERAGE(ES83:FD83))/AVERAGE(AB83:AM83)</f>
        <v>0.20414482130925765</v>
      </c>
      <c r="FR83" s="160">
        <v>2.5999999999999999E-2</v>
      </c>
      <c r="FS83" s="161">
        <f t="shared" si="139"/>
        <v>0.12736056605919369</v>
      </c>
      <c r="FV83" s="4">
        <f t="shared" si="168"/>
        <v>0.12369770632414191</v>
      </c>
      <c r="FW83" s="161">
        <f t="shared" si="169"/>
        <v>0.2101898311021925</v>
      </c>
    </row>
    <row r="84" spans="1:179" x14ac:dyDescent="0.3">
      <c r="A84" s="62">
        <f t="shared" si="109"/>
        <v>78</v>
      </c>
      <c r="B84" s="6">
        <v>57458</v>
      </c>
      <c r="C84" s="6" t="s">
        <v>499</v>
      </c>
      <c r="D84" s="6">
        <v>2012</v>
      </c>
      <c r="E84" s="6">
        <v>2011</v>
      </c>
      <c r="F84" s="6" t="s">
        <v>252</v>
      </c>
      <c r="G84" s="17" t="s">
        <v>636</v>
      </c>
      <c r="H84" s="17" t="s">
        <v>638</v>
      </c>
      <c r="I84" s="6" t="s">
        <v>35</v>
      </c>
      <c r="J84" s="17">
        <v>10</v>
      </c>
      <c r="K84" s="6" t="s">
        <v>52</v>
      </c>
      <c r="L84" s="12">
        <v>40.536000000000001</v>
      </c>
      <c r="M84" s="12">
        <v>-74.391300000000001</v>
      </c>
      <c r="N84" s="14">
        <v>4.3</v>
      </c>
      <c r="O84" s="6">
        <v>3.8</v>
      </c>
      <c r="P84" s="94">
        <f>365.25*4.15</f>
        <v>1515.7875000000001</v>
      </c>
      <c r="Q84" s="15" t="s">
        <v>556</v>
      </c>
      <c r="R84" s="14">
        <v>12.7</v>
      </c>
      <c r="S84" s="3">
        <f t="shared" si="140"/>
        <v>35.41525</v>
      </c>
      <c r="T84" s="128" t="str">
        <f t="shared" si="141"/>
        <v>C</v>
      </c>
      <c r="U84" s="154">
        <v>1412</v>
      </c>
      <c r="V84" s="154">
        <v>685</v>
      </c>
      <c r="W84" s="156">
        <v>0.49199999999999999</v>
      </c>
      <c r="X84" s="1">
        <f t="shared" si="171"/>
        <v>0.48512747875354106</v>
      </c>
      <c r="Y84" s="59">
        <f t="shared" si="142"/>
        <v>0</v>
      </c>
      <c r="Z84" s="1">
        <f t="shared" si="143"/>
        <v>1</v>
      </c>
      <c r="AA84" s="3">
        <f t="shared" si="170"/>
        <v>5340.1684032596104</v>
      </c>
      <c r="AB84" s="6">
        <v>5173</v>
      </c>
      <c r="AC84" s="6">
        <v>5036</v>
      </c>
      <c r="AD84" s="6">
        <v>4524</v>
      </c>
      <c r="AE84" s="6">
        <v>4802</v>
      </c>
      <c r="AF84" s="93">
        <v>5051</v>
      </c>
      <c r="AG84" s="6">
        <v>4819</v>
      </c>
      <c r="AH84" s="6">
        <v>4626</v>
      </c>
      <c r="AI84" s="6">
        <v>5010</v>
      </c>
      <c r="AJ84" s="6">
        <v>4844</v>
      </c>
      <c r="AK84" s="93">
        <v>4629</v>
      </c>
      <c r="AL84" s="6">
        <v>5254</v>
      </c>
      <c r="AM84" s="6">
        <v>4644</v>
      </c>
      <c r="AN84" s="6">
        <v>4844</v>
      </c>
      <c r="AP84" s="23"/>
      <c r="AU84" s="23"/>
      <c r="AY84" s="32">
        <v>13</v>
      </c>
      <c r="AZ84" s="1">
        <f t="shared" si="144"/>
        <v>0.74653744591602134</v>
      </c>
      <c r="BA84" s="24">
        <f t="shared" si="133"/>
        <v>78</v>
      </c>
      <c r="BB84" s="2">
        <f t="shared" ref="BB84:BB106" si="172">IF(ISNUMBER(AB84),MIN(1.15,AB84/($AA84*(1-$K$3)^(BB$6-1))),"")</f>
        <v>0.96869604277693344</v>
      </c>
      <c r="BC84" s="2">
        <f t="shared" ref="BC84:BC106" si="173">IF(ISNUMBER(AC84),MIN(1.15,AC84/($AA84*(1-$K$3)^(BC$6-1))),"")</f>
        <v>0.94778032272801027</v>
      </c>
      <c r="BD84" s="2">
        <f t="shared" ref="BD84:BD106" si="174">IF(ISNUMBER(AD84),MIN(1.15,AD84/($AA84*(1-$K$3)^(BD$6-1))),"")</f>
        <v>0.85569990141763574</v>
      </c>
      <c r="BE84" s="2">
        <f t="shared" ref="BE84:BE106" si="175">IF(ISNUMBER(AE84),MIN(1.15,AE84/($AA84*(1-$K$3)^(BE$6-1))),"")</f>
        <v>0.91284693285336671</v>
      </c>
      <c r="BF84" s="20">
        <f t="shared" ref="BF84:BF106" si="176">IF(ISNUMBER(AF84),MIN(1.15,AF84/($AA84*(1-$K$3)^(BF$6-1))),"")</f>
        <v>0.96500617578570802</v>
      </c>
      <c r="BG84" s="2">
        <f t="shared" ref="BG84:BG106" si="177">IF(ISNUMBER(AG84),MIN(1.15,AG84/($AA84*(1-$K$3)^(BG$6-1))),"")</f>
        <v>0.92530853855723405</v>
      </c>
      <c r="BH84" s="2">
        <f t="shared" ref="BH84:BH106" si="178">IF(ISNUMBER(AH84),MIN(1.15,AH84/($AA84*(1-$K$3)^(BH$6-1))),"")</f>
        <v>0.89271368241201121</v>
      </c>
      <c r="BI84" s="2">
        <f t="shared" ref="BI84:BI106" si="179">IF(ISNUMBER(AI84),MIN(1.15,AI84/($AA84*(1-$K$3)^(BI$6-1))),"")</f>
        <v>0.9716754001056247</v>
      </c>
      <c r="BJ84" s="2">
        <f t="shared" ref="BJ84:BJ106" si="180">IF(ISNUMBER(AJ84),MIN(1.15,AJ84/($AA84*(1-$K$3)^(BJ$6-1))),"")</f>
        <v>0.94420117315352137</v>
      </c>
      <c r="BK84" s="20">
        <f t="shared" ref="BK84:BK106" si="181">IF(ISNUMBER(AK84),MIN(1.15,AK84/($AA84*(1-$K$3)^(BK$6-1))),"")</f>
        <v>0.90682712292421019</v>
      </c>
      <c r="BL84" s="2">
        <f t="shared" ref="BL84:BL106" si="182">IF(ISNUMBER(AL84),MIN(1.15,AL84/($AA84*(1-$K$3)^(BL$6-1))),"")</f>
        <v>1.0344376242508286</v>
      </c>
      <c r="BM84" s="2">
        <f t="shared" ref="BM84:BM106" si="183">IF(ISNUMBER(AM84),MIN(1.15,AM84/($AA84*(1-$K$3)^(BM$6-1))),"")</f>
        <v>0.91893198903173046</v>
      </c>
      <c r="BN84" s="2">
        <f t="shared" ref="BN84:BN106" si="184">IF(ISNUMBER(AN84),MIN(1.15,AN84/($AA84*(1-$K$3)^(BN$6-1))),"")</f>
        <v>0.96332362823369699</v>
      </c>
      <c r="BP84" s="23"/>
      <c r="BU84" s="23"/>
      <c r="BY84" s="25">
        <f t="shared" si="134"/>
        <v>78</v>
      </c>
      <c r="BZ84" s="3">
        <f t="shared" si="135"/>
        <v>67377.232758639715</v>
      </c>
      <c r="CA84" s="3">
        <f t="shared" si="124"/>
        <v>63256</v>
      </c>
      <c r="CB84" s="2">
        <f t="shared" si="125"/>
        <v>0.9388334517476713</v>
      </c>
      <c r="CC84" s="85">
        <f t="shared" si="145"/>
        <v>25</v>
      </c>
      <c r="CD84" s="3" t="str">
        <f t="shared" si="136"/>
        <v>Fixed</v>
      </c>
      <c r="CE84" s="69">
        <f t="shared" si="126"/>
        <v>-1.9809083750910918E-3</v>
      </c>
      <c r="CF84" s="2">
        <f t="array" ref="CF84:CG84">LINEST(AB84:AN84,AB$6:AN$6,TRUE,FALSE)</f>
        <v>-9.6483516483516478</v>
      </c>
      <c r="CG84" s="2">
        <v>4933.3846153846162</v>
      </c>
      <c r="CH84" s="1">
        <f t="shared" si="146"/>
        <v>1.024137312011929</v>
      </c>
      <c r="DC84" s="2">
        <f t="shared" si="147"/>
        <v>1.131578947368421</v>
      </c>
      <c r="DD84">
        <f t="shared" si="137"/>
        <v>1</v>
      </c>
      <c r="DE84">
        <f t="shared" si="148"/>
        <v>14</v>
      </c>
      <c r="DT84">
        <f t="shared" si="149"/>
        <v>34031</v>
      </c>
      <c r="DU84" s="3">
        <f t="shared" si="150"/>
        <v>5340.1684032596104</v>
      </c>
      <c r="DV84" s="3">
        <f t="shared" si="151"/>
        <v>5313.467561243312</v>
      </c>
      <c r="DW84" s="3">
        <f t="shared" si="152"/>
        <v>5286.9002234370964</v>
      </c>
      <c r="DX84" s="3">
        <f t="shared" si="153"/>
        <v>5260.4657223199101</v>
      </c>
      <c r="DY84" s="3">
        <f t="shared" si="154"/>
        <v>5234.1633937083107</v>
      </c>
      <c r="DZ84" s="3">
        <f t="shared" si="155"/>
        <v>5207.9925767397699</v>
      </c>
      <c r="EA84" s="3">
        <f t="shared" si="156"/>
        <v>5181.9526138560714</v>
      </c>
      <c r="EB84" s="2">
        <f t="shared" si="157"/>
        <v>0.92412485782014075</v>
      </c>
      <c r="ED84" s="2" t="str">
        <f t="shared" si="158"/>
        <v xml:space="preserve"> </v>
      </c>
      <c r="EE84" s="58" t="str">
        <f t="shared" si="159"/>
        <v xml:space="preserve"> </v>
      </c>
      <c r="EF84" s="2">
        <f t="shared" si="160"/>
        <v>0.9388334517476713</v>
      </c>
      <c r="EG84" s="58">
        <f t="shared" si="161"/>
        <v>-1.9809083750910918E-3</v>
      </c>
      <c r="EI84" s="2" t="str">
        <f t="shared" si="162"/>
        <v xml:space="preserve"> </v>
      </c>
      <c r="EJ84" s="2">
        <f t="shared" si="163"/>
        <v>0.92412485782014075</v>
      </c>
      <c r="EK84" s="2"/>
      <c r="EL84" s="2">
        <f t="array" ref="EL84:EM84">LINEST($AB84:$AH84,$AB$6:$AH$6,TRUE,FALSE)</f>
        <v>-55.285714285714285</v>
      </c>
      <c r="EM84" s="2">
        <v>5082.7142857142853</v>
      </c>
      <c r="EN84" s="58">
        <f t="shared" si="164"/>
        <v>-1.1371984367194617E-2</v>
      </c>
      <c r="EO84" s="2">
        <f t="array" ref="EO84:EP84">LINEST($AH84:$AN84,$AH$6:$AN$6,TRUE,FALSE)</f>
        <v>11.857142857142858</v>
      </c>
      <c r="EP84" s="2">
        <v>4717.2857142857147</v>
      </c>
      <c r="EQ84" s="58">
        <f t="shared" si="165"/>
        <v>2.4519216566718854E-3</v>
      </c>
      <c r="ES84" s="3">
        <f t="shared" si="166"/>
        <v>21191.040816326757</v>
      </c>
      <c r="ET84" s="3">
        <f t="shared" si="92"/>
        <v>4077.734693877584</v>
      </c>
      <c r="EU84" s="3">
        <f t="shared" si="93"/>
        <v>154336.73469387705</v>
      </c>
      <c r="EV84" s="3">
        <f t="shared" si="94"/>
        <v>3548.7551020408009</v>
      </c>
      <c r="EW84" s="3">
        <f t="shared" si="95"/>
        <v>59885.081632653317</v>
      </c>
      <c r="EX84" s="3">
        <f t="shared" si="96"/>
        <v>4624</v>
      </c>
      <c r="EY84" s="3">
        <f t="shared" si="97"/>
        <v>4860.0816326530066</v>
      </c>
      <c r="EZ84" s="3">
        <f t="shared" si="167"/>
        <v>39147.44897959158</v>
      </c>
      <c r="FA84" s="3">
        <f t="shared" si="98"/>
        <v>400</v>
      </c>
      <c r="FB84" s="29">
        <f t="shared" si="99"/>
        <v>42789.877551020516</v>
      </c>
      <c r="FC84" s="3">
        <f t="shared" si="100"/>
        <v>165068.08163265264</v>
      </c>
      <c r="FD84" s="3">
        <f t="shared" si="101"/>
        <v>46471.040816326866</v>
      </c>
      <c r="FE84" s="3">
        <f t="shared" ref="FE84:FE106" si="185">($EP84+$EO84*FE$6-AN84)^2</f>
        <v>752.32653061225199</v>
      </c>
      <c r="FF84" s="3"/>
      <c r="FG84" s="29"/>
      <c r="FH84" s="3"/>
      <c r="FI84" s="3"/>
      <c r="FQ84" s="4">
        <f>SQRT(AVERAGE(ES84:FE84))/AVERAGE(AB84:AN84)</f>
        <v>4.2162274057718399E-2</v>
      </c>
      <c r="FR84" s="160">
        <v>2.8000000000000001E-2</v>
      </c>
      <c r="FS84" s="161">
        <f t="shared" si="139"/>
        <v>0.6641008016234885</v>
      </c>
      <c r="FV84" s="4">
        <f t="shared" si="168"/>
        <v>3.9068357002384618E-2</v>
      </c>
      <c r="FW84" s="161">
        <f t="shared" si="169"/>
        <v>0.71669253965020752</v>
      </c>
    </row>
    <row r="85" spans="1:179" x14ac:dyDescent="0.3">
      <c r="A85" s="62">
        <f t="shared" si="109"/>
        <v>79</v>
      </c>
      <c r="B85" s="6">
        <v>57652</v>
      </c>
      <c r="C85" s="6" t="s">
        <v>490</v>
      </c>
      <c r="D85" s="6">
        <v>2012</v>
      </c>
      <c r="E85" s="6">
        <v>2011</v>
      </c>
      <c r="F85" s="6" t="s">
        <v>252</v>
      </c>
      <c r="G85" s="17" t="s">
        <v>636</v>
      </c>
      <c r="H85" s="17" t="s">
        <v>638</v>
      </c>
      <c r="I85" s="6" t="s">
        <v>35</v>
      </c>
      <c r="J85" s="17">
        <v>28</v>
      </c>
      <c r="K85" s="6" t="s">
        <v>370</v>
      </c>
      <c r="L85" s="12">
        <v>45.108890000000002</v>
      </c>
      <c r="M85" s="12">
        <v>-123.27861</v>
      </c>
      <c r="N85" s="14">
        <v>1.2</v>
      </c>
      <c r="O85" s="6">
        <v>1</v>
      </c>
      <c r="P85" s="94">
        <f>365.25*4.2</f>
        <v>1534.05</v>
      </c>
      <c r="Q85" s="15" t="s">
        <v>575</v>
      </c>
      <c r="R85" s="14">
        <v>11.2</v>
      </c>
      <c r="S85" s="3">
        <f t="shared" si="140"/>
        <v>34.051000000000002</v>
      </c>
      <c r="T85" s="128" t="str">
        <f t="shared" si="141"/>
        <v>C</v>
      </c>
      <c r="U85" s="154">
        <v>1370</v>
      </c>
      <c r="V85" s="154">
        <v>632</v>
      </c>
      <c r="W85" s="156">
        <v>0.505</v>
      </c>
      <c r="X85" s="1">
        <f t="shared" si="171"/>
        <v>0.46131386861313867</v>
      </c>
      <c r="Y85" s="59">
        <f t="shared" si="142"/>
        <v>0</v>
      </c>
      <c r="Z85" s="1">
        <f t="shared" si="143"/>
        <v>1</v>
      </c>
      <c r="AA85" s="3">
        <f t="shared" si="170"/>
        <v>1516.2711881682235</v>
      </c>
      <c r="AB85" s="6">
        <v>1280</v>
      </c>
      <c r="AC85" s="6">
        <v>1341</v>
      </c>
      <c r="AD85" s="6">
        <v>1209</v>
      </c>
      <c r="AE85" s="6">
        <v>1327</v>
      </c>
      <c r="AF85" s="93">
        <v>1223</v>
      </c>
      <c r="AG85" s="6">
        <v>914</v>
      </c>
      <c r="AH85" s="6">
        <v>1192</v>
      </c>
      <c r="AI85" s="6">
        <v>1206</v>
      </c>
      <c r="AJ85" s="6">
        <v>143</v>
      </c>
      <c r="AK85" s="93">
        <v>1006</v>
      </c>
      <c r="AL85" s="6">
        <v>1033</v>
      </c>
      <c r="AM85" s="6">
        <v>955</v>
      </c>
      <c r="AN85" s="6">
        <v>881</v>
      </c>
      <c r="AP85" s="23"/>
      <c r="AU85" s="23"/>
      <c r="AY85" s="32">
        <v>13</v>
      </c>
      <c r="AZ85" s="1">
        <f t="shared" si="144"/>
        <v>0.57289277001802663</v>
      </c>
      <c r="BA85" s="24">
        <f t="shared" si="133"/>
        <v>79</v>
      </c>
      <c r="BB85" s="2">
        <f t="shared" si="172"/>
        <v>0.84417616715802801</v>
      </c>
      <c r="BC85" s="2">
        <f t="shared" si="173"/>
        <v>0.88885069107955061</v>
      </c>
      <c r="BD85" s="2">
        <f t="shared" si="174"/>
        <v>0.80538448057976431</v>
      </c>
      <c r="BE85" s="2">
        <f t="shared" si="175"/>
        <v>0.8884332379260631</v>
      </c>
      <c r="BF85" s="20">
        <f t="shared" si="176"/>
        <v>0.82291930639147137</v>
      </c>
      <c r="BG85" s="2">
        <f t="shared" si="177"/>
        <v>0.61809311976218362</v>
      </c>
      <c r="BH85" s="2">
        <f t="shared" si="178"/>
        <v>0.8101415158467643</v>
      </c>
      <c r="BI85" s="2">
        <f t="shared" si="179"/>
        <v>0.82377547815520369</v>
      </c>
      <c r="BJ85" s="2">
        <f t="shared" si="180"/>
        <v>9.8169032039296097E-2</v>
      </c>
      <c r="BK85" s="20">
        <f t="shared" si="181"/>
        <v>0.69408613860583945</v>
      </c>
      <c r="BL85" s="2">
        <f t="shared" si="182"/>
        <v>0.71629617389115774</v>
      </c>
      <c r="BM85" s="2">
        <f t="shared" si="183"/>
        <v>0.66553760678129825</v>
      </c>
      <c r="BN85" s="2">
        <f t="shared" si="184"/>
        <v>0.617052415558761</v>
      </c>
      <c r="BP85" s="23"/>
      <c r="BU85" s="23"/>
      <c r="BY85" s="25">
        <f t="shared" si="134"/>
        <v>79</v>
      </c>
      <c r="BZ85" s="3">
        <f t="shared" si="135"/>
        <v>19130.886716619341</v>
      </c>
      <c r="CA85" s="3">
        <f t="shared" si="124"/>
        <v>13710</v>
      </c>
      <c r="CB85" s="2">
        <f t="shared" si="125"/>
        <v>0.71664216108131984</v>
      </c>
      <c r="CC85" s="85">
        <f t="shared" si="145"/>
        <v>84</v>
      </c>
      <c r="CD85" s="3" t="str">
        <f t="shared" si="136"/>
        <v>Fixed</v>
      </c>
      <c r="CE85" s="69">
        <f t="shared" si="126"/>
        <v>-4.0123653759263196E-2</v>
      </c>
      <c r="CF85" s="2">
        <f t="array" ref="CF85:CG85">LINEST(AB85:AN85,AB$6:AN$6,TRUE,FALSE)</f>
        <v>-43.181318681318686</v>
      </c>
      <c r="CG85" s="2">
        <v>1356.8846153846152</v>
      </c>
      <c r="CH85" s="1">
        <f t="shared" si="146"/>
        <v>1.0295943120119289</v>
      </c>
      <c r="DC85" s="2">
        <f t="shared" si="147"/>
        <v>1.2</v>
      </c>
      <c r="DD85">
        <f t="shared" si="137"/>
        <v>1</v>
      </c>
      <c r="DE85">
        <f t="shared" si="148"/>
        <v>14</v>
      </c>
      <c r="DT85">
        <f t="shared" si="149"/>
        <v>8486</v>
      </c>
      <c r="DU85" s="3">
        <f t="shared" si="150"/>
        <v>1516.2711881682235</v>
      </c>
      <c r="DV85" s="3">
        <f t="shared" si="151"/>
        <v>1508.6898322273823</v>
      </c>
      <c r="DW85" s="3">
        <f t="shared" si="152"/>
        <v>1501.1463830662456</v>
      </c>
      <c r="DX85" s="3">
        <f t="shared" si="153"/>
        <v>1493.6406511509142</v>
      </c>
      <c r="DY85" s="3">
        <f t="shared" si="154"/>
        <v>1486.1724478951598</v>
      </c>
      <c r="DZ85" s="3">
        <f t="shared" si="155"/>
        <v>1478.741585655684</v>
      </c>
      <c r="EA85" s="3">
        <f t="shared" si="156"/>
        <v>1471.3478777274056</v>
      </c>
      <c r="EB85" s="2">
        <f t="shared" si="157"/>
        <v>0.81159065720887158</v>
      </c>
      <c r="ED85" s="2" t="str">
        <f t="shared" si="158"/>
        <v xml:space="preserve"> </v>
      </c>
      <c r="EE85" s="58" t="str">
        <f t="shared" si="159"/>
        <v xml:space="preserve"> </v>
      </c>
      <c r="EF85" s="2">
        <f t="shared" si="160"/>
        <v>0.71664216108131984</v>
      </c>
      <c r="EG85" s="58">
        <f t="shared" si="161"/>
        <v>-4.0123653759263196E-2</v>
      </c>
      <c r="EI85" s="2" t="str">
        <f t="shared" si="162"/>
        <v xml:space="preserve"> </v>
      </c>
      <c r="EJ85" s="2">
        <f t="shared" si="163"/>
        <v>0.81159065720887158</v>
      </c>
      <c r="EK85" s="2"/>
      <c r="EL85" s="2">
        <f t="array" ref="EL85:EM85">LINEST($AB85:$AH85,$AB$6:$AH$6,TRUE,FALSE)</f>
        <v>-39.428571428571423</v>
      </c>
      <c r="EM85" s="2">
        <v>1370</v>
      </c>
      <c r="EN85" s="58">
        <f t="shared" si="164"/>
        <v>-3.2524157435776573E-2</v>
      </c>
      <c r="EO85" s="2">
        <f t="array" ref="EO85:EP85">LINEST($AH85:$AN85,$AH$6:$AN$6,TRUE,FALSE)</f>
        <v>-19.464285714285715</v>
      </c>
      <c r="EP85" s="2">
        <v>1111.2142857142858</v>
      </c>
      <c r="EQ85" s="58">
        <f t="shared" si="165"/>
        <v>-2.1235972568578551E-2</v>
      </c>
      <c r="ES85" s="3">
        <f t="shared" si="166"/>
        <v>2557.4693877551117</v>
      </c>
      <c r="ET85" s="3">
        <f t="shared" si="92"/>
        <v>2485.734693877554</v>
      </c>
      <c r="EU85" s="3">
        <f t="shared" si="93"/>
        <v>1824.5102040816382</v>
      </c>
      <c r="EV85" s="3">
        <f t="shared" si="94"/>
        <v>13159.36734693879</v>
      </c>
      <c r="EW85" s="3">
        <f t="shared" si="95"/>
        <v>2514.3061224489761</v>
      </c>
      <c r="EX85" s="3">
        <f t="shared" si="96"/>
        <v>48148.897959183727</v>
      </c>
      <c r="EY85" s="3">
        <f t="shared" si="97"/>
        <v>9604</v>
      </c>
      <c r="EZ85" s="3">
        <f t="shared" si="167"/>
        <v>62750.25</v>
      </c>
      <c r="FA85" s="3">
        <f t="shared" si="98"/>
        <v>628905.64413265313</v>
      </c>
      <c r="FB85" s="29">
        <f t="shared" si="99"/>
        <v>7997.4693877550844</v>
      </c>
      <c r="FC85" s="3">
        <f t="shared" si="100"/>
        <v>18466.868622448972</v>
      </c>
      <c r="FD85" s="3">
        <f t="shared" si="101"/>
        <v>5984.1275510203959</v>
      </c>
      <c r="FE85" s="3">
        <f t="shared" si="185"/>
        <v>520.81760204081559</v>
      </c>
      <c r="FF85" s="3"/>
      <c r="FG85" s="29"/>
      <c r="FH85" s="3"/>
      <c r="FI85" s="3"/>
      <c r="FQ85" s="4">
        <f>SQRT(AVERAGE(ES85:FE85))/AVERAGE(AB85:AN85)</f>
        <v>0.23594481380686522</v>
      </c>
      <c r="FR85" s="160">
        <v>4.1000000000000002E-2</v>
      </c>
      <c r="FS85" s="161">
        <f t="shared" si="139"/>
        <v>0.17376944777248177</v>
      </c>
      <c r="FV85" s="4">
        <f t="shared" si="168"/>
        <v>8.8346289097485015E-2</v>
      </c>
      <c r="FW85" s="161">
        <f t="shared" si="169"/>
        <v>0.46408287681171162</v>
      </c>
    </row>
    <row r="86" spans="1:179" x14ac:dyDescent="0.3">
      <c r="A86" s="62">
        <f t="shared" si="109"/>
        <v>80</v>
      </c>
      <c r="B86" s="6">
        <v>57554</v>
      </c>
      <c r="C86" s="6" t="s">
        <v>361</v>
      </c>
      <c r="D86" s="6">
        <v>2012</v>
      </c>
      <c r="E86" s="6">
        <v>2011</v>
      </c>
      <c r="F86" s="6" t="s">
        <v>252</v>
      </c>
      <c r="G86" s="17" t="s">
        <v>636</v>
      </c>
      <c r="H86" s="17" t="s">
        <v>638</v>
      </c>
      <c r="I86" s="6" t="s">
        <v>36</v>
      </c>
      <c r="J86" s="17">
        <v>0</v>
      </c>
      <c r="K86" s="6" t="s">
        <v>51</v>
      </c>
      <c r="L86" s="12">
        <v>38.957900000000002</v>
      </c>
      <c r="M86" s="12">
        <v>-104.806</v>
      </c>
      <c r="N86" s="14">
        <v>6</v>
      </c>
      <c r="O86" s="6">
        <v>5.5</v>
      </c>
      <c r="P86" s="94">
        <f>365.25*6.7</f>
        <v>2447.1750000000002</v>
      </c>
      <c r="Q86" s="15" t="s">
        <v>508</v>
      </c>
      <c r="R86" s="14">
        <v>9.1999999999999993</v>
      </c>
      <c r="S86" s="3">
        <f t="shared" si="140"/>
        <v>37.928974999999994</v>
      </c>
      <c r="T86" s="128" t="str">
        <f t="shared" si="141"/>
        <v>C</v>
      </c>
      <c r="U86" s="154">
        <v>1726.5</v>
      </c>
      <c r="V86" s="154">
        <v>544.70000000000005</v>
      </c>
      <c r="W86" s="156">
        <v>0.58699999999999997</v>
      </c>
      <c r="X86" s="1">
        <f t="shared" si="171"/>
        <v>0.31549377353026359</v>
      </c>
      <c r="Y86" s="59">
        <f t="shared" si="142"/>
        <v>0</v>
      </c>
      <c r="Z86" s="1">
        <f t="shared" si="143"/>
        <v>1</v>
      </c>
      <c r="AA86" s="3">
        <f t="shared" si="170"/>
        <v>11316.265297365733</v>
      </c>
      <c r="AB86" s="6">
        <v>12385</v>
      </c>
      <c r="AC86" s="6">
        <v>11270</v>
      </c>
      <c r="AD86" s="6">
        <v>11294</v>
      </c>
      <c r="AE86" s="6">
        <v>11205</v>
      </c>
      <c r="AF86" s="93">
        <v>11563</v>
      </c>
      <c r="AG86" s="6">
        <v>11203</v>
      </c>
      <c r="AH86" s="6">
        <v>11799</v>
      </c>
      <c r="AI86" s="6">
        <v>11093</v>
      </c>
      <c r="AJ86" s="6">
        <v>11147</v>
      </c>
      <c r="AK86" s="93">
        <v>11577</v>
      </c>
      <c r="AL86" s="6">
        <v>11444</v>
      </c>
      <c r="AM86" s="6">
        <v>10963</v>
      </c>
      <c r="AN86" s="6">
        <v>10866</v>
      </c>
      <c r="AP86" s="23"/>
      <c r="AU86" s="23"/>
      <c r="AY86" s="32">
        <v>13</v>
      </c>
      <c r="AZ86" s="1">
        <f t="shared" si="144"/>
        <v>0.77435703596480809</v>
      </c>
      <c r="BA86" s="24">
        <f t="shared" si="133"/>
        <v>80</v>
      </c>
      <c r="BB86" s="2">
        <f t="shared" si="172"/>
        <v>1.0944423513014538</v>
      </c>
      <c r="BC86" s="2">
        <f t="shared" si="173"/>
        <v>1.0009161917108664</v>
      </c>
      <c r="BD86" s="2">
        <f t="shared" si="174"/>
        <v>1.0080881309103213</v>
      </c>
      <c r="BE86" s="2">
        <f t="shared" si="175"/>
        <v>1.0051699534372902</v>
      </c>
      <c r="BF86" s="20">
        <f t="shared" si="176"/>
        <v>1.0424976440969136</v>
      </c>
      <c r="BG86" s="2">
        <f t="shared" si="177"/>
        <v>1.0151163242327457</v>
      </c>
      <c r="BH86" s="2">
        <f t="shared" si="178"/>
        <v>1.0744930139963556</v>
      </c>
      <c r="BI86" s="2">
        <f t="shared" si="179"/>
        <v>1.0152764844871507</v>
      </c>
      <c r="BJ86" s="2">
        <f t="shared" si="180"/>
        <v>1.0253455117087529</v>
      </c>
      <c r="BK86" s="20">
        <f t="shared" si="181"/>
        <v>1.0702498758304155</v>
      </c>
      <c r="BL86" s="2">
        <f t="shared" si="182"/>
        <v>1.0632708831367057</v>
      </c>
      <c r="BM86" s="2">
        <f t="shared" si="183"/>
        <v>1.023699297942676</v>
      </c>
      <c r="BN86" s="2">
        <f t="shared" si="184"/>
        <v>1.0197403666554168</v>
      </c>
      <c r="BP86" s="23"/>
      <c r="BU86" s="23"/>
      <c r="BY86" s="25">
        <f t="shared" si="134"/>
        <v>80</v>
      </c>
      <c r="BZ86" s="3">
        <f t="shared" si="135"/>
        <v>142778.0143475864</v>
      </c>
      <c r="CA86" s="3">
        <f t="shared" si="124"/>
        <v>147809</v>
      </c>
      <c r="CB86" s="2">
        <f t="shared" si="125"/>
        <v>1.0352364170030122</v>
      </c>
      <c r="CC86" s="85">
        <f t="shared" si="145"/>
        <v>2</v>
      </c>
      <c r="CD86" s="3" t="str">
        <f t="shared" si="136"/>
        <v>Tracker</v>
      </c>
      <c r="CE86" s="69">
        <f t="shared" si="126"/>
        <v>-4.7607259154875941E-3</v>
      </c>
      <c r="CF86" s="2">
        <f t="array" ref="CF86:CG86">LINEST(AB86:AN86,AB$6:AN$6,TRUE,FALSE)</f>
        <v>-54.258241758241759</v>
      </c>
      <c r="CG86" s="2">
        <v>11749.730769230768</v>
      </c>
      <c r="CH86" s="1">
        <f t="shared" si="146"/>
        <v>1.0140824120119289</v>
      </c>
      <c r="DC86" s="2">
        <f t="shared" si="147"/>
        <v>1.0909090909090908</v>
      </c>
      <c r="DD86">
        <f t="shared" si="137"/>
        <v>1</v>
      </c>
      <c r="DE86">
        <f t="shared" si="148"/>
        <v>14</v>
      </c>
      <c r="DT86">
        <f t="shared" si="149"/>
        <v>80719</v>
      </c>
      <c r="DU86" s="3">
        <f t="shared" si="150"/>
        <v>11316.265297365735</v>
      </c>
      <c r="DV86" s="3">
        <f t="shared" si="151"/>
        <v>11259.683970878905</v>
      </c>
      <c r="DW86" s="3">
        <f t="shared" si="152"/>
        <v>11203.38555102451</v>
      </c>
      <c r="DX86" s="3">
        <f t="shared" si="153"/>
        <v>11147.368623269387</v>
      </c>
      <c r="DY86" s="3">
        <f t="shared" si="154"/>
        <v>11091.63178015304</v>
      </c>
      <c r="DZ86" s="3">
        <f t="shared" si="155"/>
        <v>11036.173621252276</v>
      </c>
      <c r="EA86" s="3">
        <f t="shared" si="156"/>
        <v>10980.992753146014</v>
      </c>
      <c r="EB86" s="2">
        <f t="shared" si="157"/>
        <v>1.0343881739463339</v>
      </c>
      <c r="ED86" s="2" t="str">
        <f t="shared" si="158"/>
        <v xml:space="preserve"> </v>
      </c>
      <c r="EE86" s="58" t="str">
        <f t="shared" si="159"/>
        <v xml:space="preserve"> </v>
      </c>
      <c r="EF86" s="2">
        <f t="shared" si="160"/>
        <v>1.0352364170030122</v>
      </c>
      <c r="EG86" s="58">
        <f t="shared" si="161"/>
        <v>-4.7607259154875941E-3</v>
      </c>
      <c r="EI86" s="2" t="str">
        <f t="shared" si="162"/>
        <v xml:space="preserve"> </v>
      </c>
      <c r="EJ86" s="2">
        <f t="shared" si="163"/>
        <v>1.0343881739463339</v>
      </c>
      <c r="EK86" s="2"/>
      <c r="EL86" s="2">
        <f t="array" ref="EL86:EM86">LINEST($AB86:$AH86,$AB$6:$AH$6,TRUE,FALSE)</f>
        <v>-57.964285714285701</v>
      </c>
      <c r="EM86" s="2">
        <v>11763.142857142857</v>
      </c>
      <c r="EN86" s="58">
        <f t="shared" si="164"/>
        <v>-5.0266975557179839E-3</v>
      </c>
      <c r="EO86" s="2">
        <f t="array" ref="EO86:EP86">LINEST($AH86:$AN86,$AH$6:$AN$6,TRUE,FALSE)</f>
        <v>-98.642857142857125</v>
      </c>
      <c r="EP86" s="2">
        <v>12256.285714285714</v>
      </c>
      <c r="EQ86" s="58">
        <f t="shared" si="165"/>
        <v>-8.7528045735146831E-3</v>
      </c>
      <c r="ES86" s="3">
        <f t="shared" si="166"/>
        <v>462157.17474489904</v>
      </c>
      <c r="ET86" s="3">
        <f t="shared" si="92"/>
        <v>142290.61734693917</v>
      </c>
      <c r="EU86" s="3">
        <f t="shared" si="93"/>
        <v>87172.5625</v>
      </c>
      <c r="EV86" s="3">
        <f t="shared" si="94"/>
        <v>106462.36734693844</v>
      </c>
      <c r="EW86" s="3">
        <f t="shared" si="95"/>
        <v>8042.2461734695744</v>
      </c>
      <c r="EX86" s="3">
        <f t="shared" si="96"/>
        <v>45095.556122449088</v>
      </c>
      <c r="EY86" s="3">
        <f t="shared" si="97"/>
        <v>195016.8686224492</v>
      </c>
      <c r="EZ86" s="3">
        <f t="shared" si="167"/>
        <v>139982.87755102021</v>
      </c>
      <c r="FA86" s="3">
        <f t="shared" si="98"/>
        <v>49062.25</v>
      </c>
      <c r="FB86" s="29">
        <f t="shared" si="99"/>
        <v>94336.734693877384</v>
      </c>
      <c r="FC86" s="3">
        <f t="shared" si="100"/>
        <v>74412.045918367061</v>
      </c>
      <c r="FD86" s="3">
        <f t="shared" si="101"/>
        <v>12005.897959183445</v>
      </c>
      <c r="FE86" s="3">
        <f t="shared" si="185"/>
        <v>11648.576530612077</v>
      </c>
      <c r="FF86" s="3"/>
      <c r="FG86" s="29"/>
      <c r="FH86" s="3"/>
      <c r="FI86" s="3"/>
      <c r="FQ86" s="4">
        <f>SQRT(AVERAGE(ES86:FE86))/AVERAGE(AB86:AN86)</f>
        <v>2.9146547166314245E-2</v>
      </c>
      <c r="FR86" s="160">
        <v>4.1000000000000002E-2</v>
      </c>
      <c r="FS86" s="161">
        <f t="shared" si="139"/>
        <v>1.4066846328674305</v>
      </c>
      <c r="FV86" s="4">
        <f t="shared" si="168"/>
        <v>3.3526511452790855E-2</v>
      </c>
      <c r="FW86" s="161">
        <f t="shared" si="169"/>
        <v>1.2229128001501937</v>
      </c>
    </row>
    <row r="87" spans="1:179" x14ac:dyDescent="0.3">
      <c r="A87" s="62">
        <f t="shared" si="109"/>
        <v>81</v>
      </c>
      <c r="B87" s="6">
        <v>57697</v>
      </c>
      <c r="C87" s="6" t="s">
        <v>362</v>
      </c>
      <c r="D87" s="6">
        <v>2011</v>
      </c>
      <c r="E87" s="6">
        <v>2011</v>
      </c>
      <c r="F87" s="6" t="s">
        <v>252</v>
      </c>
      <c r="G87" s="17" t="s">
        <v>636</v>
      </c>
      <c r="H87" s="17" t="s">
        <v>638</v>
      </c>
      <c r="I87" s="6" t="s">
        <v>36</v>
      </c>
      <c r="J87" s="17">
        <v>0</v>
      </c>
      <c r="K87" s="6" t="s">
        <v>24</v>
      </c>
      <c r="L87" s="12">
        <v>38.613</v>
      </c>
      <c r="M87" s="12">
        <v>-121.163</v>
      </c>
      <c r="N87" s="14">
        <v>3.6</v>
      </c>
      <c r="O87" s="6">
        <v>3</v>
      </c>
      <c r="P87" s="94">
        <f>365.25*6.8</f>
        <v>2483.6999999999998</v>
      </c>
      <c r="Q87" s="15" t="s">
        <v>507</v>
      </c>
      <c r="R87" s="14">
        <v>16</v>
      </c>
      <c r="S87" s="3">
        <f t="shared" si="140"/>
        <v>44.986899999999999</v>
      </c>
      <c r="T87" s="128" t="str">
        <f t="shared" si="141"/>
        <v>M</v>
      </c>
      <c r="U87" s="154">
        <v>1793</v>
      </c>
      <c r="V87" s="154">
        <v>572</v>
      </c>
      <c r="W87" s="156">
        <v>0.60799999999999998</v>
      </c>
      <c r="X87" s="1">
        <f t="shared" si="171"/>
        <v>0.31901840490797545</v>
      </c>
      <c r="Y87" s="59">
        <f t="shared" si="142"/>
        <v>2.8208593371779112E-2</v>
      </c>
      <c r="Z87" s="1">
        <f t="shared" si="143"/>
        <v>0.69496704313180035</v>
      </c>
      <c r="AA87" s="3">
        <f t="shared" si="170"/>
        <v>6699.2530831281401</v>
      </c>
      <c r="AB87" s="6">
        <v>6514</v>
      </c>
      <c r="AC87" s="6">
        <v>6849</v>
      </c>
      <c r="AD87" s="6">
        <v>7109</v>
      </c>
      <c r="AE87" s="6">
        <v>6380</v>
      </c>
      <c r="AF87" s="93">
        <v>6363</v>
      </c>
      <c r="AG87" s="6">
        <v>5725</v>
      </c>
      <c r="AH87" s="6">
        <v>5120</v>
      </c>
      <c r="AI87" s="6">
        <v>5028</v>
      </c>
      <c r="AJ87" s="6">
        <v>5923</v>
      </c>
      <c r="AK87" s="93">
        <v>5725</v>
      </c>
      <c r="AL87" s="6">
        <v>5916</v>
      </c>
      <c r="AM87" s="6">
        <v>5919</v>
      </c>
      <c r="AN87" s="6">
        <v>5891</v>
      </c>
      <c r="AO87" s="6">
        <v>5144</v>
      </c>
      <c r="AP87" s="23"/>
      <c r="AU87" s="23"/>
      <c r="AY87" s="32">
        <v>14</v>
      </c>
      <c r="AZ87" s="1">
        <f t="shared" si="144"/>
        <v>0.66789435372597594</v>
      </c>
      <c r="BA87" s="24">
        <f t="shared" si="133"/>
        <v>81</v>
      </c>
      <c r="BB87" s="2">
        <f t="shared" si="172"/>
        <v>0.97234720336291003</v>
      </c>
      <c r="BC87" s="2">
        <f t="shared" si="173"/>
        <v>1.0274902291365595</v>
      </c>
      <c r="BD87" s="2">
        <f t="shared" si="174"/>
        <v>1.0718548266125196</v>
      </c>
      <c r="BE87" s="2">
        <f t="shared" si="175"/>
        <v>0.96677419928279396</v>
      </c>
      <c r="BF87" s="20">
        <f t="shared" si="176"/>
        <v>0.96904337203831348</v>
      </c>
      <c r="BG87" s="2">
        <f t="shared" si="177"/>
        <v>0.87626144314521603</v>
      </c>
      <c r="BH87" s="2">
        <f t="shared" si="178"/>
        <v>0.787598883307982</v>
      </c>
      <c r="BI87" s="2">
        <f t="shared" si="179"/>
        <v>0.7773333827874791</v>
      </c>
      <c r="BJ87" s="2">
        <f t="shared" si="180"/>
        <v>0.92030271209872738</v>
      </c>
      <c r="BK87" s="20">
        <f t="shared" si="181"/>
        <v>0.8940079473452377</v>
      </c>
      <c r="BL87" s="2">
        <f t="shared" si="182"/>
        <v>0.92847662179797263</v>
      </c>
      <c r="BM87" s="2">
        <f t="shared" si="183"/>
        <v>0.93361552937476444</v>
      </c>
      <c r="BN87" s="2">
        <f t="shared" si="184"/>
        <v>0.9338683761002573</v>
      </c>
      <c r="BO87" s="2">
        <f>IF(ISNUMBER(AO87),MIN(1.15,AO87/($AA87*(1-$K$3)^(BO$6-1))),"")</f>
        <v>0.81954824652198754</v>
      </c>
      <c r="BP87" s="23"/>
      <c r="BU87" s="23"/>
      <c r="BY87" s="25">
        <f t="shared" si="134"/>
        <v>81</v>
      </c>
      <c r="BZ87" s="3">
        <f t="shared" si="135"/>
        <v>90801.516289914623</v>
      </c>
      <c r="CA87" s="3">
        <f t="shared" si="124"/>
        <v>83606</v>
      </c>
      <c r="CB87" s="2">
        <f t="shared" si="125"/>
        <v>0.92075554920315983</v>
      </c>
      <c r="CC87" s="85">
        <f t="shared" si="145"/>
        <v>30</v>
      </c>
      <c r="CD87" s="3" t="str">
        <f t="shared" si="136"/>
        <v>Tracker</v>
      </c>
      <c r="CE87" s="69">
        <f t="shared" si="126"/>
        <v>-1.6423013973833563E-2</v>
      </c>
      <c r="CF87" s="2">
        <f t="array" ref="CF87:CG87">LINEST(AB87:AO87,AB$6:AO$6,TRUE,FALSE)</f>
        <v>-98.887912087912142</v>
      </c>
      <c r="CG87" s="2">
        <v>6713.5164835164842</v>
      </c>
      <c r="CH87" s="1">
        <f t="shared" si="146"/>
        <v>0.98585071201192898</v>
      </c>
      <c r="DC87" s="2">
        <f t="shared" si="147"/>
        <v>1.2</v>
      </c>
      <c r="DD87">
        <f t="shared" si="137"/>
        <v>0</v>
      </c>
      <c r="DE87">
        <f t="shared" si="148"/>
        <v>14</v>
      </c>
      <c r="DT87">
        <f t="shared" si="149"/>
        <v>44060</v>
      </c>
      <c r="DU87" s="3">
        <f t="shared" si="150"/>
        <v>6699.2530831281401</v>
      </c>
      <c r="DV87" s="3">
        <f t="shared" si="151"/>
        <v>6665.7568177124995</v>
      </c>
      <c r="DW87" s="3">
        <f t="shared" si="152"/>
        <v>6632.4280336239372</v>
      </c>
      <c r="DX87" s="3">
        <f t="shared" si="153"/>
        <v>6599.2658934558176</v>
      </c>
      <c r="DY87" s="3">
        <f t="shared" si="154"/>
        <v>6566.2695639885387</v>
      </c>
      <c r="DZ87" s="3">
        <f t="shared" si="155"/>
        <v>6533.4382161685962</v>
      </c>
      <c r="EA87" s="3">
        <f t="shared" si="156"/>
        <v>6500.7710250877535</v>
      </c>
      <c r="EB87" s="2">
        <f t="shared" si="157"/>
        <v>0.95373781448674344</v>
      </c>
      <c r="ED87" s="2" t="str">
        <f t="shared" si="158"/>
        <v xml:space="preserve"> </v>
      </c>
      <c r="EE87" s="58" t="str">
        <f t="shared" si="159"/>
        <v xml:space="preserve"> </v>
      </c>
      <c r="EF87" s="2" t="str">
        <f t="shared" si="160"/>
        <v xml:space="preserve"> </v>
      </c>
      <c r="EG87" s="58" t="str">
        <f t="shared" si="161"/>
        <v xml:space="preserve"> </v>
      </c>
      <c r="EI87" s="2" t="str">
        <f t="shared" si="162"/>
        <v xml:space="preserve"> </v>
      </c>
      <c r="EJ87" s="2" t="str">
        <f t="shared" si="163"/>
        <v xml:space="preserve"> </v>
      </c>
      <c r="EK87" s="2"/>
      <c r="EL87" s="2">
        <f t="array" ref="EL87:EM87">LINEST($AB87:$AH87,$AB$6:$AH$6,TRUE,FALSE)</f>
        <v>-256.28571428571428</v>
      </c>
      <c r="EM87" s="2">
        <v>7319.4285714285716</v>
      </c>
      <c r="EN87" s="58">
        <f t="shared" si="164"/>
        <v>-4.0717203812982293E-2</v>
      </c>
      <c r="EO87" s="2">
        <f t="array" ref="EO87:EP87">LINEST($AH87:$AO87,$AH$6:$AO$6,TRUE,FALSE)</f>
        <v>55.499999999999986</v>
      </c>
      <c r="EP87" s="2">
        <v>5000.5</v>
      </c>
      <c r="EQ87" s="58">
        <f t="shared" si="165"/>
        <v>9.9404468723413748E-3</v>
      </c>
      <c r="ES87" s="3">
        <f t="shared" si="166"/>
        <v>301557.87755102012</v>
      </c>
      <c r="ET87" s="3">
        <f t="shared" ref="ET87:ET106" si="186">($EM87+$EL87*ET$6-AC87)^2</f>
        <v>1776.0204081632435</v>
      </c>
      <c r="EU87" s="3">
        <f t="shared" ref="EU87:EU106" si="187">($EM87+$EL87*EU$6-AD87)^2</f>
        <v>311842.46938775526</v>
      </c>
      <c r="EV87" s="3">
        <f t="shared" ref="EV87:EV106" si="188">($EM87+$EL87*EV$6-AE87)^2</f>
        <v>7346.938775510137</v>
      </c>
      <c r="EW87" s="3">
        <f t="shared" ref="EW87:EW106" si="189">($EM87+$EL87*EW$6-AF87)^2</f>
        <v>105625</v>
      </c>
      <c r="EX87" s="3">
        <f t="shared" ref="EX87:EX106" si="190">($EM87+$EL87*EX$6-AG87)^2</f>
        <v>3216.5102040816914</v>
      </c>
      <c r="EY87" s="3">
        <f t="shared" ref="EY87:EY106" si="191">($EM87+$EL87*EY$6-AH87)^2</f>
        <v>164372.32653061234</v>
      </c>
      <c r="EZ87" s="3">
        <f t="shared" si="167"/>
        <v>173472.25</v>
      </c>
      <c r="FA87" s="3">
        <f t="shared" ref="FA87:FA106" si="192">($EP87+$EO87*FA$6-AJ87)^2</f>
        <v>178929</v>
      </c>
      <c r="FB87" s="29">
        <f t="shared" ref="FB87:FB106" si="193">($EP87+$EO87*FB$6-AK87)^2</f>
        <v>28730.25</v>
      </c>
      <c r="FC87" s="3">
        <f t="shared" ref="FC87:FC106" si="194">($EP87+$EO87*FC$6-AL87)^2</f>
        <v>93025</v>
      </c>
      <c r="FD87" s="3">
        <f t="shared" ref="FD87:FD106" si="195">($EP87+$EO87*FD$6-AM87)^2</f>
        <v>63756.25</v>
      </c>
      <c r="FE87" s="3">
        <f t="shared" si="185"/>
        <v>28561</v>
      </c>
      <c r="FF87" s="3">
        <f>($EP87+$EO87*FF$6-AO87)^2</f>
        <v>401322.25</v>
      </c>
      <c r="FG87" s="29"/>
      <c r="FH87" s="3"/>
      <c r="FI87" s="3"/>
      <c r="FQ87" s="4">
        <f>SQRT(AVERAGE(ES87:FF87))/AVERAGE(AB87:AO87)</f>
        <v>6.109351777369304E-2</v>
      </c>
      <c r="FR87" s="160">
        <v>3.3000000000000002E-2</v>
      </c>
      <c r="FS87" s="161">
        <f t="shared" si="139"/>
        <v>0.54015550589574746</v>
      </c>
      <c r="FV87" s="4">
        <f t="shared" si="168"/>
        <v>5.6832245888073486E-2</v>
      </c>
      <c r="FW87" s="161">
        <f t="shared" si="169"/>
        <v>0.58065627152920951</v>
      </c>
    </row>
    <row r="88" spans="1:179" x14ac:dyDescent="0.3">
      <c r="A88" s="62">
        <f t="shared" si="109"/>
        <v>82</v>
      </c>
      <c r="B88" s="6">
        <v>57698</v>
      </c>
      <c r="C88" s="6" t="s">
        <v>363</v>
      </c>
      <c r="D88" s="6">
        <v>2011</v>
      </c>
      <c r="E88" s="6">
        <v>2011</v>
      </c>
      <c r="F88" s="6" t="s">
        <v>252</v>
      </c>
      <c r="G88" s="17" t="s">
        <v>636</v>
      </c>
      <c r="H88" s="17" t="s">
        <v>638</v>
      </c>
      <c r="I88" s="6" t="s">
        <v>36</v>
      </c>
      <c r="J88" s="17">
        <v>0</v>
      </c>
      <c r="K88" s="6" t="s">
        <v>24</v>
      </c>
      <c r="L88" s="12">
        <v>38.609000000000002</v>
      </c>
      <c r="M88" s="12">
        <v>-121.17</v>
      </c>
      <c r="N88" s="14">
        <v>2.4</v>
      </c>
      <c r="O88" s="6">
        <v>2.2000000000000002</v>
      </c>
      <c r="P88" s="94">
        <f>365.25*6.8</f>
        <v>2483.6999999999998</v>
      </c>
      <c r="Q88" s="15" t="s">
        <v>507</v>
      </c>
      <c r="R88" s="14">
        <v>16</v>
      </c>
      <c r="S88" s="3">
        <f t="shared" si="140"/>
        <v>44.986899999999999</v>
      </c>
      <c r="T88" s="128" t="str">
        <f t="shared" si="141"/>
        <v>M</v>
      </c>
      <c r="U88" s="154">
        <v>1793</v>
      </c>
      <c r="V88" s="154">
        <v>572</v>
      </c>
      <c r="W88" s="156">
        <v>0.60799999999999998</v>
      </c>
      <c r="X88" s="1">
        <f t="shared" si="171"/>
        <v>0.31901840490797545</v>
      </c>
      <c r="Y88" s="59">
        <f t="shared" si="142"/>
        <v>2.6228707172336607E-3</v>
      </c>
      <c r="Z88" s="1">
        <f t="shared" si="143"/>
        <v>0.96673097091463855</v>
      </c>
      <c r="AA88" s="3">
        <f t="shared" si="170"/>
        <v>4466.1687220854265</v>
      </c>
      <c r="AB88" s="6">
        <v>4361</v>
      </c>
      <c r="AC88" s="6">
        <v>4569</v>
      </c>
      <c r="AD88" s="6">
        <v>4743</v>
      </c>
      <c r="AE88" s="6">
        <v>4230</v>
      </c>
      <c r="AF88" s="93">
        <v>3945</v>
      </c>
      <c r="AG88" s="6">
        <v>3861</v>
      </c>
      <c r="AH88" s="6">
        <v>2945</v>
      </c>
      <c r="AI88" s="6">
        <v>3892</v>
      </c>
      <c r="AJ88" s="6">
        <v>3994</v>
      </c>
      <c r="AK88" s="93">
        <v>3752</v>
      </c>
      <c r="AL88" s="6">
        <v>4042</v>
      </c>
      <c r="AM88" s="6">
        <v>3826</v>
      </c>
      <c r="AN88" s="6">
        <v>3739</v>
      </c>
      <c r="AO88" s="6">
        <v>3846</v>
      </c>
      <c r="AP88" s="23"/>
      <c r="AU88" s="23"/>
      <c r="AY88" s="32">
        <v>14</v>
      </c>
      <c r="AZ88" s="1">
        <f t="shared" si="144"/>
        <v>0.66798622255199147</v>
      </c>
      <c r="BA88" s="24">
        <f t="shared" si="133"/>
        <v>82</v>
      </c>
      <c r="BB88" s="2">
        <f t="shared" si="172"/>
        <v>0.97645213859356417</v>
      </c>
      <c r="BC88" s="2">
        <f t="shared" si="173"/>
        <v>1.0281653212713406</v>
      </c>
      <c r="BD88" s="2">
        <f t="shared" si="174"/>
        <v>1.0726840855162147</v>
      </c>
      <c r="BE88" s="2">
        <f t="shared" si="175"/>
        <v>0.96147057906729294</v>
      </c>
      <c r="BF88" s="20">
        <f t="shared" si="176"/>
        <v>0.90119662958301427</v>
      </c>
      <c r="BG88" s="2">
        <f t="shared" si="177"/>
        <v>0.8864398511747632</v>
      </c>
      <c r="BH88" s="2">
        <f t="shared" si="178"/>
        <v>0.67953477871347878</v>
      </c>
      <c r="BI88" s="2">
        <f t="shared" si="179"/>
        <v>0.9025601210646983</v>
      </c>
      <c r="BJ88" s="2">
        <f t="shared" si="180"/>
        <v>0.93086840252971059</v>
      </c>
      <c r="BK88" s="20">
        <f t="shared" si="181"/>
        <v>0.87886056378323107</v>
      </c>
      <c r="BL88" s="2">
        <f t="shared" si="182"/>
        <v>0.95154728836394675</v>
      </c>
      <c r="BM88" s="2">
        <f t="shared" si="183"/>
        <v>0.90522377480685468</v>
      </c>
      <c r="BN88" s="2">
        <f t="shared" si="184"/>
        <v>0.8890851786383116</v>
      </c>
      <c r="BO88" s="2">
        <f>IF(ISNUMBER(AO88),MIN(1.15,AO88/($AA88*(1-$K$3)^(BO$6-1))),"")</f>
        <v>0.91912399575920434</v>
      </c>
      <c r="BP88" s="23"/>
      <c r="BU88" s="23"/>
      <c r="BY88" s="25">
        <f t="shared" si="134"/>
        <v>82</v>
      </c>
      <c r="BZ88" s="3">
        <f t="shared" si="135"/>
        <v>60534.344193276404</v>
      </c>
      <c r="CA88" s="3">
        <f t="shared" si="124"/>
        <v>55745</v>
      </c>
      <c r="CB88" s="2">
        <f t="shared" si="125"/>
        <v>0.92088219907058377</v>
      </c>
      <c r="CC88" s="85">
        <f t="shared" si="145"/>
        <v>29</v>
      </c>
      <c r="CD88" s="3" t="str">
        <f t="shared" si="136"/>
        <v>Tracker</v>
      </c>
      <c r="CE88" s="69">
        <f t="shared" si="126"/>
        <v>-1.3711621247229635E-2</v>
      </c>
      <c r="CF88" s="2">
        <f t="array" ref="CF88:CG88">LINEST(AB88:AO88,AB$6:AO$6,TRUE,FALSE)</f>
        <v>-54.97362637362636</v>
      </c>
      <c r="CG88" s="2">
        <v>4394.0879120879117</v>
      </c>
      <c r="CH88" s="1">
        <f t="shared" si="146"/>
        <v>0.98585071201192898</v>
      </c>
      <c r="DC88" s="2">
        <f t="shared" si="147"/>
        <v>1.0909090909090908</v>
      </c>
      <c r="DD88">
        <f t="shared" si="137"/>
        <v>0</v>
      </c>
      <c r="DE88">
        <f t="shared" si="148"/>
        <v>14</v>
      </c>
      <c r="DT88">
        <f t="shared" si="149"/>
        <v>28654</v>
      </c>
      <c r="DU88" s="3">
        <f t="shared" si="150"/>
        <v>4466.1687220854265</v>
      </c>
      <c r="DV88" s="3">
        <f t="shared" si="151"/>
        <v>4443.8378784749984</v>
      </c>
      <c r="DW88" s="3">
        <f t="shared" si="152"/>
        <v>4421.6186890826248</v>
      </c>
      <c r="DX88" s="3">
        <f t="shared" si="153"/>
        <v>4399.5105956372108</v>
      </c>
      <c r="DY88" s="3">
        <f t="shared" si="154"/>
        <v>4377.5130426590258</v>
      </c>
      <c r="DZ88" s="3">
        <f t="shared" si="155"/>
        <v>4355.6254774457302</v>
      </c>
      <c r="EA88" s="3">
        <f t="shared" si="156"/>
        <v>4333.8473500585014</v>
      </c>
      <c r="EB88" s="2">
        <f t="shared" si="157"/>
        <v>0.93038141181240874</v>
      </c>
      <c r="ED88" s="2" t="str">
        <f t="shared" si="158"/>
        <v xml:space="preserve"> </v>
      </c>
      <c r="EE88" s="58" t="str">
        <f t="shared" si="159"/>
        <v xml:space="preserve"> </v>
      </c>
      <c r="EF88" s="2" t="str">
        <f t="shared" si="160"/>
        <v xml:space="preserve"> </v>
      </c>
      <c r="EG88" s="58" t="str">
        <f t="shared" si="161"/>
        <v xml:space="preserve"> </v>
      </c>
      <c r="EI88" s="2" t="str">
        <f t="shared" si="162"/>
        <v xml:space="preserve"> </v>
      </c>
      <c r="EJ88" s="2" t="str">
        <f t="shared" si="163"/>
        <v xml:space="preserve"> </v>
      </c>
      <c r="EK88" s="2"/>
      <c r="EL88" s="2">
        <f t="array" ref="EL88:EM88">LINEST($AB88:$AH88,$AB$6:$AH$6,TRUE,FALSE)</f>
        <v>-230.78571428571416</v>
      </c>
      <c r="EM88" s="2">
        <v>5016.5714285714284</v>
      </c>
      <c r="EN88" s="58">
        <f t="shared" si="164"/>
        <v>-5.6379563062748626E-2</v>
      </c>
      <c r="EO88" s="2">
        <f t="array" ref="EO88:EP88">LINEST($AH88:$AO88,$AH$6:$AO$6,TRUE,FALSE)</f>
        <v>63.428571428571438</v>
      </c>
      <c r="EP88" s="2">
        <v>3088.5</v>
      </c>
      <c r="EQ88" s="58">
        <f t="shared" si="165"/>
        <v>1.6894012898807147E-2</v>
      </c>
      <c r="ES88" s="3">
        <f t="shared" si="166"/>
        <v>180442.90306122482</v>
      </c>
      <c r="ET88" s="3">
        <f t="shared" si="186"/>
        <v>196</v>
      </c>
      <c r="EU88" s="3">
        <f t="shared" si="187"/>
        <v>175381.47448979548</v>
      </c>
      <c r="EV88" s="3">
        <f t="shared" si="188"/>
        <v>18651.755102040781</v>
      </c>
      <c r="EW88" s="3">
        <f t="shared" si="189"/>
        <v>6782.6989795917298</v>
      </c>
      <c r="EX88" s="3">
        <f t="shared" si="190"/>
        <v>52506.448979591507</v>
      </c>
      <c r="EY88" s="3">
        <f t="shared" si="191"/>
        <v>208001.1479591844</v>
      </c>
      <c r="EZ88" s="3">
        <f t="shared" si="167"/>
        <v>87658.290816326451</v>
      </c>
      <c r="FA88" s="3">
        <f t="shared" si="192"/>
        <v>111985.84183673451</v>
      </c>
      <c r="FB88" s="29">
        <f t="shared" si="193"/>
        <v>853.47448979592218</v>
      </c>
      <c r="FC88" s="3">
        <f t="shared" si="194"/>
        <v>65426.331632653026</v>
      </c>
      <c r="FD88" s="3">
        <f t="shared" si="195"/>
        <v>558.98469387756029</v>
      </c>
      <c r="FE88" s="3">
        <f t="shared" si="185"/>
        <v>30300.862244897915</v>
      </c>
      <c r="FF88" s="3">
        <f>($EP88+$EO88*FF$6-AO88)^2</f>
        <v>17030.25</v>
      </c>
      <c r="FG88" s="29"/>
      <c r="FH88" s="3"/>
      <c r="FI88" s="3"/>
      <c r="FQ88" s="4">
        <f>SQRT(AVERAGE(ES88:FF88))/AVERAGE(AB88:AO88)</f>
        <v>6.5620005736297601E-2</v>
      </c>
      <c r="FR88" s="160">
        <v>3.3000000000000002E-2</v>
      </c>
      <c r="FS88" s="161">
        <f t="shared" si="139"/>
        <v>0.50289541474005239</v>
      </c>
      <c r="FV88" s="4">
        <f t="shared" si="168"/>
        <v>7.3980722632383547E-2</v>
      </c>
      <c r="FW88" s="161">
        <f t="shared" si="169"/>
        <v>0.44606214735127403</v>
      </c>
    </row>
    <row r="89" spans="1:179" x14ac:dyDescent="0.3">
      <c r="A89" s="62">
        <f t="shared" si="109"/>
        <v>83</v>
      </c>
      <c r="B89" s="6">
        <v>57577</v>
      </c>
      <c r="C89" s="6" t="s">
        <v>364</v>
      </c>
      <c r="D89" s="6">
        <v>2012</v>
      </c>
      <c r="E89" s="6">
        <v>2011</v>
      </c>
      <c r="F89" s="6" t="s">
        <v>252</v>
      </c>
      <c r="G89" s="17" t="s">
        <v>634</v>
      </c>
      <c r="H89" s="17" t="s">
        <v>630</v>
      </c>
      <c r="I89" s="6" t="s">
        <v>35</v>
      </c>
      <c r="J89" s="17">
        <v>25</v>
      </c>
      <c r="K89" s="6" t="s">
        <v>144</v>
      </c>
      <c r="L89" s="12">
        <v>32.866</v>
      </c>
      <c r="M89" s="12">
        <v>-106</v>
      </c>
      <c r="N89" s="14">
        <v>6.4</v>
      </c>
      <c r="O89" s="6">
        <v>5</v>
      </c>
      <c r="P89" s="94">
        <f>365.25*6.4</f>
        <v>2337.6</v>
      </c>
      <c r="Q89" s="15" t="s">
        <v>504</v>
      </c>
      <c r="R89" s="14">
        <v>17.3</v>
      </c>
      <c r="S89" s="3">
        <f t="shared" si="140"/>
        <v>46.124000000000002</v>
      </c>
      <c r="T89" s="128" t="str">
        <f t="shared" si="141"/>
        <v>M</v>
      </c>
      <c r="U89" s="154">
        <v>2113</v>
      </c>
      <c r="V89" s="154">
        <v>580</v>
      </c>
      <c r="W89" s="156">
        <v>0.66700000000000004</v>
      </c>
      <c r="X89" s="1">
        <f t="shared" si="171"/>
        <v>0.27449124467581637</v>
      </c>
      <c r="Y89" s="59">
        <f t="shared" si="142"/>
        <v>2.9560447951538171E-2</v>
      </c>
      <c r="Z89" s="1">
        <f t="shared" si="143"/>
        <v>0.68295262933414647</v>
      </c>
      <c r="AA89" s="3">
        <f t="shared" si="170"/>
        <v>11828.647310589073</v>
      </c>
      <c r="AB89" s="6">
        <v>12062</v>
      </c>
      <c r="AC89" s="6">
        <v>11735</v>
      </c>
      <c r="AD89" s="6">
        <v>11267</v>
      </c>
      <c r="AE89" s="6">
        <v>11046</v>
      </c>
      <c r="AF89" s="93">
        <v>11552</v>
      </c>
      <c r="AG89" s="6">
        <v>11421</v>
      </c>
      <c r="AH89" s="6">
        <v>11097</v>
      </c>
      <c r="AI89" s="6">
        <v>11031</v>
      </c>
      <c r="AJ89" s="6">
        <v>11513</v>
      </c>
      <c r="AK89" s="93">
        <v>10916</v>
      </c>
      <c r="AL89" s="6">
        <v>11015</v>
      </c>
      <c r="AM89" s="6">
        <v>11300</v>
      </c>
      <c r="AN89" s="6">
        <v>11160</v>
      </c>
      <c r="AP89" s="23"/>
      <c r="AU89" s="23"/>
      <c r="AY89" s="32">
        <v>13</v>
      </c>
      <c r="AZ89" s="1">
        <f t="shared" si="144"/>
        <v>0.75642074547201599</v>
      </c>
      <c r="BA89" s="24">
        <f t="shared" si="133"/>
        <v>83</v>
      </c>
      <c r="BB89" s="2">
        <f t="shared" si="172"/>
        <v>1.019727757814034</v>
      </c>
      <c r="BC89" s="2">
        <f t="shared" si="173"/>
        <v>0.99706834936977129</v>
      </c>
      <c r="BD89" s="2">
        <f t="shared" si="174"/>
        <v>0.96211514259402786</v>
      </c>
      <c r="BE89" s="2">
        <f t="shared" si="175"/>
        <v>0.94798335915787624</v>
      </c>
      <c r="BF89" s="20">
        <f t="shared" si="176"/>
        <v>0.9963909503148356</v>
      </c>
      <c r="BG89" s="2">
        <f t="shared" si="177"/>
        <v>0.990042059635586</v>
      </c>
      <c r="BH89" s="2">
        <f t="shared" si="178"/>
        <v>0.96678970861452851</v>
      </c>
      <c r="BI89" s="2">
        <f t="shared" si="179"/>
        <v>0.96586902030444777</v>
      </c>
      <c r="BJ89" s="2">
        <f t="shared" si="180"/>
        <v>1.013138398981136</v>
      </c>
      <c r="BK89" s="20">
        <f t="shared" si="181"/>
        <v>0.96542983861181009</v>
      </c>
      <c r="BL89" s="2">
        <f t="shared" si="182"/>
        <v>0.97908097397109106</v>
      </c>
      <c r="BM89" s="2">
        <f t="shared" si="183"/>
        <v>1.0094608317003382</v>
      </c>
      <c r="BN89" s="2">
        <f t="shared" si="184"/>
        <v>1.0019640576133564</v>
      </c>
      <c r="BP89" s="23"/>
      <c r="BU89" s="23"/>
      <c r="BY89" s="25">
        <f t="shared" si="134"/>
        <v>83</v>
      </c>
      <c r="BZ89" s="3">
        <f t="shared" si="135"/>
        <v>149242.76968099814</v>
      </c>
      <c r="CA89" s="3">
        <f t="shared" ref="CA89:CA106" si="196">SUM(AB89:AX89)</f>
        <v>147115</v>
      </c>
      <c r="CB89" s="2">
        <f t="shared" ref="CB89:CB106" si="197">CA89/BZ89</f>
        <v>0.9857428960508694</v>
      </c>
      <c r="CC89" s="85">
        <f t="shared" si="145"/>
        <v>12</v>
      </c>
      <c r="CD89" s="3" t="str">
        <f t="shared" si="136"/>
        <v>Fixed</v>
      </c>
      <c r="CE89" s="69">
        <f t="shared" ref="CE89:CE106" si="198">CF89/(CG89+CF89*AY89/2)</f>
        <v>-4.5791953007661302E-3</v>
      </c>
      <c r="CF89" s="2">
        <f t="array" ref="CF89:CG89">LINEST(AB89:AN89,AB$6:AN$6,TRUE,FALSE)</f>
        <v>-51.939560439560445</v>
      </c>
      <c r="CG89" s="2">
        <v>11680.115384615385</v>
      </c>
      <c r="CH89" s="1">
        <f t="shared" si="146"/>
        <v>0.98831394500745562</v>
      </c>
      <c r="DC89" s="2">
        <f t="shared" si="147"/>
        <v>1.28</v>
      </c>
      <c r="DD89">
        <f t="shared" si="137"/>
        <v>1</v>
      </c>
      <c r="DE89">
        <f t="shared" si="148"/>
        <v>14</v>
      </c>
      <c r="DT89">
        <f t="shared" si="149"/>
        <v>80180</v>
      </c>
      <c r="DU89" s="3">
        <f t="shared" si="150"/>
        <v>11828.647310589075</v>
      </c>
      <c r="DV89" s="3">
        <f t="shared" si="151"/>
        <v>11769.504074036127</v>
      </c>
      <c r="DW89" s="3">
        <f t="shared" si="152"/>
        <v>11710.656553665947</v>
      </c>
      <c r="DX89" s="3">
        <f t="shared" si="153"/>
        <v>11652.103270897616</v>
      </c>
      <c r="DY89" s="3">
        <f t="shared" si="154"/>
        <v>11593.84275454313</v>
      </c>
      <c r="DZ89" s="3">
        <f t="shared" si="155"/>
        <v>11535.873540770413</v>
      </c>
      <c r="EA89" s="3">
        <f t="shared" si="156"/>
        <v>11478.194173066562</v>
      </c>
      <c r="EB89" s="2">
        <f t="shared" si="157"/>
        <v>0.98297362093743734</v>
      </c>
      <c r="ED89" s="2" t="str">
        <f t="shared" si="158"/>
        <v xml:space="preserve"> </v>
      </c>
      <c r="EE89" s="58" t="str">
        <f t="shared" si="159"/>
        <v xml:space="preserve"> </v>
      </c>
      <c r="EF89" s="2" t="str">
        <f t="shared" si="160"/>
        <v xml:space="preserve"> </v>
      </c>
      <c r="EG89" s="58" t="str">
        <f t="shared" si="161"/>
        <v xml:space="preserve"> </v>
      </c>
      <c r="EI89" s="2" t="str">
        <f t="shared" si="162"/>
        <v xml:space="preserve"> </v>
      </c>
      <c r="EJ89" s="2" t="str">
        <f t="shared" si="163"/>
        <v xml:space="preserve"> </v>
      </c>
      <c r="EK89" s="2"/>
      <c r="EL89" s="2">
        <f t="array" ref="EL89:EM89">LINEST($AB89:$AH89,$AB$6:$AH$6,TRUE,FALSE)</f>
        <v>-115.64285714285714</v>
      </c>
      <c r="EM89" s="2">
        <v>11916.857142857143</v>
      </c>
      <c r="EN89" s="58">
        <f t="shared" si="164"/>
        <v>-1.0096033923671739E-2</v>
      </c>
      <c r="EO89" s="2">
        <f t="array" ref="EO89:EP89">LINEST($AH89:$AN89,$AH$6:$AN$6,TRUE,FALSE)</f>
        <v>8.178571428571427</v>
      </c>
      <c r="EP89" s="2">
        <v>11065.642857142857</v>
      </c>
      <c r="EQ89" s="58">
        <f t="shared" si="165"/>
        <v>7.3367336477342621E-4</v>
      </c>
      <c r="ES89" s="3">
        <f t="shared" si="166"/>
        <v>68009.188775509931</v>
      </c>
      <c r="ET89" s="3">
        <f t="shared" si="186"/>
        <v>2443.1836734693106</v>
      </c>
      <c r="EU89" s="3">
        <f t="shared" si="187"/>
        <v>91765.719387755729</v>
      </c>
      <c r="EV89" s="3">
        <f t="shared" si="188"/>
        <v>166697.22448979548</v>
      </c>
      <c r="EW89" s="3">
        <f t="shared" si="189"/>
        <v>45521.270408163378</v>
      </c>
      <c r="EX89" s="3">
        <f t="shared" si="190"/>
        <v>39204</v>
      </c>
      <c r="EY89" s="3">
        <f t="shared" si="191"/>
        <v>107.27040816327069</v>
      </c>
      <c r="EZ89" s="3">
        <f t="shared" si="167"/>
        <v>10014.290816326322</v>
      </c>
      <c r="FA89" s="3">
        <f t="shared" si="192"/>
        <v>139689.0625</v>
      </c>
      <c r="FB89" s="29">
        <f t="shared" si="193"/>
        <v>53559.18367346903</v>
      </c>
      <c r="FC89" s="3">
        <f t="shared" si="194"/>
        <v>19770.368622449052</v>
      </c>
      <c r="FD89" s="3">
        <f t="shared" si="195"/>
        <v>18554.331632653204</v>
      </c>
      <c r="FE89" s="3">
        <f t="shared" si="185"/>
        <v>143.14413265307365</v>
      </c>
      <c r="FF89" s="3"/>
      <c r="FG89" s="29"/>
      <c r="FH89" s="3"/>
      <c r="FI89" s="3"/>
      <c r="FQ89" s="4">
        <f>SQRT(AVERAGE(ES89:FE89))/AVERAGE(AB89:AN89)</f>
        <v>1.9842384409108012E-2</v>
      </c>
      <c r="FR89" s="160">
        <v>2.3E-2</v>
      </c>
      <c r="FS89" s="161">
        <f t="shared" si="139"/>
        <v>1.1591348865029842</v>
      </c>
      <c r="FV89" s="4">
        <f t="shared" si="168"/>
        <v>2.1225153847644323E-2</v>
      </c>
      <c r="FW89" s="161">
        <f t="shared" si="169"/>
        <v>1.0836199428798325</v>
      </c>
    </row>
    <row r="90" spans="1:179" x14ac:dyDescent="0.3">
      <c r="A90" s="62">
        <f t="shared" si="109"/>
        <v>84</v>
      </c>
      <c r="B90" s="6">
        <v>57567</v>
      </c>
      <c r="C90" s="6" t="s">
        <v>365</v>
      </c>
      <c r="D90" s="6">
        <v>2011</v>
      </c>
      <c r="E90" s="6">
        <v>2011</v>
      </c>
      <c r="F90" s="6" t="s">
        <v>252</v>
      </c>
      <c r="G90" s="17" t="s">
        <v>634</v>
      </c>
      <c r="H90" s="17" t="s">
        <v>630</v>
      </c>
      <c r="I90" s="6" t="s">
        <v>35</v>
      </c>
      <c r="J90" s="17">
        <v>25</v>
      </c>
      <c r="K90" s="6" t="s">
        <v>144</v>
      </c>
      <c r="L90" s="12">
        <v>35.168999999999997</v>
      </c>
      <c r="M90" s="12">
        <v>-106.6</v>
      </c>
      <c r="N90" s="14">
        <v>2.4</v>
      </c>
      <c r="O90" s="6">
        <v>2</v>
      </c>
      <c r="P90" s="94">
        <f>365.25*6.3</f>
        <v>2301.0749999999998</v>
      </c>
      <c r="Q90" s="15" t="s">
        <v>505</v>
      </c>
      <c r="R90" s="14">
        <v>13.4</v>
      </c>
      <c r="S90" s="3">
        <f t="shared" si="140"/>
        <v>41.952500000000001</v>
      </c>
      <c r="T90" s="128" t="str">
        <f t="shared" si="141"/>
        <v>M</v>
      </c>
      <c r="U90" s="154">
        <v>2047.5</v>
      </c>
      <c r="V90" s="154">
        <v>573</v>
      </c>
      <c r="W90" s="156">
        <v>0.66700000000000004</v>
      </c>
      <c r="X90" s="1">
        <f t="shared" si="171"/>
        <v>0.27985347985347986</v>
      </c>
      <c r="Y90" s="59">
        <f t="shared" si="142"/>
        <v>8.3761087838827852E-3</v>
      </c>
      <c r="Z90" s="1">
        <f t="shared" si="143"/>
        <v>0.89758109755232662</v>
      </c>
      <c r="AA90" s="3">
        <f t="shared" si="170"/>
        <v>4412.5091460754184</v>
      </c>
      <c r="AB90" s="6">
        <v>3384</v>
      </c>
      <c r="AC90" s="6">
        <v>0</v>
      </c>
      <c r="AD90" s="6">
        <v>3715</v>
      </c>
      <c r="AE90" s="6">
        <v>4458</v>
      </c>
      <c r="AF90" s="93">
        <v>4185</v>
      </c>
      <c r="AG90" s="6">
        <v>4370</v>
      </c>
      <c r="AH90" s="6">
        <v>4310</v>
      </c>
      <c r="AI90" s="6">
        <v>4280</v>
      </c>
      <c r="AJ90" s="6">
        <v>4173</v>
      </c>
      <c r="AK90" s="93">
        <v>3793</v>
      </c>
      <c r="AL90" s="6">
        <v>3749</v>
      </c>
      <c r="AM90" s="6">
        <v>4198</v>
      </c>
      <c r="AN90" s="6">
        <v>3984</v>
      </c>
      <c r="AO90" s="6">
        <v>4075</v>
      </c>
      <c r="AP90" s="23"/>
      <c r="AU90" s="23"/>
      <c r="AY90" s="32">
        <v>14</v>
      </c>
      <c r="AZ90" s="1">
        <f t="shared" si="144"/>
        <v>0.68128095408822908</v>
      </c>
      <c r="BA90" s="24">
        <f t="shared" si="133"/>
        <v>84</v>
      </c>
      <c r="BB90" s="2">
        <f t="shared" si="172"/>
        <v>0.76691059167770859</v>
      </c>
      <c r="BC90" s="2">
        <f t="shared" si="173"/>
        <v>0</v>
      </c>
      <c r="BD90" s="2">
        <f t="shared" si="174"/>
        <v>0.85040741445645118</v>
      </c>
      <c r="BE90" s="2">
        <f t="shared" si="175"/>
        <v>1.0256169822590366</v>
      </c>
      <c r="BF90" s="20">
        <f t="shared" si="176"/>
        <v>0.96764826166590423</v>
      </c>
      <c r="BG90" s="2">
        <f t="shared" si="177"/>
        <v>1.0155011385433743</v>
      </c>
      <c r="BH90" s="2">
        <f t="shared" si="178"/>
        <v>1.0065912875871217</v>
      </c>
      <c r="BI90" s="2">
        <f t="shared" si="179"/>
        <v>1.0046078911664775</v>
      </c>
      <c r="BJ90" s="2">
        <f t="shared" si="180"/>
        <v>0.98441476772594538</v>
      </c>
      <c r="BK90" s="20">
        <f t="shared" si="181"/>
        <v>0.89926874101745513</v>
      </c>
      <c r="BL90" s="2">
        <f t="shared" si="182"/>
        <v>0.89330345639996434</v>
      </c>
      <c r="BM90" s="2">
        <f t="shared" si="183"/>
        <v>1.0053167705604711</v>
      </c>
      <c r="BN90" s="2">
        <f t="shared" si="184"/>
        <v>0.95886340083287247</v>
      </c>
      <c r="BO90" s="2">
        <f>IF(ISNUMBER(AO90),MIN(1.15,AO90/($AA90*(1-$K$3)^(BO$6-1))),"")</f>
        <v>0.98569361829073965</v>
      </c>
      <c r="BP90" s="23"/>
      <c r="BU90" s="23"/>
      <c r="BY90" s="25">
        <f t="shared" si="134"/>
        <v>84</v>
      </c>
      <c r="BZ90" s="3">
        <f t="shared" si="135"/>
        <v>59807.043581592756</v>
      </c>
      <c r="CA90" s="3">
        <f t="shared" si="196"/>
        <v>52674</v>
      </c>
      <c r="CB90" s="2">
        <f t="shared" si="197"/>
        <v>0.88073238276924048</v>
      </c>
      <c r="CC90" s="85">
        <f t="shared" si="145"/>
        <v>45</v>
      </c>
      <c r="CD90" s="3" t="str">
        <f t="shared" si="136"/>
        <v>Fixed</v>
      </c>
      <c r="CE90" s="69">
        <f t="shared" si="198"/>
        <v>2.9405488708434568E-2</v>
      </c>
      <c r="CF90" s="2">
        <f t="array" ref="CF90:CG90">LINEST(AB90:AO90,AB$6:AO$6,TRUE,FALSE)</f>
        <v>109.03296703296695</v>
      </c>
      <c r="CG90" s="2">
        <v>2944.6813186813197</v>
      </c>
      <c r="CH90" s="1">
        <f t="shared" si="146"/>
        <v>0.99874269500745561</v>
      </c>
      <c r="DC90" s="2">
        <f t="shared" si="147"/>
        <v>1.2</v>
      </c>
      <c r="DD90">
        <f t="shared" si="137"/>
        <v>0</v>
      </c>
      <c r="DE90">
        <f t="shared" si="148"/>
        <v>14</v>
      </c>
      <c r="DT90">
        <f t="shared" si="149"/>
        <v>24422</v>
      </c>
      <c r="DU90" s="3">
        <f t="shared" si="150"/>
        <v>4412.5091460754184</v>
      </c>
      <c r="DV90" s="3">
        <f t="shared" si="151"/>
        <v>4412.5091460754184</v>
      </c>
      <c r="DW90" s="3">
        <f t="shared" si="152"/>
        <v>4368.4943673433163</v>
      </c>
      <c r="DX90" s="3">
        <f t="shared" si="153"/>
        <v>4346.6518955065994</v>
      </c>
      <c r="DY90" s="3">
        <f t="shared" si="154"/>
        <v>4324.9186360290669</v>
      </c>
      <c r="DZ90" s="3">
        <f t="shared" si="155"/>
        <v>4303.2940428489219</v>
      </c>
      <c r="EA90" s="3">
        <f t="shared" si="156"/>
        <v>4281.7775726346772</v>
      </c>
      <c r="EB90" s="2">
        <f t="shared" si="157"/>
        <v>0.80203204729770472</v>
      </c>
      <c r="ED90" s="2" t="str">
        <f t="shared" si="158"/>
        <v xml:space="preserve"> </v>
      </c>
      <c r="EE90" s="58" t="str">
        <f t="shared" si="159"/>
        <v xml:space="preserve"> </v>
      </c>
      <c r="EF90" s="2" t="str">
        <f t="shared" si="160"/>
        <v xml:space="preserve"> </v>
      </c>
      <c r="EG90" s="58" t="str">
        <f t="shared" si="161"/>
        <v xml:space="preserve"> </v>
      </c>
      <c r="EI90" s="2" t="str">
        <f t="shared" si="162"/>
        <v xml:space="preserve"> </v>
      </c>
      <c r="EJ90" s="2" t="str">
        <f t="shared" si="163"/>
        <v xml:space="preserve"> </v>
      </c>
      <c r="EK90" s="2"/>
      <c r="EL90" s="2">
        <f t="array" ref="EL90:EM90">LINEST($AB90:$AH90,$AB$6:$AH$6,TRUE,FALSE)</f>
        <v>428.14285714285705</v>
      </c>
      <c r="EM90" s="2">
        <v>1776.2857142857144</v>
      </c>
      <c r="EN90" s="58">
        <f t="shared" si="164"/>
        <v>0.12271722217672588</v>
      </c>
      <c r="EO90" s="2">
        <f t="array" ref="EO90:EP90">LINEST($AH90:$AO90,$AH$6:$AO$6,TRUE,FALSE)</f>
        <v>-36.833333333333336</v>
      </c>
      <c r="EP90" s="2">
        <v>4457</v>
      </c>
      <c r="EQ90" s="58">
        <f t="shared" si="165"/>
        <v>-9.0494031898122555E-3</v>
      </c>
      <c r="ES90" s="3">
        <f t="shared" si="166"/>
        <v>1391388.7551020405</v>
      </c>
      <c r="ET90" s="3">
        <f t="shared" si="186"/>
        <v>6930432.3265306111</v>
      </c>
      <c r="EU90" s="3">
        <f t="shared" si="187"/>
        <v>428089.79591836786</v>
      </c>
      <c r="EV90" s="3">
        <f t="shared" si="188"/>
        <v>939237.87755102082</v>
      </c>
      <c r="EW90" s="3">
        <f t="shared" si="189"/>
        <v>71824</v>
      </c>
      <c r="EX90" s="3">
        <f t="shared" si="190"/>
        <v>617.87755102042104</v>
      </c>
      <c r="EY90" s="3">
        <f t="shared" si="191"/>
        <v>214633.653061224</v>
      </c>
      <c r="EZ90" s="3">
        <f t="shared" si="167"/>
        <v>13845.444444444516</v>
      </c>
      <c r="FA90" s="3">
        <f t="shared" si="192"/>
        <v>2256.25</v>
      </c>
      <c r="FB90" s="29">
        <f t="shared" si="193"/>
        <v>87418.777777777694</v>
      </c>
      <c r="FC90" s="3">
        <f t="shared" si="194"/>
        <v>91708.027777777868</v>
      </c>
      <c r="FD90" s="3">
        <f t="shared" si="195"/>
        <v>33489</v>
      </c>
      <c r="FE90" s="3">
        <f t="shared" si="185"/>
        <v>34.027777777779548</v>
      </c>
      <c r="FF90" s="3">
        <f>($EP90+$EO90*FF$6-AO90)^2</f>
        <v>17866.777777777857</v>
      </c>
      <c r="FG90" s="29"/>
      <c r="FH90" s="3"/>
      <c r="FI90" s="3"/>
      <c r="FQ90" s="4">
        <f>SQRT(AVERAGE(ES90:FF90))/AVERAGE(AB90:AO90)</f>
        <v>0.22711904599053129</v>
      </c>
      <c r="FR90" s="160">
        <v>3.5999999999999997E-2</v>
      </c>
      <c r="FS90" s="161">
        <f t="shared" si="139"/>
        <v>0.15850718218277854</v>
      </c>
      <c r="FV90" s="4">
        <f t="shared" si="168"/>
        <v>0.34217706377618551</v>
      </c>
      <c r="FW90" s="161">
        <f t="shared" si="169"/>
        <v>0.10520868816487135</v>
      </c>
    </row>
    <row r="91" spans="1:179" x14ac:dyDescent="0.3">
      <c r="A91" s="62">
        <f t="shared" si="109"/>
        <v>85</v>
      </c>
      <c r="B91" s="6">
        <v>57765</v>
      </c>
      <c r="C91" s="6" t="s">
        <v>366</v>
      </c>
      <c r="D91" s="6">
        <v>2012</v>
      </c>
      <c r="E91" s="6">
        <v>2011</v>
      </c>
      <c r="F91" s="6" t="s">
        <v>252</v>
      </c>
      <c r="G91" s="17" t="s">
        <v>636</v>
      </c>
      <c r="H91" s="17" t="s">
        <v>638</v>
      </c>
      <c r="I91" s="6" t="s">
        <v>36</v>
      </c>
      <c r="J91" s="17">
        <v>0</v>
      </c>
      <c r="K91" s="6" t="s">
        <v>23</v>
      </c>
      <c r="L91" s="12">
        <v>32.688000000000002</v>
      </c>
      <c r="M91" s="12">
        <v>-114.496</v>
      </c>
      <c r="N91" s="14">
        <v>5.6</v>
      </c>
      <c r="O91" s="6">
        <v>4.7</v>
      </c>
      <c r="P91" s="94">
        <f>365.25*8</f>
        <v>2922</v>
      </c>
      <c r="Q91" s="15" t="s">
        <v>506</v>
      </c>
      <c r="R91" s="14">
        <v>22.6</v>
      </c>
      <c r="S91" s="3">
        <f t="shared" si="140"/>
        <v>54.682000000000002</v>
      </c>
      <c r="T91" s="128" t="str">
        <f t="shared" si="141"/>
        <v>H</v>
      </c>
      <c r="U91" s="154">
        <v>2117</v>
      </c>
      <c r="V91" s="154">
        <v>566</v>
      </c>
      <c r="W91" s="156">
        <v>0.67800000000000005</v>
      </c>
      <c r="X91" s="1">
        <f t="shared" si="171"/>
        <v>0.26735947094945678</v>
      </c>
      <c r="Y91" s="59">
        <f t="shared" si="142"/>
        <v>5.8561908983205901E-2</v>
      </c>
      <c r="Z91" s="1">
        <f t="shared" si="143"/>
        <v>0.46979980309463165</v>
      </c>
      <c r="AA91" s="3">
        <f t="shared" si="170"/>
        <v>11777.796706430332</v>
      </c>
      <c r="AB91" s="6">
        <v>9615</v>
      </c>
      <c r="AC91" s="6">
        <v>9062</v>
      </c>
      <c r="AD91" s="6">
        <v>8017</v>
      </c>
      <c r="AE91" s="6">
        <v>9960</v>
      </c>
      <c r="AF91" s="93">
        <v>9854</v>
      </c>
      <c r="AG91" s="6">
        <v>9020</v>
      </c>
      <c r="AH91" s="6">
        <v>8942</v>
      </c>
      <c r="AI91" s="6">
        <v>8165</v>
      </c>
      <c r="AJ91" s="6">
        <v>7912</v>
      </c>
      <c r="AK91" s="93">
        <v>8475</v>
      </c>
      <c r="AL91" s="6">
        <v>6148</v>
      </c>
      <c r="AM91" s="6">
        <v>5559</v>
      </c>
      <c r="AN91" s="6">
        <v>1531</v>
      </c>
      <c r="AP91" s="23"/>
      <c r="AU91" s="23"/>
      <c r="AY91" s="32">
        <v>13</v>
      </c>
      <c r="AZ91" s="1">
        <f t="shared" si="144"/>
        <v>0.48072222096862754</v>
      </c>
      <c r="BA91" s="24">
        <f t="shared" si="133"/>
        <v>85</v>
      </c>
      <c r="BB91" s="2">
        <f t="shared" si="172"/>
        <v>0.81636661250490861</v>
      </c>
      <c r="BC91" s="2">
        <f t="shared" si="173"/>
        <v>0.77328025907169562</v>
      </c>
      <c r="BD91" s="2">
        <f t="shared" si="174"/>
        <v>0.6875458551838628</v>
      </c>
      <c r="BE91" s="2">
        <f t="shared" si="175"/>
        <v>0.85847181744211565</v>
      </c>
      <c r="BF91" s="20">
        <f t="shared" si="176"/>
        <v>0.85360348823178211</v>
      </c>
      <c r="BG91" s="2">
        <f t="shared" si="177"/>
        <v>0.78528459874475631</v>
      </c>
      <c r="BH91" s="2">
        <f t="shared" si="178"/>
        <v>0.78240591894902567</v>
      </c>
      <c r="BI91" s="2">
        <f t="shared" si="179"/>
        <v>0.71801012760276384</v>
      </c>
      <c r="BJ91" s="2">
        <f t="shared" si="180"/>
        <v>0.69925821755354456</v>
      </c>
      <c r="BK91" s="20">
        <f t="shared" si="181"/>
        <v>0.75277974729134678</v>
      </c>
      <c r="BL91" s="2">
        <f t="shared" si="182"/>
        <v>0.54883145952146573</v>
      </c>
      <c r="BM91" s="2">
        <f t="shared" si="183"/>
        <v>0.4987452034865002</v>
      </c>
      <c r="BN91" s="2">
        <f t="shared" si="184"/>
        <v>0.13804928700668873</v>
      </c>
      <c r="BP91" s="23"/>
      <c r="BU91" s="23"/>
      <c r="BY91" s="25">
        <f t="shared" si="134"/>
        <v>85</v>
      </c>
      <c r="BZ91" s="3">
        <f t="shared" si="135"/>
        <v>148601.1844848778</v>
      </c>
      <c r="CA91" s="3">
        <f t="shared" si="196"/>
        <v>102260</v>
      </c>
      <c r="CB91" s="2">
        <f t="shared" si="197"/>
        <v>0.68815063860010051</v>
      </c>
      <c r="CC91" s="85">
        <f t="shared" si="145"/>
        <v>89</v>
      </c>
      <c r="CD91" s="3" t="str">
        <f t="shared" si="136"/>
        <v>Tracker</v>
      </c>
      <c r="CE91" s="69">
        <f t="shared" si="198"/>
        <v>-5.61370469275135E-2</v>
      </c>
      <c r="CF91" s="2">
        <f t="array" ref="CF91:CG91">LINEST(AB91:AN91,AB$6:AN$6,TRUE,FALSE)</f>
        <v>-454.33516483516485</v>
      </c>
      <c r="CG91" s="2">
        <v>11046.5</v>
      </c>
      <c r="CH91" s="1">
        <f t="shared" si="146"/>
        <v>0.94707031201192893</v>
      </c>
      <c r="DC91" s="2">
        <f t="shared" si="147"/>
        <v>1.1914893617021276</v>
      </c>
      <c r="DD91">
        <f t="shared" si="137"/>
        <v>1</v>
      </c>
      <c r="DE91">
        <f t="shared" si="148"/>
        <v>14</v>
      </c>
      <c r="DT91">
        <f t="shared" si="149"/>
        <v>64470</v>
      </c>
      <c r="DU91" s="3">
        <f t="shared" si="150"/>
        <v>11777.796706430332</v>
      </c>
      <c r="DV91" s="3">
        <f t="shared" si="151"/>
        <v>11718.907722898181</v>
      </c>
      <c r="DW91" s="3">
        <f t="shared" si="152"/>
        <v>11660.31318428369</v>
      </c>
      <c r="DX91" s="3">
        <f t="shared" si="153"/>
        <v>11602.01161836227</v>
      </c>
      <c r="DY91" s="3">
        <f t="shared" si="154"/>
        <v>11544.001560270461</v>
      </c>
      <c r="DZ91" s="3">
        <f t="shared" si="155"/>
        <v>11486.281552469109</v>
      </c>
      <c r="EA91" s="3">
        <f t="shared" si="156"/>
        <v>11428.850144706763</v>
      </c>
      <c r="EB91" s="2">
        <f t="shared" si="157"/>
        <v>0.7937879659417022</v>
      </c>
      <c r="ED91" s="2">
        <f t="shared" si="158"/>
        <v>0.68815063860010051</v>
      </c>
      <c r="EE91" s="58">
        <f t="shared" si="159"/>
        <v>-5.61370469275135E-2</v>
      </c>
      <c r="EF91" s="2" t="str">
        <f t="shared" si="160"/>
        <v xml:space="preserve"> </v>
      </c>
      <c r="EG91" s="58" t="str">
        <f t="shared" si="161"/>
        <v xml:space="preserve"> </v>
      </c>
      <c r="EI91" s="2">
        <f t="shared" si="162"/>
        <v>0.7937879659417022</v>
      </c>
      <c r="EJ91" s="2" t="str">
        <f t="shared" si="163"/>
        <v xml:space="preserve"> </v>
      </c>
      <c r="EK91" s="2"/>
      <c r="EL91" s="2">
        <f t="array" ref="EL91:EM91">LINEST($AB91:$AH91,$AB$6:$AH$6,TRUE,FALSE)</f>
        <v>-9.5000000000000302</v>
      </c>
      <c r="EM91" s="2">
        <v>9248</v>
      </c>
      <c r="EN91" s="58">
        <f t="shared" si="164"/>
        <v>-1.0314875135722073E-3</v>
      </c>
      <c r="EO91" s="2">
        <f t="array" ref="EO91:EP91">LINEST($AH91:$AN91,$AH$6:$AN$6,TRUE,FALSE)</f>
        <v>-1043.1785714285713</v>
      </c>
      <c r="EP91" s="2">
        <v>17107.785714285714</v>
      </c>
      <c r="EQ91" s="58">
        <f t="shared" si="165"/>
        <v>-0.15625802448001369</v>
      </c>
      <c r="ES91" s="3">
        <f t="shared" si="166"/>
        <v>141752.25</v>
      </c>
      <c r="ET91" s="3">
        <f t="shared" si="186"/>
        <v>27889</v>
      </c>
      <c r="EU91" s="3">
        <f t="shared" si="187"/>
        <v>1446006.25</v>
      </c>
      <c r="EV91" s="3">
        <f t="shared" si="188"/>
        <v>562500</v>
      </c>
      <c r="EW91" s="3">
        <f t="shared" si="189"/>
        <v>427062.25</v>
      </c>
      <c r="EX91" s="3">
        <f t="shared" si="190"/>
        <v>29241</v>
      </c>
      <c r="EY91" s="3">
        <f t="shared" si="191"/>
        <v>57360.25</v>
      </c>
      <c r="EZ91" s="3">
        <f t="shared" si="167"/>
        <v>356835.55612244928</v>
      </c>
      <c r="FA91" s="3">
        <f t="shared" si="192"/>
        <v>37180.103316326131</v>
      </c>
      <c r="FB91" s="29">
        <f t="shared" si="193"/>
        <v>3236401</v>
      </c>
      <c r="FC91" s="3">
        <f t="shared" si="194"/>
        <v>265408.96045918285</v>
      </c>
      <c r="FD91" s="3">
        <f t="shared" si="195"/>
        <v>939653.27040816029</v>
      </c>
      <c r="FE91" s="3">
        <f t="shared" si="185"/>
        <v>4062096.2869897978</v>
      </c>
      <c r="FF91" s="3"/>
      <c r="FG91" s="29"/>
      <c r="FH91" s="3"/>
      <c r="FI91" s="3"/>
      <c r="FQ91" s="4">
        <f>SQRT(AVERAGE(ES91:FE91))/AVERAGE(AB91:AN91)</f>
        <v>0.12003174090313963</v>
      </c>
      <c r="FR91" s="160">
        <v>3.5999999999999997E-2</v>
      </c>
      <c r="FS91" s="161">
        <f t="shared" si="139"/>
        <v>0.29992066872586998</v>
      </c>
      <c r="FV91" s="4">
        <f t="shared" si="168"/>
        <v>6.733077781930856E-2</v>
      </c>
      <c r="FW91" s="161">
        <f t="shared" si="169"/>
        <v>0.53467375791515392</v>
      </c>
    </row>
    <row r="92" spans="1:179" x14ac:dyDescent="0.3">
      <c r="A92" s="62">
        <f t="shared" si="109"/>
        <v>86</v>
      </c>
      <c r="B92" s="6">
        <v>57481</v>
      </c>
      <c r="C92" s="6" t="s">
        <v>376</v>
      </c>
      <c r="D92" s="6">
        <v>2012</v>
      </c>
      <c r="E92" s="6">
        <v>2011</v>
      </c>
      <c r="F92" s="6" t="s">
        <v>252</v>
      </c>
      <c r="G92" s="17" t="s">
        <v>636</v>
      </c>
      <c r="H92" s="17" t="s">
        <v>638</v>
      </c>
      <c r="I92" s="6" t="s">
        <v>36</v>
      </c>
      <c r="J92" s="17">
        <v>44.436</v>
      </c>
      <c r="K92" s="6" t="s">
        <v>377</v>
      </c>
      <c r="L92" s="12">
        <v>44.436</v>
      </c>
      <c r="M92" s="12">
        <v>-73.144999999999996</v>
      </c>
      <c r="N92" s="14">
        <v>2.2000000000000002</v>
      </c>
      <c r="O92" s="6">
        <v>2.2000000000000002</v>
      </c>
      <c r="P92" s="94">
        <f>365.25*5.6</f>
        <v>2045.3999999999999</v>
      </c>
      <c r="Q92" s="15" t="s">
        <v>503</v>
      </c>
      <c r="R92" s="14">
        <v>7</v>
      </c>
      <c r="S92" s="3">
        <f t="shared" si="140"/>
        <v>32.891799999999996</v>
      </c>
      <c r="T92" s="128" t="str">
        <f t="shared" si="141"/>
        <v>C</v>
      </c>
      <c r="U92" s="154">
        <v>1374</v>
      </c>
      <c r="V92" s="154">
        <v>676</v>
      </c>
      <c r="W92" s="156">
        <v>0.503</v>
      </c>
      <c r="X92" s="1">
        <f t="shared" si="171"/>
        <v>0.49199417758369723</v>
      </c>
      <c r="Y92" s="59">
        <f t="shared" si="142"/>
        <v>0</v>
      </c>
      <c r="Z92" s="1">
        <f t="shared" si="143"/>
        <v>1</v>
      </c>
      <c r="AA92" s="3">
        <f t="shared" si="170"/>
        <v>3536.9760812033819</v>
      </c>
      <c r="AB92" s="6">
        <v>3388</v>
      </c>
      <c r="AC92" s="6">
        <v>3120</v>
      </c>
      <c r="AD92" s="6">
        <v>3228</v>
      </c>
      <c r="AE92" s="6">
        <v>3393</v>
      </c>
      <c r="AF92" s="93">
        <v>3339</v>
      </c>
      <c r="AG92" s="6">
        <v>3003</v>
      </c>
      <c r="AH92" s="6">
        <v>3085</v>
      </c>
      <c r="AI92" s="6">
        <v>3184</v>
      </c>
      <c r="AJ92" s="6">
        <v>3122</v>
      </c>
      <c r="AK92" s="93">
        <v>2991</v>
      </c>
      <c r="AL92" s="6">
        <v>3200</v>
      </c>
      <c r="AM92" s="6">
        <v>2817</v>
      </c>
      <c r="AN92" s="6">
        <v>2853</v>
      </c>
      <c r="AP92" s="23"/>
      <c r="AU92" s="23"/>
      <c r="AY92" s="32">
        <v>13</v>
      </c>
      <c r="AZ92" s="1">
        <f t="shared" si="144"/>
        <v>0.69613822180557294</v>
      </c>
      <c r="BA92" s="24">
        <f t="shared" si="133"/>
        <v>86</v>
      </c>
      <c r="BB92" s="2">
        <f t="shared" si="172"/>
        <v>0.95788038205994996</v>
      </c>
      <c r="BC92" s="2">
        <f t="shared" si="173"/>
        <v>0.8865421535146345</v>
      </c>
      <c r="BD92" s="2">
        <f t="shared" si="174"/>
        <v>0.92183934787567323</v>
      </c>
      <c r="BE92" s="2">
        <f t="shared" si="175"/>
        <v>0.97382853154936999</v>
      </c>
      <c r="BF92" s="20">
        <f t="shared" si="176"/>
        <v>0.96314566254299683</v>
      </c>
      <c r="BG92" s="2">
        <f t="shared" si="177"/>
        <v>0.8705782354770617</v>
      </c>
      <c r="BH92" s="2">
        <f t="shared" si="178"/>
        <v>0.89884449100204156</v>
      </c>
      <c r="BI92" s="2">
        <f t="shared" si="179"/>
        <v>0.93235084966176118</v>
      </c>
      <c r="BJ92" s="2">
        <f t="shared" si="180"/>
        <v>0.91878972521022773</v>
      </c>
      <c r="BK92" s="20">
        <f t="shared" si="181"/>
        <v>0.88466035111618024</v>
      </c>
      <c r="BL92" s="2">
        <f t="shared" si="182"/>
        <v>0.9512333058041047</v>
      </c>
      <c r="BM92" s="2">
        <f t="shared" si="183"/>
        <v>0.84159052212630758</v>
      </c>
      <c r="BN92" s="2">
        <f t="shared" si="184"/>
        <v>0.85662881665207646</v>
      </c>
      <c r="BP92" s="23"/>
      <c r="BU92" s="23"/>
      <c r="BY92" s="25">
        <f t="shared" si="134"/>
        <v>86</v>
      </c>
      <c r="BZ92" s="3">
        <f t="shared" si="135"/>
        <v>44626.244471900449</v>
      </c>
      <c r="CA92" s="3">
        <f t="shared" si="196"/>
        <v>40723</v>
      </c>
      <c r="CB92" s="2">
        <f t="shared" si="197"/>
        <v>0.91253477593530907</v>
      </c>
      <c r="CC92" s="85">
        <f t="shared" si="145"/>
        <v>33</v>
      </c>
      <c r="CD92" s="3" t="str">
        <f t="shared" si="136"/>
        <v>Tracker</v>
      </c>
      <c r="CE92" s="69">
        <f t="shared" si="198"/>
        <v>-1.0982608543967069E-2</v>
      </c>
      <c r="CF92" s="2">
        <f t="array" ref="CF92:CG92">LINEST(AB92:AN92,AB$6:AN$6,TRUE,FALSE)</f>
        <v>-34.593406593406598</v>
      </c>
      <c r="CG92" s="2">
        <v>3374.6923076923076</v>
      </c>
      <c r="CH92" s="1">
        <f t="shared" si="146"/>
        <v>1.034231112011929</v>
      </c>
      <c r="DC92" s="2">
        <f t="shared" si="147"/>
        <v>1</v>
      </c>
      <c r="DD92">
        <f t="shared" si="137"/>
        <v>1</v>
      </c>
      <c r="DE92">
        <f t="shared" si="148"/>
        <v>14</v>
      </c>
      <c r="DT92">
        <f t="shared" si="149"/>
        <v>22556</v>
      </c>
      <c r="DU92" s="3">
        <f t="shared" si="150"/>
        <v>3536.9760812033819</v>
      </c>
      <c r="DV92" s="3">
        <f t="shared" si="151"/>
        <v>3519.291200797365</v>
      </c>
      <c r="DW92" s="3">
        <f t="shared" si="152"/>
        <v>3501.6947447933785</v>
      </c>
      <c r="DX92" s="3">
        <f t="shared" si="153"/>
        <v>3484.1862710694113</v>
      </c>
      <c r="DY92" s="3">
        <f t="shared" si="154"/>
        <v>3466.7653397140643</v>
      </c>
      <c r="DZ92" s="3">
        <f t="shared" si="155"/>
        <v>3449.4315130154941</v>
      </c>
      <c r="EA92" s="3">
        <f t="shared" si="156"/>
        <v>3432.1843554504167</v>
      </c>
      <c r="EB92" s="2">
        <f t="shared" si="157"/>
        <v>0.92478517099889335</v>
      </c>
      <c r="ED92" s="2" t="str">
        <f t="shared" si="158"/>
        <v xml:space="preserve"> </v>
      </c>
      <c r="EE92" s="58" t="str">
        <f t="shared" si="159"/>
        <v xml:space="preserve"> </v>
      </c>
      <c r="EF92" s="2">
        <f t="shared" si="160"/>
        <v>0.91253477593530907</v>
      </c>
      <c r="EG92" s="58">
        <f t="shared" si="161"/>
        <v>-1.0982608543967069E-2</v>
      </c>
      <c r="EI92" s="2" t="str">
        <f t="shared" si="162"/>
        <v xml:space="preserve"> </v>
      </c>
      <c r="EJ92" s="2">
        <f t="shared" si="163"/>
        <v>0.92478517099889335</v>
      </c>
      <c r="EK92" s="2"/>
      <c r="EL92" s="2">
        <f t="array" ref="EL92:EM92">LINEST($AB92:$AH92,$AB$6:$AH$6,TRUE,FALSE)</f>
        <v>-36.857142857142847</v>
      </c>
      <c r="EM92" s="2">
        <v>3369.7142857142858</v>
      </c>
      <c r="EN92" s="58">
        <f t="shared" si="164"/>
        <v>-1.1438198262103207E-2</v>
      </c>
      <c r="EO92" s="2">
        <f t="array" ref="EO92:EP92">LINEST($AH92:$AN92,$AH$6:$AN$6,TRUE,FALSE)</f>
        <v>-48.285714285714278</v>
      </c>
      <c r="EP92" s="2">
        <v>3518.8571428571427</v>
      </c>
      <c r="EQ92" s="58">
        <f t="shared" si="165"/>
        <v>-1.5904385469602857E-2</v>
      </c>
      <c r="ES92" s="3">
        <f t="shared" si="166"/>
        <v>3040.7346938775222</v>
      </c>
      <c r="ET92" s="3">
        <f t="shared" si="186"/>
        <v>30976</v>
      </c>
      <c r="EU92" s="3">
        <f t="shared" si="187"/>
        <v>969.87755102042036</v>
      </c>
      <c r="EV92" s="3">
        <f t="shared" si="188"/>
        <v>29143.367346938798</v>
      </c>
      <c r="EW92" s="3">
        <f t="shared" si="189"/>
        <v>23584.183673469346</v>
      </c>
      <c r="EX92" s="3">
        <f t="shared" si="190"/>
        <v>21191.040816326626</v>
      </c>
      <c r="EY92" s="3">
        <f t="shared" si="191"/>
        <v>713.65306122449329</v>
      </c>
      <c r="EZ92" s="3">
        <f t="shared" si="167"/>
        <v>2644.8979591836869</v>
      </c>
      <c r="FA92" s="3">
        <f t="shared" si="192"/>
        <v>1422.3673469387804</v>
      </c>
      <c r="FB92" s="29">
        <f t="shared" si="193"/>
        <v>2025</v>
      </c>
      <c r="FC92" s="3">
        <f t="shared" si="194"/>
        <v>45065.224489796085</v>
      </c>
      <c r="FD92" s="3">
        <f t="shared" si="195"/>
        <v>14988.755102040848</v>
      </c>
      <c r="FE92" s="3">
        <f t="shared" si="185"/>
        <v>1454.8775510203884</v>
      </c>
      <c r="FF92" s="3"/>
      <c r="FG92" s="29"/>
      <c r="FH92" s="3"/>
      <c r="FI92" s="3"/>
      <c r="FQ92" s="4">
        <f>SQRT(AVERAGE(ES92:FE92))/AVERAGE(AB92:AN92)</f>
        <v>3.7272476787945402E-2</v>
      </c>
      <c r="FR92" s="160">
        <v>4.1000000000000002E-2</v>
      </c>
      <c r="FS92" s="161">
        <f t="shared" si="139"/>
        <v>1.100007392405437</v>
      </c>
      <c r="FV92" s="4">
        <f t="shared" si="168"/>
        <v>3.8835559739525551E-2</v>
      </c>
      <c r="FW92" s="161">
        <f t="shared" si="169"/>
        <v>1.0557334637376568</v>
      </c>
    </row>
    <row r="93" spans="1:179" x14ac:dyDescent="0.3">
      <c r="A93" s="62">
        <f t="shared" si="109"/>
        <v>87</v>
      </c>
      <c r="B93" s="6">
        <v>57561</v>
      </c>
      <c r="C93" s="6" t="s">
        <v>381</v>
      </c>
      <c r="D93" s="6">
        <v>2012</v>
      </c>
      <c r="E93" s="6">
        <v>2011</v>
      </c>
      <c r="F93" s="6" t="s">
        <v>248</v>
      </c>
      <c r="G93" s="17" t="s">
        <v>636</v>
      </c>
      <c r="H93" s="17" t="s">
        <v>638</v>
      </c>
      <c r="I93" s="6" t="s">
        <v>36</v>
      </c>
      <c r="J93" s="17">
        <v>0</v>
      </c>
      <c r="K93" s="6" t="s">
        <v>23</v>
      </c>
      <c r="L93" s="12">
        <v>33.034999999999997</v>
      </c>
      <c r="M93" s="12">
        <v>-112.66200000000001</v>
      </c>
      <c r="N93" s="14">
        <v>21</v>
      </c>
      <c r="O93" s="6">
        <v>17</v>
      </c>
      <c r="P93" s="94">
        <f>365.25*8</f>
        <v>2922</v>
      </c>
      <c r="Q93" s="15" t="s">
        <v>506</v>
      </c>
      <c r="R93" s="14">
        <v>22.6</v>
      </c>
      <c r="S93" s="3">
        <f t="shared" si="140"/>
        <v>54.682000000000002</v>
      </c>
      <c r="T93" s="128" t="str">
        <f t="shared" si="141"/>
        <v>H</v>
      </c>
      <c r="U93" s="154">
        <v>2117</v>
      </c>
      <c r="V93" s="154">
        <v>566</v>
      </c>
      <c r="W93" s="156">
        <v>0.67800000000000005</v>
      </c>
      <c r="X93" s="1">
        <f t="shared" si="171"/>
        <v>0.26735947094945678</v>
      </c>
      <c r="Y93" s="59">
        <f t="shared" si="142"/>
        <v>7.0648712612742859E-2</v>
      </c>
      <c r="Z93" s="1">
        <f t="shared" si="143"/>
        <v>0.40197378951331253</v>
      </c>
      <c r="AA93" s="3">
        <f t="shared" si="170"/>
        <v>44166.737649113747</v>
      </c>
      <c r="AB93" s="6">
        <v>46172</v>
      </c>
      <c r="AC93" s="6">
        <v>43658</v>
      </c>
      <c r="AD93" s="6">
        <v>43648</v>
      </c>
      <c r="AE93" s="6">
        <v>42798</v>
      </c>
      <c r="AF93" s="93">
        <v>38993</v>
      </c>
      <c r="AG93" s="6">
        <v>32594</v>
      </c>
      <c r="AH93" s="6">
        <v>36792</v>
      </c>
      <c r="AI93" s="6">
        <v>39075</v>
      </c>
      <c r="AJ93" s="6">
        <v>39081</v>
      </c>
      <c r="AK93" s="93">
        <v>40865</v>
      </c>
      <c r="AL93" s="6">
        <v>34814</v>
      </c>
      <c r="AM93" s="6">
        <v>41151</v>
      </c>
      <c r="AN93" s="6">
        <v>39439</v>
      </c>
      <c r="AP93" s="23"/>
      <c r="AU93" s="23"/>
      <c r="AY93" s="32">
        <v>13</v>
      </c>
      <c r="AZ93" s="1">
        <f t="shared" si="144"/>
        <v>0.65071592792332</v>
      </c>
      <c r="BA93" s="24">
        <f t="shared" si="133"/>
        <v>87</v>
      </c>
      <c r="BB93" s="2">
        <f t="shared" si="172"/>
        <v>1.0454020934671975</v>
      </c>
      <c r="BC93" s="2">
        <f t="shared" si="173"/>
        <v>0.99344867359823696</v>
      </c>
      <c r="BD93" s="2">
        <f t="shared" si="174"/>
        <v>0.99821218201539197</v>
      </c>
      <c r="BE93" s="2">
        <f t="shared" si="175"/>
        <v>0.98369148173728682</v>
      </c>
      <c r="BF93" s="20">
        <f t="shared" si="176"/>
        <v>0.90073907899660044</v>
      </c>
      <c r="BG93" s="2">
        <f t="shared" si="177"/>
        <v>0.75670557905355751</v>
      </c>
      <c r="BH93" s="2">
        <f t="shared" si="178"/>
        <v>0.85845906419063744</v>
      </c>
      <c r="BI93" s="2">
        <f t="shared" si="179"/>
        <v>0.91630931164982221</v>
      </c>
      <c r="BJ93" s="2">
        <f t="shared" si="180"/>
        <v>0.92105528817694882</v>
      </c>
      <c r="BK93" s="20">
        <f t="shared" si="181"/>
        <v>0.96794003927035244</v>
      </c>
      <c r="BL93" s="2">
        <f t="shared" si="182"/>
        <v>0.8287581189234573</v>
      </c>
      <c r="BM93" s="2">
        <f t="shared" si="183"/>
        <v>0.98453505396284557</v>
      </c>
      <c r="BN93" s="2">
        <f t="shared" si="184"/>
        <v>0.94831714874927875</v>
      </c>
      <c r="BP93" s="23"/>
      <c r="BU93" s="23"/>
      <c r="BY93" s="25">
        <f t="shared" si="134"/>
        <v>87</v>
      </c>
      <c r="BZ93" s="3">
        <f t="shared" si="135"/>
        <v>557254.44181829179</v>
      </c>
      <c r="CA93" s="3">
        <f t="shared" si="196"/>
        <v>519080</v>
      </c>
      <c r="CB93" s="2">
        <f t="shared" si="197"/>
        <v>0.93149549119118624</v>
      </c>
      <c r="CC93" s="85">
        <f t="shared" si="145"/>
        <v>27</v>
      </c>
      <c r="CD93" s="3" t="str">
        <f t="shared" si="136"/>
        <v>Tracker</v>
      </c>
      <c r="CE93" s="69">
        <f t="shared" si="198"/>
        <v>-1.1956378934225692E-2</v>
      </c>
      <c r="CF93" s="2">
        <f t="array" ref="CF93:CG93">LINEST(AB93:AN93,AB$6:AN$6,TRUE,FALSE)</f>
        <v>-480.2802197802198</v>
      </c>
      <c r="CG93" s="2">
        <v>43291.192307692305</v>
      </c>
      <c r="CH93" s="1">
        <f t="shared" si="146"/>
        <v>0.94707031201192893</v>
      </c>
      <c r="DC93" s="2">
        <f t="shared" si="147"/>
        <v>1.2352941176470589</v>
      </c>
      <c r="DD93">
        <f t="shared" si="137"/>
        <v>1</v>
      </c>
      <c r="DE93">
        <f t="shared" si="148"/>
        <v>14</v>
      </c>
      <c r="DT93">
        <f t="shared" si="149"/>
        <v>284655</v>
      </c>
      <c r="DU93" s="3">
        <f t="shared" si="150"/>
        <v>44166.737649113747</v>
      </c>
      <c r="DV93" s="3">
        <f t="shared" si="151"/>
        <v>43945.903960868178</v>
      </c>
      <c r="DW93" s="3">
        <f t="shared" si="152"/>
        <v>43726.174441063842</v>
      </c>
      <c r="DX93" s="3">
        <f t="shared" si="153"/>
        <v>43507.54356885852</v>
      </c>
      <c r="DY93" s="3">
        <f t="shared" si="154"/>
        <v>43290.005851014226</v>
      </c>
      <c r="DZ93" s="3">
        <f t="shared" si="155"/>
        <v>43073.555821759161</v>
      </c>
      <c r="EA93" s="3">
        <f t="shared" si="156"/>
        <v>42858.188042650363</v>
      </c>
      <c r="EB93" s="2">
        <f t="shared" si="157"/>
        <v>0.93461853449205412</v>
      </c>
      <c r="ED93" s="2">
        <f t="shared" si="158"/>
        <v>0.93149549119118624</v>
      </c>
      <c r="EE93" s="58">
        <f t="shared" si="159"/>
        <v>-1.1956378934225692E-2</v>
      </c>
      <c r="EF93" s="2" t="str">
        <f t="shared" si="160"/>
        <v xml:space="preserve"> </v>
      </c>
      <c r="EG93" s="58" t="str">
        <f t="shared" si="161"/>
        <v xml:space="preserve"> </v>
      </c>
      <c r="EI93" s="2">
        <f t="shared" si="162"/>
        <v>0.93461853449205412</v>
      </c>
      <c r="EJ93" s="2" t="str">
        <f t="shared" si="163"/>
        <v xml:space="preserve"> </v>
      </c>
      <c r="EK93" s="2"/>
      <c r="EL93" s="2">
        <f t="array" ref="EL93:EM93">LINEST($AB93:$AH93,$AB$6:$AH$6,TRUE,FALSE)</f>
        <v>-1961.535714285714</v>
      </c>
      <c r="EM93" s="2">
        <v>48511.142857142855</v>
      </c>
      <c r="EN93" s="58">
        <f t="shared" si="164"/>
        <v>-4.8236461681684842E-2</v>
      </c>
      <c r="EO93" s="2">
        <f t="array" ref="EO93:EP93">LINEST($AH93:$AN93,$AH$6:$AN$6,TRUE,FALSE)</f>
        <v>279.50000000000006</v>
      </c>
      <c r="EP93" s="2">
        <v>35950.285714285717</v>
      </c>
      <c r="EQ93" s="58">
        <f t="shared" si="165"/>
        <v>7.2137808470707967E-3</v>
      </c>
      <c r="ES93" s="3">
        <f t="shared" si="166"/>
        <v>142587.15433673077</v>
      </c>
      <c r="ET93" s="3">
        <f t="shared" si="186"/>
        <v>865032.86224489601</v>
      </c>
      <c r="EU93" s="3">
        <f t="shared" si="187"/>
        <v>1043389.2869898044</v>
      </c>
      <c r="EV93" s="3">
        <f t="shared" si="188"/>
        <v>4549689</v>
      </c>
      <c r="EW93" s="3">
        <f t="shared" si="189"/>
        <v>83830.929846940577</v>
      </c>
      <c r="EX93" s="3">
        <f t="shared" si="190"/>
        <v>17205311.433673479</v>
      </c>
      <c r="EY93" s="3">
        <f t="shared" si="191"/>
        <v>4046563.2971938858</v>
      </c>
      <c r="EZ93" s="3">
        <f t="shared" si="167"/>
        <v>789813.08163264755</v>
      </c>
      <c r="FA93" s="3">
        <f t="shared" si="192"/>
        <v>378488.61734693492</v>
      </c>
      <c r="FB93" s="29">
        <f t="shared" si="193"/>
        <v>4493188.6530612111</v>
      </c>
      <c r="FC93" s="3">
        <f t="shared" si="194"/>
        <v>17730716.331632677</v>
      </c>
      <c r="FD93" s="3">
        <f t="shared" si="195"/>
        <v>3410353.653061213</v>
      </c>
      <c r="FE93" s="3">
        <f t="shared" si="185"/>
        <v>20962.903061225392</v>
      </c>
      <c r="FF93" s="3"/>
      <c r="FG93" s="29"/>
      <c r="FH93" s="3"/>
      <c r="FI93" s="3"/>
      <c r="FQ93" s="58">
        <f>SQRT(AVERAGE(ES93:FE93))/AVERAGE(AB93:AN93)</f>
        <v>5.1400673699637071E-2</v>
      </c>
      <c r="FR93" s="216">
        <v>3.5999999999999997E-2</v>
      </c>
      <c r="FS93" s="161">
        <f t="shared" si="139"/>
        <v>0.70037992518090642</v>
      </c>
      <c r="FV93" s="4">
        <f t="shared" si="168"/>
        <v>4.9126458179204503E-2</v>
      </c>
      <c r="FW93" s="161">
        <f t="shared" si="169"/>
        <v>0.73280267567180313</v>
      </c>
    </row>
    <row r="94" spans="1:179" x14ac:dyDescent="0.3">
      <c r="A94" s="62">
        <f t="shared" si="109"/>
        <v>88</v>
      </c>
      <c r="B94" s="6">
        <v>57337</v>
      </c>
      <c r="C94" s="6" t="s">
        <v>385</v>
      </c>
      <c r="D94" s="6">
        <v>2012</v>
      </c>
      <c r="E94" s="6">
        <v>2011</v>
      </c>
      <c r="F94" s="6" t="s">
        <v>252</v>
      </c>
      <c r="G94" s="17" t="s">
        <v>636</v>
      </c>
      <c r="H94" s="17" t="s">
        <v>638</v>
      </c>
      <c r="I94" s="6" t="s">
        <v>36</v>
      </c>
      <c r="J94" s="17">
        <v>0</v>
      </c>
      <c r="K94" s="6" t="s">
        <v>386</v>
      </c>
      <c r="L94" s="12">
        <v>39.183999999999997</v>
      </c>
      <c r="M94" s="12">
        <v>-75.504000000000005</v>
      </c>
      <c r="N94" s="14">
        <v>11.3</v>
      </c>
      <c r="O94" s="6">
        <v>10</v>
      </c>
      <c r="P94" s="94">
        <f>365.25*5.3</f>
        <v>1935.825</v>
      </c>
      <c r="Q94" s="15" t="s">
        <v>663</v>
      </c>
      <c r="R94" s="14">
        <v>12.3</v>
      </c>
      <c r="S94" s="3">
        <f t="shared" si="140"/>
        <v>37.418025</v>
      </c>
      <c r="T94" s="128" t="str">
        <f t="shared" si="141"/>
        <v>C</v>
      </c>
      <c r="U94" s="154">
        <v>1491</v>
      </c>
      <c r="V94" s="154">
        <v>670</v>
      </c>
      <c r="W94" s="156">
        <v>0.51300000000000001</v>
      </c>
      <c r="X94" s="1">
        <f t="shared" si="171"/>
        <v>0.4493628437290409</v>
      </c>
      <c r="Y94" s="59">
        <f t="shared" si="142"/>
        <v>0</v>
      </c>
      <c r="Z94" s="1">
        <f t="shared" si="143"/>
        <v>1</v>
      </c>
      <c r="AA94" s="3">
        <f t="shared" si="170"/>
        <v>16892.961199272322</v>
      </c>
      <c r="AB94" s="6">
        <v>18535</v>
      </c>
      <c r="AC94" s="6">
        <v>18152</v>
      </c>
      <c r="AD94" s="6">
        <v>17792</v>
      </c>
      <c r="AE94" s="6">
        <v>17439</v>
      </c>
      <c r="AF94" s="93">
        <v>17596</v>
      </c>
      <c r="AG94" s="6">
        <v>16591</v>
      </c>
      <c r="AH94" s="6">
        <v>16164</v>
      </c>
      <c r="AI94" s="6">
        <v>17225</v>
      </c>
      <c r="AJ94" s="6">
        <v>15902</v>
      </c>
      <c r="AK94" s="93">
        <v>17122</v>
      </c>
      <c r="AL94" s="6">
        <v>16578</v>
      </c>
      <c r="AM94" s="6">
        <v>16370</v>
      </c>
      <c r="AN94" s="6">
        <v>12632</v>
      </c>
      <c r="AO94" s="6">
        <v>12004</v>
      </c>
      <c r="AP94" s="23"/>
      <c r="AU94" s="23"/>
      <c r="AY94" s="32">
        <v>14</v>
      </c>
      <c r="AZ94" s="1">
        <f t="shared" si="144"/>
        <v>0.75135956613394883</v>
      </c>
      <c r="BA94" s="24">
        <f t="shared" si="133"/>
        <v>88</v>
      </c>
      <c r="BB94" s="2">
        <f t="shared" si="172"/>
        <v>1.0972025437907482</v>
      </c>
      <c r="BC94" s="2">
        <f t="shared" si="173"/>
        <v>1.0799300291524883</v>
      </c>
      <c r="BD94" s="2">
        <f t="shared" si="174"/>
        <v>1.0638314467157886</v>
      </c>
      <c r="BE94" s="2">
        <f t="shared" si="175"/>
        <v>1.047964451262418</v>
      </c>
      <c r="BF94" s="20">
        <f t="shared" si="176"/>
        <v>1.0627126390835713</v>
      </c>
      <c r="BG94" s="2">
        <f t="shared" si="177"/>
        <v>1.0070507912965332</v>
      </c>
      <c r="BH94" s="2">
        <f t="shared" si="178"/>
        <v>0.98606279486863313</v>
      </c>
      <c r="BI94" s="2">
        <f t="shared" si="179"/>
        <v>1.0560679941163504</v>
      </c>
      <c r="BJ94" s="2">
        <f t="shared" si="180"/>
        <v>0.97985388436745147</v>
      </c>
      <c r="BK94" s="20">
        <f t="shared" si="181"/>
        <v>1.0603298348198991</v>
      </c>
      <c r="BL94" s="2">
        <f t="shared" si="182"/>
        <v>1.0318000469374253</v>
      </c>
      <c r="BM94" s="2">
        <f t="shared" si="183"/>
        <v>1.0239741819463861</v>
      </c>
      <c r="BN94" s="2">
        <f t="shared" si="184"/>
        <v>0.79412590541877071</v>
      </c>
      <c r="BO94" s="2">
        <f>IF(ISNUMBER(AO94),MIN(1.15,AO94/($AA94*(1-$K$3)^(BO$6-1))),"")</f>
        <v>0.75843811908234349</v>
      </c>
      <c r="BP94" s="23"/>
      <c r="BU94" s="23"/>
      <c r="BY94" s="25">
        <f t="shared" si="134"/>
        <v>88</v>
      </c>
      <c r="BZ94" s="3">
        <f t="shared" si="135"/>
        <v>228966.79263897598</v>
      </c>
      <c r="CA94" s="3">
        <f t="shared" si="196"/>
        <v>230102</v>
      </c>
      <c r="CB94" s="2">
        <f t="shared" si="197"/>
        <v>1.0049579563391708</v>
      </c>
      <c r="CC94" s="85">
        <f t="shared" si="145"/>
        <v>7</v>
      </c>
      <c r="CD94" s="3" t="str">
        <f t="shared" si="136"/>
        <v>Tracker</v>
      </c>
      <c r="CE94" s="69">
        <f t="shared" si="198"/>
        <v>-2.2192404433244342E-2</v>
      </c>
      <c r="CF94" s="2">
        <f t="array" ref="CF94:CG94">LINEST(AB94:AO94,AB$6:AO$6,TRUE,FALSE)</f>
        <v>-368.8439560439561</v>
      </c>
      <c r="CG94" s="2">
        <v>19202.18681318681</v>
      </c>
      <c r="CH94" s="1">
        <f t="shared" si="146"/>
        <v>1.016126212011929</v>
      </c>
      <c r="DC94" s="2">
        <f t="shared" si="147"/>
        <v>1.1300000000000001</v>
      </c>
      <c r="DD94">
        <f t="shared" si="137"/>
        <v>1</v>
      </c>
      <c r="DE94">
        <f t="shared" si="148"/>
        <v>15</v>
      </c>
      <c r="DT94">
        <f t="shared" si="149"/>
        <v>122269</v>
      </c>
      <c r="DU94" s="3">
        <f t="shared" si="150"/>
        <v>16892.961199272322</v>
      </c>
      <c r="DV94" s="3">
        <f t="shared" si="151"/>
        <v>16808.49639327596</v>
      </c>
      <c r="DW94" s="3">
        <f t="shared" si="152"/>
        <v>16724.453911309582</v>
      </c>
      <c r="DX94" s="3">
        <f t="shared" si="153"/>
        <v>16640.831641753033</v>
      </c>
      <c r="DY94" s="3">
        <f t="shared" si="154"/>
        <v>16557.627483544267</v>
      </c>
      <c r="DZ94" s="3">
        <f t="shared" si="155"/>
        <v>16474.839346126548</v>
      </c>
      <c r="EA94" s="3">
        <f t="shared" si="156"/>
        <v>16392.465149395914</v>
      </c>
      <c r="EB94" s="2">
        <f t="shared" si="157"/>
        <v>1.0495943153803831</v>
      </c>
      <c r="ED94" s="2" t="str">
        <f t="shared" si="158"/>
        <v xml:space="preserve"> </v>
      </c>
      <c r="EE94" s="58" t="str">
        <f t="shared" si="159"/>
        <v xml:space="preserve"> </v>
      </c>
      <c r="EF94" s="2">
        <f t="shared" si="160"/>
        <v>1.0049579563391708</v>
      </c>
      <c r="EG94" s="58">
        <f t="shared" si="161"/>
        <v>-2.2192404433244342E-2</v>
      </c>
      <c r="EI94" s="2" t="str">
        <f t="shared" si="162"/>
        <v xml:space="preserve"> </v>
      </c>
      <c r="EJ94" s="2">
        <f t="shared" si="163"/>
        <v>1.0495943153803831</v>
      </c>
      <c r="EK94" s="2"/>
      <c r="EL94" s="2">
        <f t="array" ref="EL94:EM94">LINEST($AB94:$AH94,$AB$6:$AH$6,TRUE,FALSE)</f>
        <v>-372.53571428571428</v>
      </c>
      <c r="EM94" s="2">
        <v>18957.142857142859</v>
      </c>
      <c r="EN94" s="58">
        <f t="shared" si="164"/>
        <v>-2.1327973566480463E-2</v>
      </c>
      <c r="EO94" s="2">
        <f t="array" ref="EO94:EP94">LINEST($AH94:$AO94,$AH$6:$AO$6,TRUE,FALSE)</f>
        <v>-609.82142857142878</v>
      </c>
      <c r="EP94" s="2">
        <v>21902.75</v>
      </c>
      <c r="EQ94" s="58">
        <f t="shared" si="165"/>
        <v>-3.9344269849846618E-2</v>
      </c>
      <c r="ES94" s="3">
        <f t="shared" si="166"/>
        <v>2460.8686224491858</v>
      </c>
      <c r="ET94" s="3">
        <f t="shared" si="186"/>
        <v>3608.5765306125572</v>
      </c>
      <c r="EU94" s="3">
        <f t="shared" si="187"/>
        <v>2259.6441326533577</v>
      </c>
      <c r="EV94" s="3">
        <f t="shared" si="188"/>
        <v>784</v>
      </c>
      <c r="EW94" s="3">
        <f t="shared" si="189"/>
        <v>251538.0727040811</v>
      </c>
      <c r="EX94" s="3">
        <f t="shared" si="190"/>
        <v>17142.290816326804</v>
      </c>
      <c r="EY94" s="3">
        <f t="shared" si="191"/>
        <v>34370.511479592416</v>
      </c>
      <c r="EZ94" s="3">
        <f t="shared" si="167"/>
        <v>40329.246173470434</v>
      </c>
      <c r="FA94" s="3">
        <f t="shared" si="192"/>
        <v>262509.8418367331</v>
      </c>
      <c r="FB94" s="29">
        <f t="shared" si="193"/>
        <v>1735712.1441326593</v>
      </c>
      <c r="FC94" s="3">
        <f t="shared" si="194"/>
        <v>1913479.3673469473</v>
      </c>
      <c r="FD94" s="3">
        <f t="shared" si="195"/>
        <v>3186607.5114795994</v>
      </c>
      <c r="FE94" s="3">
        <f t="shared" si="185"/>
        <v>1803840.8622448903</v>
      </c>
      <c r="FF94" s="3">
        <f>($EP94+$EO94*FF$6-AO94)^2</f>
        <v>1853001.56249999</v>
      </c>
      <c r="FG94" s="29"/>
      <c r="FH94" s="3"/>
      <c r="FI94" s="3"/>
      <c r="FQ94" s="4">
        <f>SQRT(AVERAGE(ES94:FF94))/AVERAGE(AB94:AO94)</f>
        <v>5.419442467603669E-2</v>
      </c>
      <c r="FR94" s="160">
        <v>3.6999999999999998E-2</v>
      </c>
      <c r="FS94" s="161">
        <f t="shared" si="139"/>
        <v>0.68272705580285264</v>
      </c>
      <c r="FV94" s="4">
        <f t="shared" si="168"/>
        <v>1.2089937156986828E-2</v>
      </c>
      <c r="FW94" s="161">
        <f t="shared" si="169"/>
        <v>3.0603963874715041</v>
      </c>
    </row>
    <row r="95" spans="1:179" x14ac:dyDescent="0.3">
      <c r="A95" s="62">
        <f t="shared" si="109"/>
        <v>89</v>
      </c>
      <c r="B95" s="6">
        <v>57498</v>
      </c>
      <c r="C95" s="6" t="s">
        <v>391</v>
      </c>
      <c r="D95" s="6">
        <v>2012</v>
      </c>
      <c r="E95" s="6">
        <v>2011</v>
      </c>
      <c r="F95" s="6" t="s">
        <v>248</v>
      </c>
      <c r="G95" s="17" t="s">
        <v>636</v>
      </c>
      <c r="H95" s="17" t="s">
        <v>642</v>
      </c>
      <c r="I95" s="6" t="s">
        <v>35</v>
      </c>
      <c r="J95" s="17">
        <v>25</v>
      </c>
      <c r="K95" s="6" t="s">
        <v>24</v>
      </c>
      <c r="L95" s="12">
        <v>36.4</v>
      </c>
      <c r="M95" s="12">
        <v>-120.10299999999999</v>
      </c>
      <c r="N95" s="14">
        <v>17.600000000000001</v>
      </c>
      <c r="O95" s="6">
        <v>15</v>
      </c>
      <c r="P95" s="94">
        <f>365.25*5.7</f>
        <v>2081.9250000000002</v>
      </c>
      <c r="Q95" s="15" t="s">
        <v>513</v>
      </c>
      <c r="R95" s="14">
        <v>17.399999999999999</v>
      </c>
      <c r="S95" s="3">
        <f t="shared" si="140"/>
        <v>44.323499999999996</v>
      </c>
      <c r="T95" s="128" t="str">
        <f t="shared" si="141"/>
        <v>M</v>
      </c>
      <c r="U95" s="154">
        <v>1910</v>
      </c>
      <c r="V95" s="154">
        <v>578</v>
      </c>
      <c r="W95" s="156">
        <v>0.63400000000000001</v>
      </c>
      <c r="X95" s="1">
        <f t="shared" si="171"/>
        <v>0.30261780104712044</v>
      </c>
      <c r="Y95" s="59">
        <f t="shared" si="142"/>
        <v>0</v>
      </c>
      <c r="Z95" s="1">
        <f t="shared" si="143"/>
        <v>1</v>
      </c>
      <c r="AA95" s="3">
        <f t="shared" si="170"/>
        <v>28976.525104178934</v>
      </c>
      <c r="AB95" s="6">
        <v>29948</v>
      </c>
      <c r="AC95" s="6">
        <v>28338</v>
      </c>
      <c r="AD95" s="6">
        <v>28299</v>
      </c>
      <c r="AE95" s="6">
        <v>25471</v>
      </c>
      <c r="AF95" s="93">
        <v>29839</v>
      </c>
      <c r="AG95" s="6">
        <v>27708</v>
      </c>
      <c r="AH95" s="6">
        <v>28699</v>
      </c>
      <c r="AI95" s="6">
        <v>26209</v>
      </c>
      <c r="AJ95" s="6">
        <v>24140</v>
      </c>
      <c r="AK95" s="93">
        <v>20947</v>
      </c>
      <c r="AL95" s="6">
        <v>17984</v>
      </c>
      <c r="AM95" s="6">
        <v>18872</v>
      </c>
      <c r="AN95" s="6">
        <v>15412</v>
      </c>
      <c r="AP95" s="23"/>
      <c r="AU95" s="23"/>
      <c r="AY95" s="32">
        <v>13</v>
      </c>
      <c r="AZ95" s="1">
        <f t="shared" si="144"/>
        <v>0.67570012993119011</v>
      </c>
      <c r="BA95" s="24">
        <f t="shared" si="133"/>
        <v>89</v>
      </c>
      <c r="BB95" s="2">
        <f t="shared" si="172"/>
        <v>1.0335262731583008</v>
      </c>
      <c r="BC95" s="2">
        <f t="shared" si="173"/>
        <v>0.98287844755901621</v>
      </c>
      <c r="BD95" s="2">
        <f t="shared" si="174"/>
        <v>0.98645805736539993</v>
      </c>
      <c r="BE95" s="2">
        <f t="shared" si="175"/>
        <v>0.89234018351960165</v>
      </c>
      <c r="BF95" s="20">
        <f t="shared" si="176"/>
        <v>1.0506199378992798</v>
      </c>
      <c r="BG95" s="2">
        <f t="shared" si="177"/>
        <v>0.98049068491063662</v>
      </c>
      <c r="BH95" s="2">
        <f t="shared" si="178"/>
        <v>1.020662071953907</v>
      </c>
      <c r="BI95" s="2">
        <f t="shared" si="179"/>
        <v>0.93679072542544595</v>
      </c>
      <c r="BJ95" s="2">
        <f t="shared" si="180"/>
        <v>0.86717413661348319</v>
      </c>
      <c r="BK95" s="20">
        <f t="shared" si="181"/>
        <v>0.7562542055614706</v>
      </c>
      <c r="BL95" s="2">
        <f t="shared" si="182"/>
        <v>0.65254307210936469</v>
      </c>
      <c r="BM95" s="2">
        <f t="shared" si="183"/>
        <v>0.68820486199055386</v>
      </c>
      <c r="BN95" s="2">
        <f t="shared" si="184"/>
        <v>0.56485337523769841</v>
      </c>
      <c r="BP95" s="23"/>
      <c r="BU95" s="23"/>
      <c r="BY95" s="25">
        <f t="shared" si="134"/>
        <v>89</v>
      </c>
      <c r="BZ95" s="3">
        <f t="shared" si="135"/>
        <v>365598.5970946388</v>
      </c>
      <c r="CA95" s="3">
        <f t="shared" si="196"/>
        <v>321866</v>
      </c>
      <c r="CB95" s="2">
        <f t="shared" si="197"/>
        <v>0.88038083996444283</v>
      </c>
      <c r="CC95" s="85">
        <f t="shared" si="145"/>
        <v>46</v>
      </c>
      <c r="CD95" s="3" t="str">
        <f t="shared" si="136"/>
        <v>Fixed</v>
      </c>
      <c r="CE95" s="69">
        <f t="shared" si="198"/>
        <v>-4.3903520562051893E-2</v>
      </c>
      <c r="CF95" s="2">
        <f t="array" ref="CF95:CG95">LINEST(AB95:AN95,AB$6:AN$6,TRUE,FALSE)</f>
        <v>-1111.4010989010992</v>
      </c>
      <c r="CG95" s="2">
        <v>32538.730769230773</v>
      </c>
      <c r="CH95" s="1">
        <f t="shared" si="146"/>
        <v>0.98850431201192901</v>
      </c>
      <c r="DC95" s="2">
        <f t="shared" si="147"/>
        <v>1.1733333333333333</v>
      </c>
      <c r="DD95">
        <f t="shared" si="137"/>
        <v>1</v>
      </c>
      <c r="DE95">
        <f t="shared" si="148"/>
        <v>14</v>
      </c>
      <c r="DT95">
        <f t="shared" si="149"/>
        <v>198302</v>
      </c>
      <c r="DU95" s="3">
        <f t="shared" si="150"/>
        <v>28976.525104178934</v>
      </c>
      <c r="DV95" s="3">
        <f t="shared" si="151"/>
        <v>28831.642478658039</v>
      </c>
      <c r="DW95" s="3">
        <f t="shared" si="152"/>
        <v>28687.48426626475</v>
      </c>
      <c r="DX95" s="3">
        <f t="shared" si="153"/>
        <v>28544.046844933426</v>
      </c>
      <c r="DY95" s="3">
        <f t="shared" si="154"/>
        <v>28401.326610708762</v>
      </c>
      <c r="DZ95" s="3">
        <f t="shared" si="155"/>
        <v>28259.319977655217</v>
      </c>
      <c r="EA95" s="3">
        <f t="shared" si="156"/>
        <v>28118.023377766938</v>
      </c>
      <c r="EB95" s="2">
        <f t="shared" si="157"/>
        <v>0.99241126493858522</v>
      </c>
      <c r="ED95" s="2" t="str">
        <f t="shared" si="158"/>
        <v xml:space="preserve"> </v>
      </c>
      <c r="EE95" s="58" t="str">
        <f t="shared" si="159"/>
        <v xml:space="preserve"> </v>
      </c>
      <c r="EF95" s="2" t="str">
        <f t="shared" si="160"/>
        <v xml:space="preserve"> </v>
      </c>
      <c r="EG95" s="58" t="str">
        <f t="shared" si="161"/>
        <v xml:space="preserve"> </v>
      </c>
      <c r="EI95" s="2" t="str">
        <f t="shared" si="162"/>
        <v xml:space="preserve"> </v>
      </c>
      <c r="EJ95" s="2" t="str">
        <f t="shared" si="163"/>
        <v xml:space="preserve"> </v>
      </c>
      <c r="EK95" s="2"/>
      <c r="EL95" s="2">
        <f t="array" ref="EL95:EM95">LINEST($AB95:$AH95,$AB$6:$AH$6,TRUE,FALSE)</f>
        <v>-123.82142857142858</v>
      </c>
      <c r="EM95" s="2">
        <v>28824.142857142855</v>
      </c>
      <c r="EN95" s="58">
        <f t="shared" si="164"/>
        <v>-4.3708585894242126E-3</v>
      </c>
      <c r="EO95" s="2">
        <f t="array" ref="EO95:EP95">LINEST($AH95:$AN95,$AH$6:$AN$6,TRUE,FALSE)</f>
        <v>-2167.5357142857142</v>
      </c>
      <c r="EP95" s="2">
        <v>43427.214285714283</v>
      </c>
      <c r="EQ95" s="58">
        <f t="shared" si="165"/>
        <v>-9.9648305891779365E-2</v>
      </c>
      <c r="ES95" s="3">
        <f t="shared" si="166"/>
        <v>1556701.8176020435</v>
      </c>
      <c r="ET95" s="3">
        <f t="shared" si="186"/>
        <v>56882.249999998268</v>
      </c>
      <c r="EU95" s="3">
        <f t="shared" si="187"/>
        <v>23617.103316325731</v>
      </c>
      <c r="EV95" s="3">
        <f t="shared" si="188"/>
        <v>8167347.4489795826</v>
      </c>
      <c r="EW95" s="3">
        <f t="shared" si="189"/>
        <v>2669839.2869897978</v>
      </c>
      <c r="EX95" s="3">
        <f t="shared" si="190"/>
        <v>139288.90306122217</v>
      </c>
      <c r="EY95" s="3">
        <f t="shared" si="191"/>
        <v>549981.15433673782</v>
      </c>
      <c r="EZ95" s="3">
        <f t="shared" si="167"/>
        <v>14901.433673470023</v>
      </c>
      <c r="FA95" s="3">
        <f t="shared" si="192"/>
        <v>48667.511479592751</v>
      </c>
      <c r="FB95" s="29">
        <f t="shared" si="193"/>
        <v>647795.02040816075</v>
      </c>
      <c r="FC95" s="3">
        <f t="shared" si="194"/>
        <v>2561028.6747448947</v>
      </c>
      <c r="FD95" s="3">
        <f t="shared" si="195"/>
        <v>2117648.6173469508</v>
      </c>
      <c r="FE95" s="3">
        <f t="shared" si="185"/>
        <v>26487.562500001186</v>
      </c>
      <c r="FF95" s="3"/>
      <c r="FG95" s="29"/>
      <c r="FH95" s="3"/>
      <c r="FI95" s="3"/>
      <c r="FQ95" s="58">
        <f>SQRT(AVERAGE(ES95:FE95))/AVERAGE(AB95:AN95)</f>
        <v>4.8286042368105075E-2</v>
      </c>
      <c r="FR95" s="216">
        <v>3.5999999999999997E-2</v>
      </c>
      <c r="FS95" s="161">
        <f t="shared" si="139"/>
        <v>0.7455570644112155</v>
      </c>
      <c r="FV95" s="4">
        <f t="shared" si="168"/>
        <v>4.8407228722874181E-2</v>
      </c>
      <c r="FW95" s="161">
        <f t="shared" si="169"/>
        <v>0.74369057989450005</v>
      </c>
    </row>
    <row r="96" spans="1:179" x14ac:dyDescent="0.3">
      <c r="A96" s="62">
        <f t="shared" si="109"/>
        <v>90</v>
      </c>
      <c r="B96" s="6">
        <v>57563</v>
      </c>
      <c r="C96" s="6" t="s">
        <v>522</v>
      </c>
      <c r="D96" s="6">
        <v>2012</v>
      </c>
      <c r="E96" s="6">
        <v>2011</v>
      </c>
      <c r="F96" s="6" t="s">
        <v>248</v>
      </c>
      <c r="G96" s="17" t="s">
        <v>636</v>
      </c>
      <c r="H96" s="17" t="s">
        <v>638</v>
      </c>
      <c r="I96" s="6" t="s">
        <v>36</v>
      </c>
      <c r="J96" s="17">
        <v>0</v>
      </c>
      <c r="K96" s="6" t="s">
        <v>23</v>
      </c>
      <c r="L96" s="12">
        <v>33.026000000000003</v>
      </c>
      <c r="M96" s="12">
        <v>-113.34399999999999</v>
      </c>
      <c r="N96" s="14">
        <v>18.8</v>
      </c>
      <c r="O96" s="6">
        <v>17</v>
      </c>
      <c r="P96" s="94">
        <f>365.25*8</f>
        <v>2922</v>
      </c>
      <c r="Q96" s="15" t="s">
        <v>506</v>
      </c>
      <c r="R96" s="14">
        <v>22.6</v>
      </c>
      <c r="S96" s="3">
        <f t="shared" si="140"/>
        <v>54.682000000000002</v>
      </c>
      <c r="T96" s="128" t="str">
        <f t="shared" si="141"/>
        <v>H</v>
      </c>
      <c r="U96" s="154">
        <v>2117</v>
      </c>
      <c r="V96" s="154">
        <v>566</v>
      </c>
      <c r="W96" s="156">
        <v>0.67800000000000005</v>
      </c>
      <c r="X96" s="1">
        <f t="shared" si="171"/>
        <v>0.26735947094945678</v>
      </c>
      <c r="Y96" s="59">
        <f t="shared" si="142"/>
        <v>3.4940841318625182E-2</v>
      </c>
      <c r="Z96" s="1">
        <f t="shared" si="143"/>
        <v>0.63715848645716688</v>
      </c>
      <c r="AA96" s="3">
        <f t="shared" si="170"/>
        <v>39539.746085873259</v>
      </c>
      <c r="AB96" s="6">
        <v>39252</v>
      </c>
      <c r="AC96" s="6">
        <v>41430</v>
      </c>
      <c r="AD96" s="6">
        <v>41990</v>
      </c>
      <c r="AE96" s="6">
        <v>42004</v>
      </c>
      <c r="AF96" s="93">
        <v>40655</v>
      </c>
      <c r="AG96" s="6">
        <v>38483</v>
      </c>
      <c r="AH96" s="6">
        <v>37780</v>
      </c>
      <c r="AI96" s="6">
        <v>37173</v>
      </c>
      <c r="AJ96" s="6">
        <v>36347</v>
      </c>
      <c r="AK96" s="93">
        <v>40609</v>
      </c>
      <c r="AL96" s="6">
        <v>40233</v>
      </c>
      <c r="AM96" s="6">
        <v>40223</v>
      </c>
      <c r="AN96" s="6">
        <v>37777</v>
      </c>
      <c r="AP96" s="23"/>
      <c r="AU96" s="23"/>
      <c r="AY96" s="32">
        <v>13</v>
      </c>
      <c r="AZ96" s="1">
        <f t="shared" si="144"/>
        <v>0.71968844064610582</v>
      </c>
      <c r="BA96" s="24">
        <f t="shared" si="133"/>
        <v>90</v>
      </c>
      <c r="BB96" s="2">
        <f t="shared" si="172"/>
        <v>0.99272261169183218</v>
      </c>
      <c r="BC96" s="2">
        <f t="shared" si="173"/>
        <v>1.0530717841319255</v>
      </c>
      <c r="BD96" s="2">
        <f t="shared" si="174"/>
        <v>1.0726692651211536</v>
      </c>
      <c r="BE96" s="2">
        <f t="shared" si="175"/>
        <v>1.0784190017041371</v>
      </c>
      <c r="BF96" s="20">
        <f t="shared" si="176"/>
        <v>1.0490296572444573</v>
      </c>
      <c r="BG96" s="2">
        <f t="shared" si="177"/>
        <v>0.99797495161797034</v>
      </c>
      <c r="BH96" s="2">
        <f t="shared" si="178"/>
        <v>0.98466747562427992</v>
      </c>
      <c r="BI96" s="2">
        <f t="shared" si="179"/>
        <v>0.97371569524119694</v>
      </c>
      <c r="BJ96" s="2">
        <f t="shared" si="180"/>
        <v>0.95686363312356548</v>
      </c>
      <c r="BK96" s="20">
        <f t="shared" si="181"/>
        <v>1.0744363487317146</v>
      </c>
      <c r="BL96" s="2">
        <f t="shared" si="182"/>
        <v>1.069837295480903</v>
      </c>
      <c r="BM96" s="2">
        <f t="shared" si="183"/>
        <v>1.0749461156634055</v>
      </c>
      <c r="BN96" s="2">
        <f t="shared" si="184"/>
        <v>1.0146508444421463</v>
      </c>
      <c r="BP96" s="23"/>
      <c r="BU96" s="23"/>
      <c r="BY96" s="25">
        <f t="shared" si="134"/>
        <v>90</v>
      </c>
      <c r="BZ96" s="3">
        <f t="shared" si="135"/>
        <v>498875.40505637554</v>
      </c>
      <c r="CA96" s="3">
        <f t="shared" si="196"/>
        <v>513956</v>
      </c>
      <c r="CB96" s="2">
        <f t="shared" si="197"/>
        <v>1.030229181055579</v>
      </c>
      <c r="CC96" s="85">
        <f t="shared" si="145"/>
        <v>3</v>
      </c>
      <c r="CD96" s="3" t="str">
        <f t="shared" si="136"/>
        <v>Tracker</v>
      </c>
      <c r="CE96" s="69">
        <f t="shared" si="198"/>
        <v>-4.9940416414127288E-3</v>
      </c>
      <c r="CF96" s="2">
        <f t="array" ref="CF96:CG96">LINEST(AB96:AN96,AB$6:AN$6,TRUE,FALSE)</f>
        <v>-197.93406593406598</v>
      </c>
      <c r="CG96" s="2">
        <v>40920.615384615383</v>
      </c>
      <c r="CH96" s="1">
        <f t="shared" si="146"/>
        <v>0.94707031201192893</v>
      </c>
      <c r="DC96" s="2">
        <f t="shared" si="147"/>
        <v>1.1058823529411765</v>
      </c>
      <c r="DD96">
        <f t="shared" si="137"/>
        <v>1</v>
      </c>
      <c r="DE96">
        <f t="shared" si="148"/>
        <v>14</v>
      </c>
      <c r="DT96">
        <f t="shared" si="149"/>
        <v>281594</v>
      </c>
      <c r="DU96" s="3">
        <f t="shared" si="150"/>
        <v>39539.746085873259</v>
      </c>
      <c r="DV96" s="3">
        <f t="shared" si="151"/>
        <v>39342.047355443894</v>
      </c>
      <c r="DW96" s="3">
        <f t="shared" si="152"/>
        <v>39145.337118666677</v>
      </c>
      <c r="DX96" s="3">
        <f t="shared" si="153"/>
        <v>38949.610433073343</v>
      </c>
      <c r="DY96" s="3">
        <f t="shared" si="154"/>
        <v>38754.862380907973</v>
      </c>
      <c r="DZ96" s="3">
        <f t="shared" si="155"/>
        <v>38561.088069003439</v>
      </c>
      <c r="EA96" s="3">
        <f t="shared" si="156"/>
        <v>38368.282628658424</v>
      </c>
      <c r="EB96" s="2">
        <f t="shared" si="157"/>
        <v>1.0327623927802236</v>
      </c>
      <c r="ED96" s="2">
        <f t="shared" si="158"/>
        <v>1.030229181055579</v>
      </c>
      <c r="EE96" s="58">
        <f t="shared" si="159"/>
        <v>-4.9940416414127288E-3</v>
      </c>
      <c r="EF96" s="2" t="str">
        <f t="shared" si="160"/>
        <v xml:space="preserve"> </v>
      </c>
      <c r="EG96" s="58" t="str">
        <f t="shared" si="161"/>
        <v xml:space="preserve"> </v>
      </c>
      <c r="EI96" s="2">
        <f t="shared" si="162"/>
        <v>1.0327623927802236</v>
      </c>
      <c r="EJ96" s="2" t="str">
        <f t="shared" si="163"/>
        <v xml:space="preserve"> </v>
      </c>
      <c r="EK96" s="2"/>
      <c r="EL96" s="2">
        <f t="array" ref="EL96:EM96">LINEST($AB96:$AH96,$AB$6:$AH$6,TRUE,FALSE)</f>
        <v>-415.89285714285711</v>
      </c>
      <c r="EM96" s="2">
        <v>41891.28571428571</v>
      </c>
      <c r="EN96" s="58">
        <f t="shared" si="164"/>
        <v>-1.0338466018452099E-2</v>
      </c>
      <c r="EO96" s="2">
        <f t="array" ref="EO96:EP96">LINEST($AH96:$AN96,$AH$6:$AN$6,TRUE,FALSE)</f>
        <v>356.32142857142856</v>
      </c>
      <c r="EP96" s="2">
        <v>35028.5</v>
      </c>
      <c r="EQ96" s="58">
        <f t="shared" si="165"/>
        <v>9.2331070325976719E-3</v>
      </c>
      <c r="ES96" s="3">
        <f t="shared" si="166"/>
        <v>4943475.7971938681</v>
      </c>
      <c r="ET96" s="3">
        <f t="shared" si="186"/>
        <v>137270.25000000538</v>
      </c>
      <c r="EU96" s="3">
        <f t="shared" si="187"/>
        <v>1812773.72576532</v>
      </c>
      <c r="EV96" s="3">
        <f t="shared" si="188"/>
        <v>3155190.9387755212</v>
      </c>
      <c r="EW96" s="3">
        <f t="shared" si="189"/>
        <v>710950.10331632826</v>
      </c>
      <c r="EX96" s="3">
        <f t="shared" si="190"/>
        <v>833438.5765306009</v>
      </c>
      <c r="EY96" s="3">
        <f t="shared" si="191"/>
        <v>1440085.7155612146</v>
      </c>
      <c r="EZ96" s="3">
        <f t="shared" si="167"/>
        <v>498536.86224489647</v>
      </c>
      <c r="FA96" s="3">
        <f t="shared" si="192"/>
        <v>3566027.5829081554</v>
      </c>
      <c r="FB96" s="29">
        <f t="shared" si="193"/>
        <v>4069441.6530612372</v>
      </c>
      <c r="FC96" s="3">
        <f t="shared" si="194"/>
        <v>1651133.2155612165</v>
      </c>
      <c r="FD96" s="3">
        <f t="shared" si="195"/>
        <v>843904.69897958799</v>
      </c>
      <c r="FE96" s="3">
        <f t="shared" si="185"/>
        <v>3548244.9604591876</v>
      </c>
      <c r="FF96" s="3"/>
      <c r="FG96" s="29"/>
      <c r="FH96" s="3"/>
      <c r="FI96" s="3"/>
      <c r="FQ96" s="4">
        <f>SQRT(AVERAGE(ES96:FE96))/AVERAGE(AB96:AN96)</f>
        <v>3.6594329139763002E-2</v>
      </c>
      <c r="FR96" s="160">
        <v>3.5999999999999997E-2</v>
      </c>
      <c r="FS96" s="161">
        <f t="shared" si="139"/>
        <v>0.98375898250537364</v>
      </c>
      <c r="FV96" s="4">
        <f t="shared" si="168"/>
        <v>3.3919614265646034E-2</v>
      </c>
      <c r="FW96" s="161">
        <f t="shared" si="169"/>
        <v>1.0613328240722653</v>
      </c>
    </row>
    <row r="97" spans="1:179" x14ac:dyDescent="0.3">
      <c r="A97" s="62">
        <f t="shared" si="109"/>
        <v>91</v>
      </c>
      <c r="B97" s="6">
        <v>57982</v>
      </c>
      <c r="C97" s="6" t="s">
        <v>428</v>
      </c>
      <c r="D97" s="6">
        <v>2011</v>
      </c>
      <c r="E97" s="6">
        <v>2010</v>
      </c>
      <c r="F97" s="6" t="s">
        <v>252</v>
      </c>
      <c r="G97" s="17" t="s">
        <v>636</v>
      </c>
      <c r="H97" s="17" t="s">
        <v>638</v>
      </c>
      <c r="I97" s="6" t="s">
        <v>35</v>
      </c>
      <c r="J97" s="17">
        <v>30</v>
      </c>
      <c r="K97" s="6" t="s">
        <v>24</v>
      </c>
      <c r="L97" s="12">
        <v>35.67</v>
      </c>
      <c r="M97" s="12">
        <v>-120.57</v>
      </c>
      <c r="N97" s="14">
        <v>1.3</v>
      </c>
      <c r="O97" s="6">
        <v>1.1000000000000001</v>
      </c>
      <c r="P97" s="94">
        <f>365.25*(5.8+(5.9-5.8)*0.67)</f>
        <v>2142.92175</v>
      </c>
      <c r="Q97" s="15" t="s">
        <v>523</v>
      </c>
      <c r="R97" s="14">
        <v>14.1</v>
      </c>
      <c r="S97" s="3">
        <f t="shared" si="140"/>
        <v>41.476905000000002</v>
      </c>
      <c r="T97" s="128" t="str">
        <f t="shared" si="141"/>
        <v>M</v>
      </c>
      <c r="U97" s="154">
        <v>1893.5</v>
      </c>
      <c r="V97" s="154">
        <v>572</v>
      </c>
      <c r="W97" s="156">
        <v>0.61599999999999999</v>
      </c>
      <c r="X97" s="1">
        <f t="shared" si="171"/>
        <v>0.3020860839714814</v>
      </c>
      <c r="Y97" s="59">
        <f t="shared" si="142"/>
        <v>0</v>
      </c>
      <c r="Z97" s="1">
        <f t="shared" si="143"/>
        <v>1</v>
      </c>
      <c r="AA97" s="3">
        <f t="shared" si="170"/>
        <v>2228.3950119963106</v>
      </c>
      <c r="AB97" s="6">
        <v>2042</v>
      </c>
      <c r="AC97" s="6">
        <v>2060</v>
      </c>
      <c r="AD97" s="6">
        <v>1919</v>
      </c>
      <c r="AE97" s="6">
        <v>0</v>
      </c>
      <c r="AF97" s="93">
        <v>1981</v>
      </c>
      <c r="AG97" s="6">
        <v>1837</v>
      </c>
      <c r="AH97" s="6">
        <v>1759</v>
      </c>
      <c r="AI97" s="6">
        <v>1663</v>
      </c>
      <c r="AJ97" s="6">
        <v>1340</v>
      </c>
      <c r="AK97" s="93">
        <v>1516</v>
      </c>
      <c r="AL97" s="6">
        <v>1719</v>
      </c>
      <c r="AM97" s="6">
        <v>1507</v>
      </c>
      <c r="AN97" s="6">
        <v>1418</v>
      </c>
      <c r="AO97" s="6">
        <v>1046</v>
      </c>
      <c r="AP97" s="23"/>
      <c r="AU97" s="23"/>
      <c r="AY97" s="32">
        <v>14</v>
      </c>
      <c r="AZ97" s="1">
        <f t="shared" si="144"/>
        <v>0.55913698817365276</v>
      </c>
      <c r="BA97" s="24">
        <f t="shared" si="133"/>
        <v>91</v>
      </c>
      <c r="BB97" s="2">
        <f t="shared" si="172"/>
        <v>0.91635459108781236</v>
      </c>
      <c r="BC97" s="2">
        <f t="shared" si="173"/>
        <v>0.92907754130146014</v>
      </c>
      <c r="BD97" s="2">
        <f t="shared" si="174"/>
        <v>0.86983451322510696</v>
      </c>
      <c r="BE97" s="2">
        <f t="shared" si="175"/>
        <v>0</v>
      </c>
      <c r="BF97" s="20">
        <f t="shared" si="176"/>
        <v>0.90698472905530581</v>
      </c>
      <c r="BG97" s="2">
        <f t="shared" si="177"/>
        <v>0.84528191044804879</v>
      </c>
      <c r="BH97" s="2">
        <f t="shared" si="178"/>
        <v>0.81345807999065423</v>
      </c>
      <c r="BI97" s="2">
        <f t="shared" si="179"/>
        <v>0.77292704970243953</v>
      </c>
      <c r="BJ97" s="2">
        <f t="shared" si="180"/>
        <v>0.62593318160330746</v>
      </c>
      <c r="BK97" s="20">
        <f t="shared" si="181"/>
        <v>0.71170382007846267</v>
      </c>
      <c r="BL97" s="2">
        <f t="shared" si="182"/>
        <v>0.81105982863849402</v>
      </c>
      <c r="BM97" s="2">
        <f t="shared" si="183"/>
        <v>0.71460686899197012</v>
      </c>
      <c r="BN97" s="2">
        <f t="shared" si="184"/>
        <v>0.67578272265815709</v>
      </c>
      <c r="BO97" s="2">
        <f>IF(ISNUMBER(AO97),MIN(1.15,AO97/($AA97*(1-$K$3)^(BO$6-1))),"")</f>
        <v>0.50100199722195771</v>
      </c>
      <c r="BP97" s="23"/>
      <c r="BU97" s="23"/>
      <c r="BY97" s="25">
        <f t="shared" si="134"/>
        <v>91</v>
      </c>
      <c r="BZ97" s="3">
        <f t="shared" si="135"/>
        <v>30203.612771659366</v>
      </c>
      <c r="CA97" s="3">
        <f t="shared" si="196"/>
        <v>21807</v>
      </c>
      <c r="CB97" s="2">
        <f t="shared" si="197"/>
        <v>0.7219997211877226</v>
      </c>
      <c r="CC97" s="85">
        <f t="shared" si="145"/>
        <v>83</v>
      </c>
      <c r="CD97" s="3" t="str">
        <f t="shared" si="136"/>
        <v>Fixed</v>
      </c>
      <c r="CE97" s="69">
        <f t="shared" si="198"/>
        <v>-2.1767528324164093E-2</v>
      </c>
      <c r="CF97" s="2">
        <f t="array" ref="CF97:CG97">LINEST(AB97:AO97,AB$6:AO$6,TRUE,FALSE)</f>
        <v>-34.279120879120882</v>
      </c>
      <c r="CG97" s="2">
        <v>1814.7362637362637</v>
      </c>
      <c r="CH97" s="1">
        <f t="shared" si="146"/>
        <v>0.99989069201192893</v>
      </c>
      <c r="DC97" s="2">
        <f t="shared" si="147"/>
        <v>1.1818181818181817</v>
      </c>
      <c r="DD97">
        <f t="shared" si="137"/>
        <v>1</v>
      </c>
      <c r="DE97">
        <f t="shared" si="148"/>
        <v>15</v>
      </c>
      <c r="DT97">
        <f t="shared" si="149"/>
        <v>11598</v>
      </c>
      <c r="DU97" s="3">
        <f t="shared" si="150"/>
        <v>2228.3950119963106</v>
      </c>
      <c r="DV97" s="3">
        <f t="shared" si="151"/>
        <v>2217.253036936329</v>
      </c>
      <c r="DW97" s="3">
        <f t="shared" si="152"/>
        <v>2206.1667717516475</v>
      </c>
      <c r="DX97" s="3">
        <f t="shared" si="153"/>
        <v>2228.3950119963106</v>
      </c>
      <c r="DY97" s="3">
        <f t="shared" si="154"/>
        <v>2184.1602582034247</v>
      </c>
      <c r="DZ97" s="3">
        <f t="shared" si="155"/>
        <v>2173.2394569124076</v>
      </c>
      <c r="EA97" s="3">
        <f t="shared" si="156"/>
        <v>2162.373259627846</v>
      </c>
      <c r="EB97" s="2">
        <f t="shared" si="157"/>
        <v>0.75311772389827902</v>
      </c>
      <c r="ED97" s="2" t="str">
        <f t="shared" si="158"/>
        <v xml:space="preserve"> </v>
      </c>
      <c r="EE97" s="58" t="str">
        <f t="shared" si="159"/>
        <v xml:space="preserve"> </v>
      </c>
      <c r="EF97" s="2" t="str">
        <f t="shared" si="160"/>
        <v xml:space="preserve"> </v>
      </c>
      <c r="EG97" s="58" t="str">
        <f t="shared" si="161"/>
        <v xml:space="preserve"> </v>
      </c>
      <c r="EI97" s="2" t="str">
        <f t="shared" si="162"/>
        <v xml:space="preserve"> </v>
      </c>
      <c r="EJ97" s="2" t="str">
        <f t="shared" si="163"/>
        <v xml:space="preserve"> </v>
      </c>
      <c r="EK97" s="2"/>
      <c r="EL97" s="2">
        <f t="array" ref="EL97:EM97">LINEST($AB97:$AH97,$AB$6:$AH$6,TRUE,FALSE)</f>
        <v>-44.035714285714299</v>
      </c>
      <c r="EM97" s="2">
        <v>1833</v>
      </c>
      <c r="EN97" s="58">
        <f t="shared" si="164"/>
        <v>-2.6577858251422667E-2</v>
      </c>
      <c r="EO97" s="2">
        <f t="array" ref="EO97:EP97">LINEST($AH97:$AO97,$AH$6:$AO$6,TRUE,FALSE)</f>
        <v>-65.61904761904762</v>
      </c>
      <c r="EP97" s="2">
        <v>2185</v>
      </c>
      <c r="EQ97" s="58">
        <f t="shared" si="165"/>
        <v>-4.3862999745352689E-2</v>
      </c>
      <c r="ES97" s="3">
        <f t="shared" si="166"/>
        <v>64027.072704081598</v>
      </c>
      <c r="ET97" s="3">
        <f t="shared" si="186"/>
        <v>99270.005102040872</v>
      </c>
      <c r="EU97" s="3">
        <f t="shared" si="187"/>
        <v>47570.725765306139</v>
      </c>
      <c r="EV97" s="3">
        <f t="shared" si="188"/>
        <v>2745175.5918367347</v>
      </c>
      <c r="EW97" s="3">
        <f t="shared" si="189"/>
        <v>135555.46045918376</v>
      </c>
      <c r="EX97" s="3">
        <f t="shared" si="190"/>
        <v>71938.903061224526</v>
      </c>
      <c r="EY97" s="3">
        <f t="shared" si="191"/>
        <v>54873.0625</v>
      </c>
      <c r="EZ97" s="3">
        <f t="shared" si="167"/>
        <v>8.7165532879819239</v>
      </c>
      <c r="FA97" s="3">
        <f t="shared" si="192"/>
        <v>64733.897959183741</v>
      </c>
      <c r="FB97" s="29">
        <f t="shared" si="193"/>
        <v>164.08390022675849</v>
      </c>
      <c r="FC97" s="3">
        <f t="shared" si="194"/>
        <v>65438.512471655347</v>
      </c>
      <c r="FD97" s="3">
        <f t="shared" si="195"/>
        <v>11974.612244897988</v>
      </c>
      <c r="FE97" s="3">
        <f t="shared" si="185"/>
        <v>7404.1927437641707</v>
      </c>
      <c r="FF97" s="3">
        <f>($EP97+$EO97*FF$6-AO97)^2</f>
        <v>48546.777777777745</v>
      </c>
      <c r="FG97" s="29"/>
      <c r="FH97" s="3"/>
      <c r="FI97" s="3"/>
      <c r="FQ97" s="4">
        <f>SQRT(AVERAGE(ES97:FF97))/AVERAGE(AB97:AO97)</f>
        <v>0.3171541142757428</v>
      </c>
      <c r="FR97" s="160">
        <v>0.03</v>
      </c>
      <c r="FS97" s="161">
        <f t="shared" si="139"/>
        <v>9.4591237034740608E-2</v>
      </c>
      <c r="FV97" s="4">
        <f t="shared" si="168"/>
        <v>0.40924808463656748</v>
      </c>
      <c r="FW97" s="161">
        <f t="shared" si="169"/>
        <v>7.330516898238261E-2</v>
      </c>
    </row>
    <row r="98" spans="1:179" x14ac:dyDescent="0.3">
      <c r="A98" s="62">
        <f t="shared" si="109"/>
        <v>92</v>
      </c>
      <c r="B98" s="6">
        <v>57879</v>
      </c>
      <c r="C98" s="6" t="s">
        <v>440</v>
      </c>
      <c r="D98" s="6">
        <v>2012</v>
      </c>
      <c r="E98" s="6">
        <v>2011</v>
      </c>
      <c r="F98" s="6" t="s">
        <v>248</v>
      </c>
      <c r="G98" s="17" t="s">
        <v>636</v>
      </c>
      <c r="H98" s="17" t="s">
        <v>638</v>
      </c>
      <c r="I98" s="6" t="s">
        <v>35</v>
      </c>
      <c r="J98" s="17">
        <v>30</v>
      </c>
      <c r="K98" s="6" t="s">
        <v>389</v>
      </c>
      <c r="L98" s="12">
        <v>38.373600000000003</v>
      </c>
      <c r="M98" s="12">
        <v>-75.534999999999997</v>
      </c>
      <c r="N98" s="14">
        <v>1.2</v>
      </c>
      <c r="O98" s="6">
        <v>1</v>
      </c>
      <c r="P98" s="94">
        <f>365.25*4.6</f>
        <v>1680.1499999999999</v>
      </c>
      <c r="Q98" s="15" t="s">
        <v>524</v>
      </c>
      <c r="R98" s="14">
        <v>12.8</v>
      </c>
      <c r="S98" s="3">
        <f t="shared" si="140"/>
        <v>36.736999999999995</v>
      </c>
      <c r="T98" s="128" t="str">
        <f t="shared" si="141"/>
        <v>C</v>
      </c>
      <c r="U98" s="154">
        <v>1482</v>
      </c>
      <c r="V98" s="154">
        <v>646</v>
      </c>
      <c r="W98" s="156">
        <v>0.50600000000000001</v>
      </c>
      <c r="X98" s="1">
        <f t="shared" si="171"/>
        <v>0.4358974358974359</v>
      </c>
      <c r="Y98" s="59">
        <f t="shared" si="142"/>
        <v>0</v>
      </c>
      <c r="Z98" s="1">
        <f t="shared" si="143"/>
        <v>1</v>
      </c>
      <c r="AA98" s="3">
        <f t="shared" si="170"/>
        <v>1643.3484976577688</v>
      </c>
      <c r="AB98" s="6">
        <v>1713</v>
      </c>
      <c r="AC98" s="6">
        <v>1609</v>
      </c>
      <c r="AD98" s="6">
        <v>1606</v>
      </c>
      <c r="AE98" s="6">
        <v>1476</v>
      </c>
      <c r="AF98" s="93">
        <v>1674</v>
      </c>
      <c r="AG98" s="6">
        <v>1647</v>
      </c>
      <c r="AH98" s="6">
        <v>1229</v>
      </c>
      <c r="AI98" s="6">
        <v>1606</v>
      </c>
      <c r="AJ98" s="6">
        <v>0</v>
      </c>
      <c r="AK98" s="93">
        <v>0</v>
      </c>
      <c r="AL98" s="6">
        <v>1551</v>
      </c>
      <c r="AM98" s="6">
        <v>1512</v>
      </c>
      <c r="AN98" s="6">
        <v>1446</v>
      </c>
      <c r="AP98" s="23"/>
      <c r="AU98" s="23"/>
      <c r="AY98" s="32">
        <v>13</v>
      </c>
      <c r="AZ98" s="1">
        <f t="shared" si="144"/>
        <v>0.65123153686674806</v>
      </c>
      <c r="BA98" s="24">
        <f t="shared" si="133"/>
        <v>92</v>
      </c>
      <c r="BB98" s="2">
        <f t="shared" si="172"/>
        <v>1.0423838902347884</v>
      </c>
      <c r="BC98" s="2">
        <f t="shared" si="173"/>
        <v>0.98401856297704193</v>
      </c>
      <c r="BD98" s="2">
        <f t="shared" si="174"/>
        <v>0.98711944566907206</v>
      </c>
      <c r="BE98" s="2">
        <f t="shared" si="175"/>
        <v>0.91177450252980363</v>
      </c>
      <c r="BF98" s="20">
        <f t="shared" si="176"/>
        <v>1.0392821269183936</v>
      </c>
      <c r="BG98" s="2">
        <f t="shared" si="177"/>
        <v>1.0276578009729618</v>
      </c>
      <c r="BH98" s="2">
        <f t="shared" si="178"/>
        <v>0.77069710263263491</v>
      </c>
      <c r="BI98" s="2">
        <f t="shared" si="179"/>
        <v>1.0121719638289182</v>
      </c>
      <c r="BJ98" s="2">
        <f t="shared" si="180"/>
        <v>0</v>
      </c>
      <c r="BK98" s="20">
        <f t="shared" si="181"/>
        <v>0</v>
      </c>
      <c r="BL98" s="2">
        <f t="shared" si="182"/>
        <v>0.99231902591173049</v>
      </c>
      <c r="BM98" s="2">
        <f t="shared" si="183"/>
        <v>0.97222823801699443</v>
      </c>
      <c r="BN98" s="2">
        <f t="shared" si="184"/>
        <v>0.93446201388727623</v>
      </c>
      <c r="BP98" s="23"/>
      <c r="BU98" s="23"/>
      <c r="BY98" s="25">
        <f t="shared" si="134"/>
        <v>92</v>
      </c>
      <c r="BZ98" s="3">
        <f t="shared" si="135"/>
        <v>20734.228936050571</v>
      </c>
      <c r="CA98" s="3">
        <f t="shared" si="196"/>
        <v>17069</v>
      </c>
      <c r="CB98" s="2">
        <f t="shared" si="197"/>
        <v>0.82322810520926371</v>
      </c>
      <c r="CC98" s="85">
        <f t="shared" si="145"/>
        <v>61</v>
      </c>
      <c r="CD98" s="3" t="str">
        <f t="shared" si="136"/>
        <v>Fixed</v>
      </c>
      <c r="CE98" s="69">
        <f t="shared" si="198"/>
        <v>-4.1487042470536181E-2</v>
      </c>
      <c r="CF98" s="2">
        <f t="array" ref="CF98:CG98">LINEST(AB98:AN98,AB$6:AN$6,TRUE,FALSE)</f>
        <v>-55.626373626373642</v>
      </c>
      <c r="CG98" s="2">
        <v>1702.3846153846155</v>
      </c>
      <c r="CH98" s="1">
        <f t="shared" si="146"/>
        <v>1.018850312011929</v>
      </c>
      <c r="DC98" s="2">
        <f t="shared" si="147"/>
        <v>1.2</v>
      </c>
      <c r="DD98">
        <f t="shared" si="137"/>
        <v>1</v>
      </c>
      <c r="DE98">
        <f t="shared" si="148"/>
        <v>14</v>
      </c>
      <c r="DT98">
        <f t="shared" si="149"/>
        <v>10954</v>
      </c>
      <c r="DU98" s="3">
        <f t="shared" si="150"/>
        <v>1643.3484976577688</v>
      </c>
      <c r="DV98" s="3">
        <f t="shared" si="151"/>
        <v>1635.1317551694799</v>
      </c>
      <c r="DW98" s="3">
        <f t="shared" si="152"/>
        <v>1626.9560963936326</v>
      </c>
      <c r="DX98" s="3">
        <f t="shared" si="153"/>
        <v>1618.8213159116644</v>
      </c>
      <c r="DY98" s="3">
        <f t="shared" si="154"/>
        <v>1610.7272093321062</v>
      </c>
      <c r="DZ98" s="3">
        <f t="shared" si="155"/>
        <v>1602.6735732854456</v>
      </c>
      <c r="EA98" s="3">
        <f t="shared" si="156"/>
        <v>1594.6602054190184</v>
      </c>
      <c r="EB98" s="2">
        <f t="shared" si="157"/>
        <v>0.96661595347362406</v>
      </c>
      <c r="ED98" s="2" t="str">
        <f t="shared" si="158"/>
        <v xml:space="preserve"> </v>
      </c>
      <c r="EE98" s="58" t="str">
        <f t="shared" si="159"/>
        <v xml:space="preserve"> </v>
      </c>
      <c r="EF98" s="2">
        <f t="shared" si="160"/>
        <v>0.82322810520926371</v>
      </c>
      <c r="EG98" s="58">
        <f t="shared" si="161"/>
        <v>-4.1487042470536181E-2</v>
      </c>
      <c r="EI98" s="2" t="str">
        <f t="shared" si="162"/>
        <v xml:space="preserve"> </v>
      </c>
      <c r="EJ98" s="2">
        <f t="shared" si="163"/>
        <v>0.96661595347362406</v>
      </c>
      <c r="EK98" s="2"/>
      <c r="EL98" s="2">
        <f t="array" ref="EL98:EM98">LINEST($AB98:$AH98,$AB$6:$AH$6,TRUE,FALSE)</f>
        <v>-46.714285714285722</v>
      </c>
      <c r="EM98" s="2">
        <v>1751.7142857142858</v>
      </c>
      <c r="EN98" s="58">
        <f t="shared" si="164"/>
        <v>-2.985210881869637E-2</v>
      </c>
      <c r="EO98" s="2">
        <f t="array" ref="EO98:EP98">LINEST($AH98:$AN98,$AH$6:$AN$6,TRUE,FALSE)</f>
        <v>71.928571428571402</v>
      </c>
      <c r="EP98" s="2">
        <v>329.85714285714312</v>
      </c>
      <c r="EQ98" s="58">
        <f t="shared" si="165"/>
        <v>6.8559368191721107E-2</v>
      </c>
      <c r="ES98" s="3">
        <f t="shared" si="166"/>
        <v>64</v>
      </c>
      <c r="ET98" s="3">
        <f t="shared" si="186"/>
        <v>2429.0816326530548</v>
      </c>
      <c r="EU98" s="3">
        <f t="shared" si="187"/>
        <v>31.040816326531697</v>
      </c>
      <c r="EV98" s="3">
        <f t="shared" si="188"/>
        <v>7895.5918367346994</v>
      </c>
      <c r="EW98" s="3">
        <f t="shared" si="189"/>
        <v>24291.448979591845</v>
      </c>
      <c r="EX98" s="3">
        <f t="shared" si="190"/>
        <v>30825.326530612198</v>
      </c>
      <c r="EY98" s="3">
        <f t="shared" si="191"/>
        <v>38304.081632653084</v>
      </c>
      <c r="EZ98" s="3">
        <f t="shared" si="167"/>
        <v>491000.51020408154</v>
      </c>
      <c r="FA98" s="3">
        <f t="shared" si="192"/>
        <v>954947.76020408177</v>
      </c>
      <c r="FB98" s="29">
        <f t="shared" si="193"/>
        <v>1100700.7346938774</v>
      </c>
      <c r="FC98" s="3">
        <f t="shared" si="194"/>
        <v>184838.57653061236</v>
      </c>
      <c r="FD98" s="3">
        <f t="shared" si="195"/>
        <v>101761</v>
      </c>
      <c r="FE98" s="3">
        <f t="shared" si="185"/>
        <v>32786.862244897995</v>
      </c>
      <c r="FF98" s="3"/>
      <c r="FG98" s="29"/>
      <c r="FH98" s="3"/>
      <c r="FI98" s="3"/>
      <c r="FQ98" s="4">
        <f t="shared" ref="FQ98:FQ106" si="199">SQRT(AVERAGE(ES98:FE98))/AVERAGE(AB98:AN98)</f>
        <v>0.36402629646324769</v>
      </c>
      <c r="FR98" s="160">
        <v>0.03</v>
      </c>
      <c r="FS98" s="161">
        <f t="shared" si="139"/>
        <v>8.2411628751739963E-2</v>
      </c>
      <c r="FV98" s="4">
        <f t="shared" si="168"/>
        <v>7.7832291710227569E-2</v>
      </c>
      <c r="FW98" s="161">
        <f t="shared" si="169"/>
        <v>0.38544413046054304</v>
      </c>
    </row>
    <row r="99" spans="1:179" x14ac:dyDescent="0.3">
      <c r="A99" s="62">
        <f t="shared" si="109"/>
        <v>93</v>
      </c>
      <c r="B99" s="6">
        <v>57671</v>
      </c>
      <c r="C99" s="6" t="s">
        <v>450</v>
      </c>
      <c r="D99" s="6">
        <v>2012</v>
      </c>
      <c r="E99" s="6">
        <v>2011</v>
      </c>
      <c r="F99" s="6" t="s">
        <v>252</v>
      </c>
      <c r="G99" s="17" t="s">
        <v>634</v>
      </c>
      <c r="H99" s="17" t="s">
        <v>644</v>
      </c>
      <c r="I99" s="6" t="s">
        <v>35</v>
      </c>
      <c r="J99" s="17">
        <v>20</v>
      </c>
      <c r="K99" s="6" t="s">
        <v>24</v>
      </c>
      <c r="L99" s="12">
        <v>38.238</v>
      </c>
      <c r="M99" s="12">
        <v>-121.337</v>
      </c>
      <c r="N99" s="14">
        <v>3.7</v>
      </c>
      <c r="O99" s="6">
        <v>2.9</v>
      </c>
      <c r="P99" s="94">
        <f>365.25*5.5*0.98</f>
        <v>1968.6975</v>
      </c>
      <c r="Q99" s="15" t="s">
        <v>507</v>
      </c>
      <c r="R99" s="14">
        <v>16</v>
      </c>
      <c r="S99" s="3">
        <f t="shared" si="140"/>
        <v>42.081850000000003</v>
      </c>
      <c r="T99" s="128" t="str">
        <f t="shared" si="141"/>
        <v>M</v>
      </c>
      <c r="U99" s="154">
        <v>1793</v>
      </c>
      <c r="V99" s="154">
        <v>572</v>
      </c>
      <c r="W99" s="156">
        <v>0.60799999999999998</v>
      </c>
      <c r="X99" s="1">
        <f t="shared" si="171"/>
        <v>0.31901840490797545</v>
      </c>
      <c r="Y99" s="59">
        <f t="shared" si="142"/>
        <v>0</v>
      </c>
      <c r="Z99" s="1">
        <f t="shared" si="143"/>
        <v>1</v>
      </c>
      <c r="AA99" s="3">
        <f t="shared" si="170"/>
        <v>5818.1334329811189</v>
      </c>
      <c r="AB99" s="6">
        <v>5868</v>
      </c>
      <c r="AC99" s="6">
        <v>6423</v>
      </c>
      <c r="AD99" s="6">
        <v>5847</v>
      </c>
      <c r="AE99" s="6">
        <v>5676</v>
      </c>
      <c r="AF99" s="93">
        <v>5458</v>
      </c>
      <c r="AG99" s="6">
        <v>5290</v>
      </c>
      <c r="AH99" s="6">
        <v>5513</v>
      </c>
      <c r="AI99" s="6">
        <v>5504</v>
      </c>
      <c r="AJ99" s="6">
        <v>5500</v>
      </c>
      <c r="AK99" s="93">
        <v>5502</v>
      </c>
      <c r="AL99" s="6">
        <v>5422</v>
      </c>
      <c r="AM99" s="6">
        <v>4091</v>
      </c>
      <c r="AN99" s="6">
        <v>4963</v>
      </c>
      <c r="AP99" s="23"/>
      <c r="AU99" s="23"/>
      <c r="AY99" s="32">
        <v>13</v>
      </c>
      <c r="AZ99" s="1">
        <f t="shared" si="144"/>
        <v>0.75038268056748558</v>
      </c>
      <c r="BA99" s="24">
        <f t="shared" si="133"/>
        <v>93</v>
      </c>
      <c r="BB99" s="2">
        <f t="shared" si="172"/>
        <v>1.0085708874836392</v>
      </c>
      <c r="BC99" s="2">
        <f t="shared" si="173"/>
        <v>1.109509855053628</v>
      </c>
      <c r="BD99" s="2">
        <f t="shared" si="174"/>
        <v>1.0150869750431375</v>
      </c>
      <c r="BE99" s="2">
        <f t="shared" si="175"/>
        <v>0.99035173650789421</v>
      </c>
      <c r="BF99" s="20">
        <f t="shared" si="176"/>
        <v>0.95710047380313934</v>
      </c>
      <c r="BG99" s="2">
        <f t="shared" si="177"/>
        <v>0.93230194696800361</v>
      </c>
      <c r="BH99" s="2">
        <f t="shared" si="178"/>
        <v>0.97648557221544474</v>
      </c>
      <c r="BI99" s="2">
        <f t="shared" si="179"/>
        <v>0.97979040668129469</v>
      </c>
      <c r="BJ99" s="2">
        <f t="shared" si="180"/>
        <v>0.98399834140672859</v>
      </c>
      <c r="BK99" s="20">
        <f t="shared" si="181"/>
        <v>0.98930267234715785</v>
      </c>
      <c r="BL99" s="2">
        <f t="shared" si="182"/>
        <v>0.97981713172666118</v>
      </c>
      <c r="BM99" s="2">
        <f t="shared" si="183"/>
        <v>0.74300530425898781</v>
      </c>
      <c r="BN99" s="2">
        <f t="shared" si="184"/>
        <v>0.90590702842920456</v>
      </c>
      <c r="BP99" s="23"/>
      <c r="BU99" s="23"/>
      <c r="BY99" s="25">
        <f t="shared" si="134"/>
        <v>93</v>
      </c>
      <c r="BZ99" s="3">
        <f t="shared" si="135"/>
        <v>73407.746897178702</v>
      </c>
      <c r="CA99" s="3">
        <f t="shared" si="196"/>
        <v>71057</v>
      </c>
      <c r="CB99" s="2">
        <f t="shared" si="197"/>
        <v>0.96797685535191047</v>
      </c>
      <c r="CC99" s="85">
        <f t="shared" si="145"/>
        <v>19</v>
      </c>
      <c r="CD99" s="3" t="str">
        <f t="shared" si="136"/>
        <v>Fixed</v>
      </c>
      <c r="CE99" s="69">
        <f t="shared" si="198"/>
        <v>-1.8932495606414385E-2</v>
      </c>
      <c r="CF99" s="2">
        <f t="array" ref="CF99:CG99">LINEST(AB99:AN99,AB$6:AN$6,TRUE,FALSE)</f>
        <v>-104.47252747252747</v>
      </c>
      <c r="CG99" s="2">
        <v>6197.2307692307695</v>
      </c>
      <c r="CH99" s="1">
        <f t="shared" si="146"/>
        <v>0.99841932000745559</v>
      </c>
      <c r="DC99" s="2">
        <f t="shared" si="147"/>
        <v>1.2758620689655173</v>
      </c>
      <c r="DD99">
        <f t="shared" si="137"/>
        <v>1</v>
      </c>
      <c r="DE99">
        <f t="shared" si="148"/>
        <v>14</v>
      </c>
      <c r="DT99">
        <f t="shared" si="149"/>
        <v>40075</v>
      </c>
      <c r="DU99" s="3">
        <f t="shared" si="150"/>
        <v>5818.1334329811189</v>
      </c>
      <c r="DV99" s="3">
        <f t="shared" si="151"/>
        <v>5789.0427658162125</v>
      </c>
      <c r="DW99" s="3">
        <f t="shared" si="152"/>
        <v>5760.0975519871326</v>
      </c>
      <c r="DX99" s="3">
        <f t="shared" si="153"/>
        <v>5731.2970642271966</v>
      </c>
      <c r="DY99" s="3">
        <f t="shared" si="154"/>
        <v>5702.6405789060609</v>
      </c>
      <c r="DZ99" s="3">
        <f t="shared" si="155"/>
        <v>5674.1273760115309</v>
      </c>
      <c r="EA99" s="3">
        <f t="shared" si="156"/>
        <v>5645.7567391314733</v>
      </c>
      <c r="EB99" s="2">
        <f t="shared" si="157"/>
        <v>0.99885109046809761</v>
      </c>
      <c r="ED99" s="2" t="str">
        <f t="shared" si="158"/>
        <v xml:space="preserve"> </v>
      </c>
      <c r="EE99" s="58" t="str">
        <f t="shared" si="159"/>
        <v xml:space="preserve"> </v>
      </c>
      <c r="EF99" s="2" t="str">
        <f t="shared" si="160"/>
        <v xml:space="preserve"> </v>
      </c>
      <c r="EG99" s="58" t="str">
        <f t="shared" si="161"/>
        <v xml:space="preserve"> </v>
      </c>
      <c r="EI99" s="2" t="str">
        <f t="shared" si="162"/>
        <v xml:space="preserve"> </v>
      </c>
      <c r="EJ99" s="2" t="str">
        <f t="shared" si="163"/>
        <v xml:space="preserve"> </v>
      </c>
      <c r="EK99" s="2"/>
      <c r="EL99" s="2">
        <f t="array" ref="EL99:EM99">LINEST($AB99:$AH99,$AB$6:$AH$6,TRUE,FALSE)</f>
        <v>-132.85714285714286</v>
      </c>
      <c r="EM99" s="2">
        <v>6256.4285714285716</v>
      </c>
      <c r="EN99" s="58">
        <f t="shared" si="164"/>
        <v>-2.3206487835308796E-2</v>
      </c>
      <c r="EO99" s="2">
        <f t="array" ref="EO99:EP99">LINEST($AH99:$AN99,$AH$6:$AN$6,TRUE,FALSE)</f>
        <v>-162.64285714285711</v>
      </c>
      <c r="EP99" s="2">
        <v>6840</v>
      </c>
      <c r="EQ99" s="58">
        <f t="shared" si="165"/>
        <v>-3.1196054254007389E-2</v>
      </c>
      <c r="ES99" s="3">
        <f t="shared" si="166"/>
        <v>65316.755102040748</v>
      </c>
      <c r="ET99" s="3">
        <f t="shared" si="186"/>
        <v>186870.93877550974</v>
      </c>
      <c r="EU99" s="3">
        <f t="shared" si="187"/>
        <v>117.8775510204138</v>
      </c>
      <c r="EV99" s="3">
        <f t="shared" si="188"/>
        <v>2401</v>
      </c>
      <c r="EW99" s="3">
        <f t="shared" si="189"/>
        <v>17994.30612244891</v>
      </c>
      <c r="EX99" s="3">
        <f t="shared" si="190"/>
        <v>28657.653061224621</v>
      </c>
      <c r="EY99" s="3">
        <f t="shared" si="191"/>
        <v>34808.897959183625</v>
      </c>
      <c r="EZ99" s="3">
        <f t="shared" si="167"/>
        <v>1215.0204081632835</v>
      </c>
      <c r="FA99" s="3">
        <f t="shared" si="192"/>
        <v>15322.90306122436</v>
      </c>
      <c r="FB99" s="29">
        <f t="shared" si="193"/>
        <v>83191.040816326087</v>
      </c>
      <c r="FC99" s="3">
        <f t="shared" si="194"/>
        <v>137694.00510204071</v>
      </c>
      <c r="FD99" s="3">
        <f t="shared" si="195"/>
        <v>635664.51020408224</v>
      </c>
      <c r="FE99" s="3">
        <f t="shared" si="185"/>
        <v>56338.413265305811</v>
      </c>
      <c r="FF99" s="3"/>
      <c r="FG99" s="29"/>
      <c r="FH99" s="3"/>
      <c r="FI99" s="3"/>
      <c r="FQ99" s="4">
        <f t="shared" si="199"/>
        <v>5.7083671147200254E-2</v>
      </c>
      <c r="FR99" s="160">
        <v>0.03</v>
      </c>
      <c r="FS99" s="161">
        <f t="shared" si="139"/>
        <v>0.52554433513289189</v>
      </c>
      <c r="FV99" s="4">
        <f t="shared" si="168"/>
        <v>3.827835845577026E-2</v>
      </c>
      <c r="FW99" s="161">
        <f t="shared" si="169"/>
        <v>0.78373266802086849</v>
      </c>
    </row>
    <row r="100" spans="1:179" x14ac:dyDescent="0.3">
      <c r="A100" s="62">
        <f t="shared" si="109"/>
        <v>94</v>
      </c>
      <c r="B100" s="6">
        <v>57739</v>
      </c>
      <c r="C100" s="6" t="s">
        <v>525</v>
      </c>
      <c r="D100" s="6">
        <v>2012</v>
      </c>
      <c r="E100" s="6">
        <v>2011</v>
      </c>
      <c r="F100" s="6" t="s">
        <v>252</v>
      </c>
      <c r="G100" s="17" t="s">
        <v>636</v>
      </c>
      <c r="H100" s="17" t="s">
        <v>625</v>
      </c>
      <c r="I100" s="6" t="s">
        <v>36</v>
      </c>
      <c r="J100" s="17">
        <v>0</v>
      </c>
      <c r="K100" s="6" t="s">
        <v>144</v>
      </c>
      <c r="L100" s="12">
        <v>32.682000000000002</v>
      </c>
      <c r="M100" s="12">
        <v>-103.3</v>
      </c>
      <c r="N100" s="14">
        <v>10.8</v>
      </c>
      <c r="O100" s="6">
        <v>10.1</v>
      </c>
      <c r="P100" s="94">
        <f>365.25*7.3</f>
        <v>2666.3249999999998</v>
      </c>
      <c r="Q100" s="15" t="s">
        <v>526</v>
      </c>
      <c r="R100" s="14">
        <v>17.399999999999999</v>
      </c>
      <c r="S100" s="3">
        <f t="shared" si="140"/>
        <v>47.676524999999998</v>
      </c>
      <c r="T100" s="128" t="str">
        <f t="shared" si="141"/>
        <v>M</v>
      </c>
      <c r="U100" s="154">
        <v>1955.5</v>
      </c>
      <c r="V100" s="154">
        <v>618</v>
      </c>
      <c r="W100" s="156">
        <v>0.61799999999999999</v>
      </c>
      <c r="X100" s="1">
        <f t="shared" si="171"/>
        <v>0.31603170544617742</v>
      </c>
      <c r="Y100" s="59">
        <f t="shared" si="142"/>
        <v>1.5016054969514747E-2</v>
      </c>
      <c r="Z100" s="1">
        <f t="shared" si="143"/>
        <v>0.82389918150012564</v>
      </c>
      <c r="AA100" s="3">
        <f t="shared" si="170"/>
        <v>21340.083787917738</v>
      </c>
      <c r="AB100" s="6">
        <v>24234</v>
      </c>
      <c r="AC100" s="6">
        <v>24312</v>
      </c>
      <c r="AD100" s="6">
        <v>23198</v>
      </c>
      <c r="AE100" s="6">
        <v>22368</v>
      </c>
      <c r="AF100" s="93">
        <v>12616</v>
      </c>
      <c r="AG100" s="6">
        <v>16493</v>
      </c>
      <c r="AH100" s="6">
        <v>20382</v>
      </c>
      <c r="AI100" s="6">
        <v>20615</v>
      </c>
      <c r="AJ100" s="6">
        <v>22474</v>
      </c>
      <c r="AK100" s="93">
        <v>21989</v>
      </c>
      <c r="AL100" s="6">
        <v>22266</v>
      </c>
      <c r="AM100" s="6">
        <v>22319</v>
      </c>
      <c r="AN100" s="6">
        <v>22858</v>
      </c>
      <c r="AP100" s="23"/>
      <c r="AU100" s="23"/>
      <c r="AY100" s="32">
        <v>13</v>
      </c>
      <c r="AZ100" s="1">
        <f t="shared" si="144"/>
        <v>0.73760518942557896</v>
      </c>
      <c r="BA100" s="24">
        <f t="shared" si="133"/>
        <v>94</v>
      </c>
      <c r="BB100" s="2">
        <f t="shared" si="172"/>
        <v>1.1356094118862237</v>
      </c>
      <c r="BC100" s="2">
        <f t="shared" si="173"/>
        <v>1.1449894525768178</v>
      </c>
      <c r="BD100" s="2">
        <f t="shared" si="174"/>
        <v>1.0980149728933009</v>
      </c>
      <c r="BE100" s="2">
        <f t="shared" si="175"/>
        <v>1.0640494009697314</v>
      </c>
      <c r="BF100" s="20">
        <f t="shared" si="176"/>
        <v>0.60316097847221317</v>
      </c>
      <c r="BG100" s="2">
        <f t="shared" si="177"/>
        <v>0.79247967946439646</v>
      </c>
      <c r="BH100" s="2">
        <f t="shared" si="178"/>
        <v>0.98426534094368823</v>
      </c>
      <c r="BI100" s="2">
        <f t="shared" si="179"/>
        <v>1.0005197217346735</v>
      </c>
      <c r="BJ100" s="2">
        <f t="shared" si="180"/>
        <v>1.0962247680929533</v>
      </c>
      <c r="BK100" s="20">
        <f t="shared" si="181"/>
        <v>1.0779574845660156</v>
      </c>
      <c r="BL100" s="2">
        <f t="shared" si="182"/>
        <v>1.09702184812584</v>
      </c>
      <c r="BM100" s="2">
        <f t="shared" si="183"/>
        <v>1.1051588955430447</v>
      </c>
      <c r="BN100" s="2">
        <f t="shared" si="184"/>
        <v>1.1375359720923228</v>
      </c>
      <c r="BP100" s="23"/>
      <c r="BU100" s="23"/>
      <c r="BY100" s="25">
        <f t="shared" si="134"/>
        <v>94</v>
      </c>
      <c r="BZ100" s="3">
        <f t="shared" si="135"/>
        <v>269249.14794630074</v>
      </c>
      <c r="CA100" s="3">
        <f t="shared" si="196"/>
        <v>276124</v>
      </c>
      <c r="CB100" s="2">
        <f t="shared" si="197"/>
        <v>1.0255334217624725</v>
      </c>
      <c r="CC100" s="85">
        <f t="shared" si="145"/>
        <v>5</v>
      </c>
      <c r="CD100" s="3" t="str">
        <f t="shared" si="136"/>
        <v>Tracker</v>
      </c>
      <c r="CE100" s="69">
        <f t="shared" si="198"/>
        <v>1.9454850259742755E-4</v>
      </c>
      <c r="CF100" s="2">
        <f t="array" ref="CF100:CG100">LINEST(AB100:AN100,AB$6:AN$6,TRUE,FALSE)</f>
        <v>4.1318681318680905</v>
      </c>
      <c r="CG100" s="2">
        <v>21211.384615384613</v>
      </c>
      <c r="CH100" s="1">
        <f t="shared" si="146"/>
        <v>0.97509221201192897</v>
      </c>
      <c r="DC100" s="2">
        <f t="shared" si="147"/>
        <v>1.0693069306930694</v>
      </c>
      <c r="DD100">
        <f t="shared" si="137"/>
        <v>1</v>
      </c>
      <c r="DE100">
        <f t="shared" si="148"/>
        <v>14</v>
      </c>
      <c r="DT100">
        <f t="shared" si="149"/>
        <v>143603</v>
      </c>
      <c r="DU100" s="3">
        <f t="shared" si="150"/>
        <v>21340.083787917738</v>
      </c>
      <c r="DV100" s="3">
        <f t="shared" si="151"/>
        <v>21233.38336897815</v>
      </c>
      <c r="DW100" s="3">
        <f t="shared" si="152"/>
        <v>21127.21645213326</v>
      </c>
      <c r="DX100" s="3">
        <f t="shared" si="153"/>
        <v>21021.580369872594</v>
      </c>
      <c r="DY100" s="3">
        <f t="shared" si="154"/>
        <v>20916.472468023232</v>
      </c>
      <c r="DZ100" s="3">
        <f t="shared" si="155"/>
        <v>20811.890105683116</v>
      </c>
      <c r="EA100" s="3">
        <f t="shared" si="156"/>
        <v>20707.830655154699</v>
      </c>
      <c r="EB100" s="2">
        <f t="shared" si="157"/>
        <v>0.97583926010624655</v>
      </c>
      <c r="ED100" s="2" t="str">
        <f t="shared" si="158"/>
        <v xml:space="preserve"> </v>
      </c>
      <c r="EE100" s="58" t="str">
        <f t="shared" si="159"/>
        <v xml:space="preserve"> </v>
      </c>
      <c r="EF100" s="2" t="str">
        <f t="shared" si="160"/>
        <v xml:space="preserve"> </v>
      </c>
      <c r="EG100" s="58" t="str">
        <f t="shared" si="161"/>
        <v xml:space="preserve"> </v>
      </c>
      <c r="EI100" s="2" t="str">
        <f t="shared" si="162"/>
        <v xml:space="preserve"> </v>
      </c>
      <c r="EJ100" s="2" t="str">
        <f t="shared" si="163"/>
        <v xml:space="preserve"> </v>
      </c>
      <c r="EK100" s="2"/>
      <c r="EL100" s="2">
        <f t="array" ref="EL100:EM100">LINEST($AB100:$AH100,$AB$6:$AH$6,TRUE,FALSE)</f>
        <v>-1349.1428571428569</v>
      </c>
      <c r="EM100" s="2">
        <v>25911.285714285714</v>
      </c>
      <c r="EN100" s="58">
        <f t="shared" si="164"/>
        <v>-6.5764642799941486E-2</v>
      </c>
      <c r="EO100" s="2">
        <f t="array" ref="EO100:EP100">LINEST($AH100:$AN100,$AH$6:$AN$6,TRUE,FALSE)</f>
        <v>379.57142857142867</v>
      </c>
      <c r="EP100" s="2">
        <v>18047.571428571428</v>
      </c>
      <c r="EQ100" s="58">
        <f t="shared" si="165"/>
        <v>1.7377029881689703E-2</v>
      </c>
      <c r="ES100" s="3">
        <f t="shared" si="166"/>
        <v>107677.73469387619</v>
      </c>
      <c r="ET100" s="3">
        <f t="shared" si="186"/>
        <v>1207801</v>
      </c>
      <c r="EU100" s="3">
        <f t="shared" si="187"/>
        <v>1779937.1632653007</v>
      </c>
      <c r="EV100" s="3">
        <f t="shared" si="188"/>
        <v>3434667.9387755082</v>
      </c>
      <c r="EW100" s="3">
        <f t="shared" si="189"/>
        <v>42896885.897959173</v>
      </c>
      <c r="EX100" s="3">
        <f t="shared" si="190"/>
        <v>1751463.1836734721</v>
      </c>
      <c r="EY100" s="3">
        <f t="shared" si="191"/>
        <v>15324987.938775485</v>
      </c>
      <c r="EZ100" s="3">
        <f t="shared" si="167"/>
        <v>220095.0204081613</v>
      </c>
      <c r="FA100" s="3">
        <f t="shared" si="192"/>
        <v>1020677.2244897948</v>
      </c>
      <c r="FB100" s="29">
        <f t="shared" si="193"/>
        <v>21232.653061224642</v>
      </c>
      <c r="FC100" s="3">
        <f t="shared" si="194"/>
        <v>1861.3061224488001</v>
      </c>
      <c r="FD100" s="3">
        <f t="shared" si="195"/>
        <v>80331.75510204141</v>
      </c>
      <c r="FE100" s="3">
        <f t="shared" si="185"/>
        <v>15376</v>
      </c>
      <c r="FF100" s="3"/>
      <c r="FG100" s="29"/>
      <c r="FH100" s="3"/>
      <c r="FI100" s="3"/>
      <c r="FQ100" s="4">
        <f t="shared" si="199"/>
        <v>0.10756823203845561</v>
      </c>
      <c r="FR100" s="160">
        <v>2.7E-2</v>
      </c>
      <c r="FS100" s="161">
        <f t="shared" si="139"/>
        <v>0.25100347461644168</v>
      </c>
      <c r="FV100" s="4">
        <f t="shared" si="168"/>
        <v>0.15024758493598397</v>
      </c>
      <c r="FW100" s="161">
        <f t="shared" si="169"/>
        <v>0.17970338765514199</v>
      </c>
    </row>
    <row r="101" spans="1:179" x14ac:dyDescent="0.3">
      <c r="A101" s="62">
        <f t="shared" si="109"/>
        <v>95</v>
      </c>
      <c r="B101" s="6">
        <v>57438</v>
      </c>
      <c r="C101" s="6" t="s">
        <v>463</v>
      </c>
      <c r="D101" s="6">
        <v>2012</v>
      </c>
      <c r="E101" s="6">
        <v>2011</v>
      </c>
      <c r="F101" s="6" t="s">
        <v>252</v>
      </c>
      <c r="G101" s="17" t="s">
        <v>636</v>
      </c>
      <c r="H101" s="17" t="s">
        <v>638</v>
      </c>
      <c r="I101" s="6" t="s">
        <v>35</v>
      </c>
      <c r="J101" s="17">
        <v>15</v>
      </c>
      <c r="K101" s="6" t="s">
        <v>109</v>
      </c>
      <c r="L101" s="12">
        <v>29.7</v>
      </c>
      <c r="M101" s="12">
        <v>-82.337999999999994</v>
      </c>
      <c r="N101" s="14">
        <v>2</v>
      </c>
      <c r="O101" s="6">
        <v>1.6</v>
      </c>
      <c r="P101" s="94">
        <f>365.25*4.9</f>
        <v>1789.7250000000001</v>
      </c>
      <c r="Q101" s="15" t="s">
        <v>203</v>
      </c>
      <c r="R101" s="14">
        <v>20</v>
      </c>
      <c r="S101" s="3">
        <f t="shared" si="140"/>
        <v>44.7515</v>
      </c>
      <c r="T101" s="128" t="str">
        <f t="shared" si="141"/>
        <v>M</v>
      </c>
      <c r="U101" s="154">
        <v>1682</v>
      </c>
      <c r="V101" s="154">
        <v>735.6</v>
      </c>
      <c r="W101" s="156">
        <v>0.52400000000000002</v>
      </c>
      <c r="X101" s="1">
        <f t="shared" si="171"/>
        <v>0.43733650416171227</v>
      </c>
      <c r="Y101" s="59">
        <f t="shared" si="142"/>
        <v>7.9946392167063451E-3</v>
      </c>
      <c r="Z101" s="1">
        <f t="shared" si="143"/>
        <v>0.90200894159196843</v>
      </c>
      <c r="AA101" s="3">
        <f t="shared" si="170"/>
        <v>2825.7389929848796</v>
      </c>
      <c r="AB101" s="6">
        <v>2862</v>
      </c>
      <c r="AC101" s="6">
        <v>2740</v>
      </c>
      <c r="AD101" s="6">
        <v>2673</v>
      </c>
      <c r="AE101" s="6">
        <v>2327</v>
      </c>
      <c r="AF101" s="93">
        <v>2756</v>
      </c>
      <c r="AG101" s="6">
        <v>2487</v>
      </c>
      <c r="AH101" s="6">
        <v>2279</v>
      </c>
      <c r="AI101" s="6">
        <v>2273</v>
      </c>
      <c r="AJ101" s="6">
        <v>1974</v>
      </c>
      <c r="AK101" s="93">
        <v>2033</v>
      </c>
      <c r="AL101" s="6">
        <v>1663</v>
      </c>
      <c r="AM101" s="6">
        <v>1468</v>
      </c>
      <c r="AN101" s="6">
        <v>1475</v>
      </c>
      <c r="AP101" s="23"/>
      <c r="AU101" s="23"/>
      <c r="AY101" s="32">
        <v>13</v>
      </c>
      <c r="AZ101" s="1">
        <f t="shared" si="144"/>
        <v>0.62343054422843214</v>
      </c>
      <c r="BA101" s="24">
        <f t="shared" si="133"/>
        <v>95</v>
      </c>
      <c r="BB101" s="2">
        <f t="shared" si="172"/>
        <v>1.0128323978630516</v>
      </c>
      <c r="BC101" s="2">
        <f t="shared" si="173"/>
        <v>0.97453050372223138</v>
      </c>
      <c r="BD101" s="2">
        <f t="shared" si="174"/>
        <v>0.95547813389924974</v>
      </c>
      <c r="BE101" s="2">
        <f t="shared" si="175"/>
        <v>0.83597847734127195</v>
      </c>
      <c r="BF101" s="20">
        <f t="shared" si="176"/>
        <v>0.99507277839673036</v>
      </c>
      <c r="BG101" s="2">
        <f t="shared" si="177"/>
        <v>0.90246077990557583</v>
      </c>
      <c r="BH101" s="2">
        <f t="shared" si="178"/>
        <v>0.83113925777047981</v>
      </c>
      <c r="BI101" s="2">
        <f t="shared" si="179"/>
        <v>0.83311667283865609</v>
      </c>
      <c r="BJ101" s="2">
        <f t="shared" si="180"/>
        <v>0.7271607983531857</v>
      </c>
      <c r="BK101" s="20">
        <f t="shared" si="181"/>
        <v>0.7526578704322151</v>
      </c>
      <c r="BL101" s="2">
        <f t="shared" si="182"/>
        <v>0.61877021038728997</v>
      </c>
      <c r="BM101" s="2">
        <f t="shared" si="183"/>
        <v>0.54895926949754281</v>
      </c>
      <c r="BN101" s="2">
        <f t="shared" si="184"/>
        <v>0.55434866602007005</v>
      </c>
      <c r="BP101" s="23"/>
      <c r="BU101" s="23"/>
      <c r="BY101" s="25">
        <f t="shared" si="134"/>
        <v>95</v>
      </c>
      <c r="BZ101" s="3">
        <f t="shared" si="135"/>
        <v>35652.522442792833</v>
      </c>
      <c r="CA101" s="3">
        <f t="shared" si="196"/>
        <v>29010</v>
      </c>
      <c r="CB101" s="2">
        <f t="shared" si="197"/>
        <v>0.81368716748018988</v>
      </c>
      <c r="CC101" s="85">
        <f t="shared" si="145"/>
        <v>64</v>
      </c>
      <c r="CD101" s="3" t="str">
        <f t="shared" si="136"/>
        <v>Fixed</v>
      </c>
      <c r="CE101" s="69">
        <f t="shared" si="198"/>
        <v>-5.1296568633331027E-2</v>
      </c>
      <c r="CF101" s="2">
        <f t="array" ref="CF101:CG101">LINEST(AB101:AN101,AB$6:AN$6,TRUE,FALSE)</f>
        <v>-117.48351648351651</v>
      </c>
      <c r="CG101" s="2">
        <v>3053.9230769230771</v>
      </c>
      <c r="CH101" s="1">
        <f t="shared" si="146"/>
        <v>0.98679231201192896</v>
      </c>
      <c r="DC101" s="2">
        <f t="shared" si="147"/>
        <v>1.25</v>
      </c>
      <c r="DD101">
        <f t="shared" si="137"/>
        <v>1</v>
      </c>
      <c r="DE101">
        <f t="shared" si="148"/>
        <v>14</v>
      </c>
      <c r="DT101">
        <f t="shared" si="149"/>
        <v>18124</v>
      </c>
      <c r="DU101" s="3">
        <f t="shared" si="150"/>
        <v>2825.7389929848791</v>
      </c>
      <c r="DV101" s="3">
        <f t="shared" si="151"/>
        <v>2811.6102980199553</v>
      </c>
      <c r="DW101" s="3">
        <f t="shared" si="152"/>
        <v>2797.5522465298554</v>
      </c>
      <c r="DX101" s="3">
        <f t="shared" si="153"/>
        <v>2783.5644852972064</v>
      </c>
      <c r="DY101" s="3">
        <f t="shared" si="154"/>
        <v>2769.6466628707203</v>
      </c>
      <c r="DZ101" s="3">
        <f t="shared" si="155"/>
        <v>2755.798429556367</v>
      </c>
      <c r="EA101" s="3">
        <f t="shared" si="156"/>
        <v>2742.019437408585</v>
      </c>
      <c r="EB101" s="2">
        <f t="shared" si="157"/>
        <v>0.93010697903359185</v>
      </c>
      <c r="ED101" s="2" t="str">
        <f t="shared" si="158"/>
        <v xml:space="preserve"> </v>
      </c>
      <c r="EE101" s="58" t="str">
        <f t="shared" si="159"/>
        <v xml:space="preserve"> </v>
      </c>
      <c r="EF101" s="2" t="str">
        <f t="shared" si="160"/>
        <v xml:space="preserve"> </v>
      </c>
      <c r="EG101" s="58" t="str">
        <f t="shared" si="161"/>
        <v xml:space="preserve"> </v>
      </c>
      <c r="EI101" s="2" t="str">
        <f t="shared" si="162"/>
        <v xml:space="preserve"> </v>
      </c>
      <c r="EJ101" s="2" t="str">
        <f t="shared" si="163"/>
        <v xml:space="preserve"> </v>
      </c>
      <c r="EK101" s="2"/>
      <c r="EL101" s="2">
        <f t="array" ref="EL101:EM101">LINEST($AB101:$AH101,$AB$6:$AH$6,TRUE,FALSE)</f>
        <v>-77.571428571428555</v>
      </c>
      <c r="EM101" s="2">
        <v>2899.4285714285716</v>
      </c>
      <c r="EN101" s="58">
        <f t="shared" si="164"/>
        <v>-2.9960273670271455E-2</v>
      </c>
      <c r="EO101" s="2">
        <f t="array" ref="EO101:EP101">LINEST($AH101:$AN101,$AH$6:$AN$6,TRUE,FALSE)</f>
        <v>-154.74999999999997</v>
      </c>
      <c r="EP101" s="2">
        <v>3428.2142857142853</v>
      </c>
      <c r="EQ101" s="58">
        <f t="shared" si="165"/>
        <v>-8.2282567413596644E-2</v>
      </c>
      <c r="ES101" s="3">
        <f t="shared" si="166"/>
        <v>1611.4489795918159</v>
      </c>
      <c r="ET101" s="3">
        <f t="shared" si="186"/>
        <v>18.367346938778851</v>
      </c>
      <c r="EU101" s="3">
        <f t="shared" si="187"/>
        <v>39.510204081631834</v>
      </c>
      <c r="EV101" s="3">
        <f t="shared" si="188"/>
        <v>68718.877551020516</v>
      </c>
      <c r="EW101" s="3">
        <f t="shared" si="189"/>
        <v>59745.326530612088</v>
      </c>
      <c r="EX101" s="3">
        <f t="shared" si="190"/>
        <v>2809</v>
      </c>
      <c r="EY101" s="3">
        <f t="shared" si="191"/>
        <v>5995.1836734694079</v>
      </c>
      <c r="EZ101" s="3">
        <f t="shared" si="167"/>
        <v>6853.4744897959827</v>
      </c>
      <c r="FA101" s="3">
        <f t="shared" si="192"/>
        <v>3777.858418367327</v>
      </c>
      <c r="FB101" s="29">
        <f t="shared" si="193"/>
        <v>23190.938775510254</v>
      </c>
      <c r="FC101" s="3">
        <f t="shared" si="194"/>
        <v>3964.5012755101834</v>
      </c>
      <c r="FD101" s="3">
        <f t="shared" si="195"/>
        <v>10653.188775510218</v>
      </c>
      <c r="FE101" s="3">
        <f t="shared" si="185"/>
        <v>3426.4298469387677</v>
      </c>
      <c r="FF101" s="3"/>
      <c r="FG101" s="29"/>
      <c r="FH101" s="3"/>
      <c r="FI101" s="3"/>
      <c r="FQ101" s="4">
        <f t="shared" si="199"/>
        <v>5.4289745444175593E-2</v>
      </c>
      <c r="FR101" s="160">
        <v>2.8000000000000001E-2</v>
      </c>
      <c r="FS101" s="161">
        <f t="shared" si="139"/>
        <v>0.51575117493950129</v>
      </c>
      <c r="FV101" s="4">
        <f t="shared" si="168"/>
        <v>5.4413297005078812E-2</v>
      </c>
      <c r="FW101" s="161">
        <f t="shared" si="169"/>
        <v>0.51458010341454852</v>
      </c>
    </row>
    <row r="102" spans="1:179" x14ac:dyDescent="0.3">
      <c r="A102" s="62">
        <f t="shared" si="109"/>
        <v>96</v>
      </c>
      <c r="B102" s="6">
        <v>57497</v>
      </c>
      <c r="C102" s="6" t="s">
        <v>527</v>
      </c>
      <c r="D102" s="6">
        <v>2012</v>
      </c>
      <c r="E102" s="6">
        <v>2011</v>
      </c>
      <c r="F102" s="6" t="s">
        <v>248</v>
      </c>
      <c r="G102" s="17" t="s">
        <v>636</v>
      </c>
      <c r="H102" s="17" t="s">
        <v>642</v>
      </c>
      <c r="I102" s="6" t="s">
        <v>35</v>
      </c>
      <c r="J102" s="17">
        <v>25</v>
      </c>
      <c r="K102" s="6" t="s">
        <v>24</v>
      </c>
      <c r="L102" s="12">
        <v>36.530999999999999</v>
      </c>
      <c r="M102" s="12">
        <v>-120.107</v>
      </c>
      <c r="N102" s="14">
        <v>24.6</v>
      </c>
      <c r="O102" s="6">
        <v>20</v>
      </c>
      <c r="P102" s="94">
        <f>365.25*5.7</f>
        <v>2081.9250000000002</v>
      </c>
      <c r="Q102" s="15" t="s">
        <v>513</v>
      </c>
      <c r="R102" s="14">
        <v>17.399999999999999</v>
      </c>
      <c r="S102" s="3">
        <f t="shared" si="140"/>
        <v>44.323499999999996</v>
      </c>
      <c r="T102" s="128" t="str">
        <f t="shared" si="141"/>
        <v>M</v>
      </c>
      <c r="U102" s="154">
        <v>1910</v>
      </c>
      <c r="V102" s="154">
        <v>578</v>
      </c>
      <c r="W102" s="156">
        <v>0.63400000000000001</v>
      </c>
      <c r="X102" s="1">
        <f t="shared" si="171"/>
        <v>0.30261780104712044</v>
      </c>
      <c r="Y102" s="59">
        <f t="shared" si="142"/>
        <v>0</v>
      </c>
      <c r="Z102" s="1">
        <f t="shared" si="143"/>
        <v>1</v>
      </c>
      <c r="AA102" s="3">
        <f t="shared" si="170"/>
        <v>40501.279406977381</v>
      </c>
      <c r="AB102" s="6">
        <v>43065</v>
      </c>
      <c r="AC102" s="6">
        <v>44933</v>
      </c>
      <c r="AD102" s="6">
        <v>42715</v>
      </c>
      <c r="AE102" s="6">
        <v>40966</v>
      </c>
      <c r="AF102" s="93">
        <v>38539</v>
      </c>
      <c r="AG102" s="6">
        <v>34751</v>
      </c>
      <c r="AH102" s="6">
        <v>37339</v>
      </c>
      <c r="AI102" s="6">
        <v>33509</v>
      </c>
      <c r="AJ102" s="6">
        <v>33705</v>
      </c>
      <c r="AK102" s="93">
        <v>31997</v>
      </c>
      <c r="AL102" s="6">
        <v>29512</v>
      </c>
      <c r="AM102" s="6">
        <v>24471</v>
      </c>
      <c r="AN102" s="6">
        <v>21268</v>
      </c>
      <c r="AP102" s="23"/>
      <c r="AU102" s="23"/>
      <c r="AY102" s="32">
        <v>13</v>
      </c>
      <c r="AZ102" s="1">
        <f t="shared" si="144"/>
        <v>0.68604725762720653</v>
      </c>
      <c r="BA102" s="24">
        <f t="shared" si="133"/>
        <v>96</v>
      </c>
      <c r="BB102" s="2">
        <f t="shared" si="172"/>
        <v>1.063299743379982</v>
      </c>
      <c r="BC102" s="2">
        <f t="shared" si="173"/>
        <v>1.1149967267964747</v>
      </c>
      <c r="BD102" s="2">
        <f t="shared" si="174"/>
        <v>1.0652842514737222</v>
      </c>
      <c r="BE102" s="2">
        <f t="shared" si="175"/>
        <v>1.0267993283959893</v>
      </c>
      <c r="BF102" s="20">
        <f t="shared" si="176"/>
        <v>0.97082147831019139</v>
      </c>
      <c r="BG102" s="2">
        <f t="shared" si="177"/>
        <v>0.87979838455771575</v>
      </c>
      <c r="BH102" s="2">
        <f t="shared" si="178"/>
        <v>0.95006967388525465</v>
      </c>
      <c r="BI102" s="2">
        <f t="shared" si="179"/>
        <v>0.85690200654363158</v>
      </c>
      <c r="BJ102" s="2">
        <f t="shared" si="180"/>
        <v>0.86624540322409749</v>
      </c>
      <c r="BK102" s="20">
        <f t="shared" si="181"/>
        <v>0.82648084412453748</v>
      </c>
      <c r="BL102" s="2">
        <f t="shared" si="182"/>
        <v>0.7661240437209127</v>
      </c>
      <c r="BM102" s="2">
        <f t="shared" si="183"/>
        <v>0.63845322689261075</v>
      </c>
      <c r="BN102" s="2">
        <f t="shared" si="184"/>
        <v>0.55767469727995311</v>
      </c>
      <c r="BP102" s="23"/>
      <c r="BU102" s="23"/>
      <c r="BY102" s="25">
        <f t="shared" si="134"/>
        <v>96</v>
      </c>
      <c r="BZ102" s="3">
        <f t="shared" si="135"/>
        <v>511007.13003000664</v>
      </c>
      <c r="CA102" s="3">
        <f t="shared" si="196"/>
        <v>456770</v>
      </c>
      <c r="CB102" s="2">
        <f t="shared" si="197"/>
        <v>0.89386228323894068</v>
      </c>
      <c r="CC102" s="85">
        <f t="shared" si="145"/>
        <v>42</v>
      </c>
      <c r="CD102" s="3" t="str">
        <f t="shared" si="136"/>
        <v>Fixed</v>
      </c>
      <c r="CE102" s="69">
        <f t="shared" si="198"/>
        <v>-4.9372998260313362E-2</v>
      </c>
      <c r="CF102" s="2">
        <f t="array" ref="CF102:CG102">LINEST(AB102:AN102,AB$6:AN$6,TRUE,FALSE)</f>
        <v>-1778.6868131868137</v>
      </c>
      <c r="CG102" s="2">
        <v>47586.961538461539</v>
      </c>
      <c r="CH102" s="1">
        <f t="shared" si="146"/>
        <v>0.98850431201192901</v>
      </c>
      <c r="DC102" s="2">
        <f t="shared" si="147"/>
        <v>1.23</v>
      </c>
      <c r="DD102">
        <f t="shared" si="137"/>
        <v>1</v>
      </c>
      <c r="DE102">
        <f t="shared" si="148"/>
        <v>14</v>
      </c>
      <c r="DT102">
        <f t="shared" si="149"/>
        <v>282308</v>
      </c>
      <c r="DU102" s="3">
        <f t="shared" si="150"/>
        <v>40501.279406977381</v>
      </c>
      <c r="DV102" s="3">
        <f t="shared" si="151"/>
        <v>40298.773009942495</v>
      </c>
      <c r="DW102" s="3">
        <f t="shared" si="152"/>
        <v>40097.279144892782</v>
      </c>
      <c r="DX102" s="3">
        <f t="shared" si="153"/>
        <v>39896.792749168315</v>
      </c>
      <c r="DY102" s="3">
        <f t="shared" si="154"/>
        <v>39697.30878542248</v>
      </c>
      <c r="DZ102" s="3">
        <f t="shared" si="155"/>
        <v>39498.822241495371</v>
      </c>
      <c r="EA102" s="3">
        <f t="shared" si="156"/>
        <v>39301.32813028789</v>
      </c>
      <c r="EB102" s="2">
        <f t="shared" si="157"/>
        <v>1.0108002414335442</v>
      </c>
      <c r="ED102" s="2" t="str">
        <f t="shared" si="158"/>
        <v xml:space="preserve"> </v>
      </c>
      <c r="EE102" s="58" t="str">
        <f t="shared" si="159"/>
        <v xml:space="preserve"> </v>
      </c>
      <c r="EF102" s="2" t="str">
        <f t="shared" si="160"/>
        <v xml:space="preserve"> </v>
      </c>
      <c r="EG102" s="58" t="str">
        <f t="shared" si="161"/>
        <v xml:space="preserve"> </v>
      </c>
      <c r="EI102" s="2" t="str">
        <f t="shared" si="162"/>
        <v xml:space="preserve"> </v>
      </c>
      <c r="EJ102" s="2" t="str">
        <f t="shared" si="163"/>
        <v xml:space="preserve"> </v>
      </c>
      <c r="EK102" s="2"/>
      <c r="EL102" s="2">
        <f t="array" ref="EL102:EM102">LINEST($AB102:$AH102,$AB$6:$AH$6,TRUE,FALSE)</f>
        <v>-1489.9285714285713</v>
      </c>
      <c r="EM102" s="2">
        <v>46289.428571428565</v>
      </c>
      <c r="EN102" s="58">
        <f t="shared" si="164"/>
        <v>-3.6943692704422118E-2</v>
      </c>
      <c r="EO102" s="2">
        <f t="array" ref="EO102:EP102">LINEST($AH102:$AN102,$AH$6:$AN$6,TRUE,FALSE)</f>
        <v>-2517.2142857142858</v>
      </c>
      <c r="EP102" s="2">
        <v>55429.428571428572</v>
      </c>
      <c r="EQ102" s="58">
        <f t="shared" si="165"/>
        <v>-8.3193658198025502E-2</v>
      </c>
      <c r="ES102" s="3">
        <f t="shared" si="166"/>
        <v>3008490.2499999749</v>
      </c>
      <c r="ET102" s="3">
        <f t="shared" si="186"/>
        <v>2635520.3265306391</v>
      </c>
      <c r="EU102" s="3">
        <f t="shared" si="187"/>
        <v>801664.41326530988</v>
      </c>
      <c r="EV102" s="3">
        <f t="shared" si="188"/>
        <v>404859.51020408561</v>
      </c>
      <c r="EW102" s="3">
        <f t="shared" si="189"/>
        <v>90472.045918364849</v>
      </c>
      <c r="EX102" s="3">
        <f t="shared" si="190"/>
        <v>6754058.4489795649</v>
      </c>
      <c r="EY102" s="3">
        <f t="shared" si="191"/>
        <v>2187652.2908163448</v>
      </c>
      <c r="EZ102" s="3">
        <f t="shared" si="167"/>
        <v>3178070.2244898109</v>
      </c>
      <c r="FA102" s="3">
        <f t="shared" si="192"/>
        <v>865830.25</v>
      </c>
      <c r="FB102" s="29">
        <f t="shared" si="193"/>
        <v>3026605.7959183692</v>
      </c>
      <c r="FC102" s="3">
        <f t="shared" si="194"/>
        <v>3139730.8622449017</v>
      </c>
      <c r="FD102" s="3">
        <f t="shared" si="195"/>
        <v>565289.1632653093</v>
      </c>
      <c r="FE102" s="3">
        <f t="shared" si="185"/>
        <v>2066816.9846938821</v>
      </c>
      <c r="FF102" s="3"/>
      <c r="FG102" s="29"/>
      <c r="FH102" s="3"/>
      <c r="FI102" s="3"/>
      <c r="FQ102" s="4">
        <f t="shared" si="199"/>
        <v>4.2306254764492707E-2</v>
      </c>
      <c r="FR102" s="160">
        <v>3.5999999999999997E-2</v>
      </c>
      <c r="FS102" s="161">
        <f t="shared" si="139"/>
        <v>0.85093800433061506</v>
      </c>
      <c r="FV102" s="4">
        <f t="shared" si="168"/>
        <v>3.7349796288858456E-2</v>
      </c>
      <c r="FW102" s="161">
        <f t="shared" si="169"/>
        <v>0.9638606786923466</v>
      </c>
    </row>
    <row r="103" spans="1:179" x14ac:dyDescent="0.3">
      <c r="A103" s="62">
        <f t="shared" si="109"/>
        <v>97</v>
      </c>
      <c r="B103" s="6">
        <v>57745</v>
      </c>
      <c r="C103" s="6" t="s">
        <v>528</v>
      </c>
      <c r="D103" s="6">
        <v>2012</v>
      </c>
      <c r="E103" s="6">
        <v>2011</v>
      </c>
      <c r="F103" s="6" t="s">
        <v>252</v>
      </c>
      <c r="G103" s="17" t="s">
        <v>636</v>
      </c>
      <c r="H103" s="17" t="s">
        <v>638</v>
      </c>
      <c r="I103" s="6" t="s">
        <v>35</v>
      </c>
      <c r="J103" s="17">
        <v>25</v>
      </c>
      <c r="K103" s="6" t="s">
        <v>52</v>
      </c>
      <c r="L103" s="12">
        <v>39.462000000000003</v>
      </c>
      <c r="M103" s="12">
        <v>-75.069999999999993</v>
      </c>
      <c r="N103" s="14">
        <v>4.8</v>
      </c>
      <c r="O103" s="6">
        <v>3.7</v>
      </c>
      <c r="P103" s="94">
        <f>365.25*4.6</f>
        <v>1680.1499999999999</v>
      </c>
      <c r="Q103" s="15" t="s">
        <v>529</v>
      </c>
      <c r="R103" s="14">
        <v>11.7</v>
      </c>
      <c r="S103" s="3">
        <f t="shared" si="140"/>
        <v>35.637</v>
      </c>
      <c r="T103" s="128" t="str">
        <f t="shared" si="141"/>
        <v>C</v>
      </c>
      <c r="U103" s="154">
        <v>1486</v>
      </c>
      <c r="V103" s="154">
        <v>672</v>
      </c>
      <c r="W103" s="156">
        <v>0.50900000000000001</v>
      </c>
      <c r="X103" s="1">
        <f t="shared" si="171"/>
        <v>0.45222072678331088</v>
      </c>
      <c r="Y103" s="59">
        <f t="shared" si="142"/>
        <v>7.1668996486122793E-3</v>
      </c>
      <c r="Z103" s="1">
        <f t="shared" si="143"/>
        <v>0.91169205449999924</v>
      </c>
      <c r="AA103" s="3">
        <f t="shared" si="170"/>
        <v>6601.7818050310743</v>
      </c>
      <c r="AB103" s="6">
        <v>6744</v>
      </c>
      <c r="AC103" s="6">
        <v>6676</v>
      </c>
      <c r="AD103" s="6">
        <v>6631</v>
      </c>
      <c r="AE103" s="6">
        <v>6587</v>
      </c>
      <c r="AF103" s="93">
        <v>6387</v>
      </c>
      <c r="AG103" s="6">
        <v>6335</v>
      </c>
      <c r="AH103" s="6">
        <v>3724</v>
      </c>
      <c r="AI103" s="6">
        <v>3891</v>
      </c>
      <c r="AJ103" s="6">
        <v>3716</v>
      </c>
      <c r="AK103" s="93">
        <v>3744</v>
      </c>
      <c r="AL103" s="6">
        <v>3704</v>
      </c>
      <c r="AM103" s="6">
        <v>3475</v>
      </c>
      <c r="AN103" s="6">
        <v>3317</v>
      </c>
      <c r="AP103" s="23"/>
      <c r="AU103" s="23"/>
      <c r="AY103" s="32">
        <v>13</v>
      </c>
      <c r="AZ103" s="1">
        <f t="shared" si="144"/>
        <v>0.61932618958777341</v>
      </c>
      <c r="BA103" s="24">
        <f t="shared" si="133"/>
        <v>97</v>
      </c>
      <c r="BB103" s="2">
        <f t="shared" si="172"/>
        <v>1.0215423955485086</v>
      </c>
      <c r="BC103" s="2">
        <f t="shared" si="173"/>
        <v>1.0163237648327408</v>
      </c>
      <c r="BD103" s="2">
        <f t="shared" si="174"/>
        <v>1.0145458997512884</v>
      </c>
      <c r="BE103" s="2">
        <f t="shared" si="175"/>
        <v>1.0128782718693354</v>
      </c>
      <c r="BF103" s="20">
        <f t="shared" si="176"/>
        <v>0.98705971369363066</v>
      </c>
      <c r="BG103" s="2">
        <f t="shared" si="177"/>
        <v>0.98394324625305174</v>
      </c>
      <c r="BH103" s="2">
        <f t="shared" si="178"/>
        <v>0.58131298148935118</v>
      </c>
      <c r="BI103" s="2">
        <f t="shared" si="179"/>
        <v>0.61043369667215386</v>
      </c>
      <c r="BJ103" s="2">
        <f t="shared" si="180"/>
        <v>0.58590862739131899</v>
      </c>
      <c r="BK103" s="20">
        <f t="shared" si="181"/>
        <v>0.59328988888281509</v>
      </c>
      <c r="BL103" s="2">
        <f t="shared" si="182"/>
        <v>0.58990082582301118</v>
      </c>
      <c r="BM103" s="2">
        <f t="shared" si="183"/>
        <v>0.55621123157226837</v>
      </c>
      <c r="BN103" s="2">
        <f t="shared" si="184"/>
        <v>0.53358957525041451</v>
      </c>
      <c r="BP103" s="23"/>
      <c r="BU103" s="23"/>
      <c r="BY103" s="25">
        <f t="shared" si="134"/>
        <v>97</v>
      </c>
      <c r="BZ103" s="3">
        <f t="shared" si="135"/>
        <v>83295.086542181292</v>
      </c>
      <c r="CA103" s="3">
        <f t="shared" si="196"/>
        <v>64931</v>
      </c>
      <c r="CB103" s="2">
        <f t="shared" si="197"/>
        <v>0.77952977414962443</v>
      </c>
      <c r="CC103" s="85">
        <f t="shared" si="145"/>
        <v>71</v>
      </c>
      <c r="CD103" s="3" t="str">
        <f t="shared" si="136"/>
        <v>Fixed</v>
      </c>
      <c r="CE103" s="69">
        <f t="shared" si="198"/>
        <v>-6.8615754959211933E-2</v>
      </c>
      <c r="CF103" s="2">
        <f t="array" ref="CF103:CG103">LINEST(AB103:AN103,AB$6:AN$6,TRUE,FALSE)</f>
        <v>-354.8901098901099</v>
      </c>
      <c r="CG103" s="2">
        <v>7478.9230769230771</v>
      </c>
      <c r="CH103" s="1">
        <f t="shared" si="146"/>
        <v>1.023250312011929</v>
      </c>
      <c r="DC103" s="2">
        <f t="shared" si="147"/>
        <v>1.2972972972972971</v>
      </c>
      <c r="DD103">
        <f t="shared" si="137"/>
        <v>1</v>
      </c>
      <c r="DE103">
        <f t="shared" si="148"/>
        <v>14</v>
      </c>
      <c r="DT103">
        <f t="shared" si="149"/>
        <v>43084</v>
      </c>
      <c r="DU103" s="3">
        <f t="shared" si="150"/>
        <v>6601.7818050310734</v>
      </c>
      <c r="DV103" s="3">
        <f t="shared" si="151"/>
        <v>6568.7728960059176</v>
      </c>
      <c r="DW103" s="3">
        <f t="shared" si="152"/>
        <v>6535.9290315258886</v>
      </c>
      <c r="DX103" s="3">
        <f t="shared" si="153"/>
        <v>6503.2493863682603</v>
      </c>
      <c r="DY103" s="3">
        <f t="shared" si="154"/>
        <v>6470.7331394364192</v>
      </c>
      <c r="DZ103" s="3">
        <f t="shared" si="155"/>
        <v>6438.3794737392373</v>
      </c>
      <c r="EA103" s="3">
        <f t="shared" si="156"/>
        <v>6406.1875763705411</v>
      </c>
      <c r="EB103" s="2">
        <f t="shared" si="157"/>
        <v>0.9463804168590737</v>
      </c>
      <c r="ED103" s="2" t="str">
        <f t="shared" si="158"/>
        <v xml:space="preserve"> </v>
      </c>
      <c r="EE103" s="58" t="str">
        <f t="shared" si="159"/>
        <v xml:space="preserve"> </v>
      </c>
      <c r="EF103" s="2">
        <f t="shared" si="160"/>
        <v>0.77952977414962443</v>
      </c>
      <c r="EG103" s="58">
        <f t="shared" si="161"/>
        <v>-6.8615754959211933E-2</v>
      </c>
      <c r="EI103" s="2" t="str">
        <f t="shared" si="162"/>
        <v xml:space="preserve"> </v>
      </c>
      <c r="EJ103" s="2">
        <f t="shared" si="163"/>
        <v>0.9463804168590737</v>
      </c>
      <c r="EK103" s="2"/>
      <c r="EL103" s="2">
        <f t="array" ref="EL103:EM103">LINEST($AB103:$AH103,$AB$6:$AH$6,TRUE,FALSE)</f>
        <v>-356.64285714285705</v>
      </c>
      <c r="EM103" s="2">
        <v>7581.4285714285716</v>
      </c>
      <c r="EN103" s="58">
        <f t="shared" si="164"/>
        <v>-5.794494475907528E-2</v>
      </c>
      <c r="EO103" s="2">
        <f t="array" ref="EO103:EP103">LINEST($AH103:$AN103,$AH$6:$AN$6,TRUE,FALSE)</f>
        <v>-73.749999999999972</v>
      </c>
      <c r="EP103" s="2">
        <v>4390.5</v>
      </c>
      <c r="EQ103" s="58">
        <f t="shared" si="165"/>
        <v>-2.018888584724883E-2</v>
      </c>
      <c r="ES103" s="3">
        <f t="shared" si="166"/>
        <v>231154.90306122488</v>
      </c>
      <c r="ET103" s="3">
        <f t="shared" si="186"/>
        <v>36918.877551020654</v>
      </c>
      <c r="EU103" s="3">
        <f t="shared" si="187"/>
        <v>14280.25</v>
      </c>
      <c r="EV103" s="3">
        <f t="shared" si="188"/>
        <v>186747.4489795916</v>
      </c>
      <c r="EW103" s="3">
        <f t="shared" si="189"/>
        <v>346668.61734693818</v>
      </c>
      <c r="EX103" s="3">
        <f t="shared" si="190"/>
        <v>798214.61224489659</v>
      </c>
      <c r="EY103" s="3">
        <f t="shared" si="191"/>
        <v>1852126.5765306151</v>
      </c>
      <c r="EZ103" s="3">
        <f t="shared" si="167"/>
        <v>8190.25</v>
      </c>
      <c r="FA103" s="3">
        <f t="shared" si="192"/>
        <v>115.5625</v>
      </c>
      <c r="FB103" s="29">
        <f t="shared" si="193"/>
        <v>8281</v>
      </c>
      <c r="FC103" s="3">
        <f t="shared" si="194"/>
        <v>15562.562499999887</v>
      </c>
      <c r="FD103" s="3">
        <f t="shared" si="195"/>
        <v>930.25000000002774</v>
      </c>
      <c r="FE103" s="3">
        <f t="shared" si="185"/>
        <v>13167.562500000104</v>
      </c>
      <c r="FF103" s="3"/>
      <c r="FG103" s="29"/>
      <c r="FH103" s="3"/>
      <c r="FI103" s="3"/>
      <c r="FQ103" s="4">
        <f t="shared" si="199"/>
        <v>0.10406842972276527</v>
      </c>
      <c r="FR103" s="160">
        <v>0.03</v>
      </c>
      <c r="FS103" s="161">
        <f t="shared" si="139"/>
        <v>0.28827186188855708</v>
      </c>
      <c r="FV103" s="4">
        <f t="shared" si="168"/>
        <v>0.11432843377751552</v>
      </c>
      <c r="FW103" s="161">
        <f t="shared" si="169"/>
        <v>0.2624019153308822</v>
      </c>
    </row>
    <row r="104" spans="1:179" x14ac:dyDescent="0.3">
      <c r="A104" s="62">
        <f>A103+1</f>
        <v>98</v>
      </c>
      <c r="B104" s="6">
        <v>57660</v>
      </c>
      <c r="C104" s="6" t="s">
        <v>485</v>
      </c>
      <c r="D104" s="6">
        <v>2012</v>
      </c>
      <c r="E104" s="6">
        <v>2011</v>
      </c>
      <c r="F104" s="6" t="s">
        <v>252</v>
      </c>
      <c r="G104" s="17" t="s">
        <v>636</v>
      </c>
      <c r="H104" s="17" t="s">
        <v>638</v>
      </c>
      <c r="I104" s="6" t="s">
        <v>36</v>
      </c>
      <c r="J104" s="17">
        <v>0</v>
      </c>
      <c r="K104" s="6" t="s">
        <v>52</v>
      </c>
      <c r="L104" s="12">
        <v>39.417499999999997</v>
      </c>
      <c r="M104" s="12">
        <v>-74.974000000000004</v>
      </c>
      <c r="N104" s="14">
        <v>4.7</v>
      </c>
      <c r="O104" s="6">
        <v>4</v>
      </c>
      <c r="P104" s="94">
        <f>365.25*5.3</f>
        <v>1935.825</v>
      </c>
      <c r="Q104" s="15" t="s">
        <v>529</v>
      </c>
      <c r="R104" s="14">
        <v>11.7</v>
      </c>
      <c r="S104" s="3">
        <f t="shared" si="140"/>
        <v>36.818024999999999</v>
      </c>
      <c r="T104" s="128" t="str">
        <f t="shared" si="141"/>
        <v>C</v>
      </c>
      <c r="U104" s="154">
        <v>1486</v>
      </c>
      <c r="V104" s="154">
        <v>672</v>
      </c>
      <c r="W104" s="156">
        <v>0.50900000000000001</v>
      </c>
      <c r="X104" s="1">
        <f t="shared" si="171"/>
        <v>0.45222072678331088</v>
      </c>
      <c r="Y104" s="59">
        <f t="shared" si="142"/>
        <v>5.2992335068893226E-3</v>
      </c>
      <c r="Z104" s="1">
        <f t="shared" si="143"/>
        <v>0.93392409551694711</v>
      </c>
      <c r="AA104" s="3">
        <f t="shared" si="170"/>
        <v>7042.8713376024689</v>
      </c>
      <c r="AB104" s="6">
        <v>7245</v>
      </c>
      <c r="AC104" s="6">
        <v>6969</v>
      </c>
      <c r="AD104" s="6">
        <v>6760</v>
      </c>
      <c r="AE104" s="6">
        <v>7105</v>
      </c>
      <c r="AF104" s="93">
        <v>7030</v>
      </c>
      <c r="AG104" s="6">
        <v>6728</v>
      </c>
      <c r="AH104" s="6">
        <v>6353</v>
      </c>
      <c r="AI104" s="6">
        <v>6706</v>
      </c>
      <c r="AJ104" s="6">
        <v>5959</v>
      </c>
      <c r="AK104" s="93">
        <v>5879</v>
      </c>
      <c r="AL104" s="6">
        <v>7103</v>
      </c>
      <c r="AM104" s="6">
        <v>6741</v>
      </c>
      <c r="AN104" s="6">
        <v>6820</v>
      </c>
      <c r="AP104" s="23"/>
      <c r="AU104" s="23"/>
      <c r="AY104" s="32">
        <v>13</v>
      </c>
      <c r="AZ104" s="1">
        <f t="shared" si="144"/>
        <v>0.73891450172550843</v>
      </c>
      <c r="BA104" s="24">
        <f t="shared" si="133"/>
        <v>98</v>
      </c>
      <c r="BB104" s="2">
        <f t="shared" si="172"/>
        <v>1.0286997522329209</v>
      </c>
      <c r="BC104" s="2">
        <f t="shared" si="173"/>
        <v>0.99448360828451787</v>
      </c>
      <c r="BD104" s="2">
        <f t="shared" si="174"/>
        <v>0.96950662222049278</v>
      </c>
      <c r="BE104" s="2">
        <f t="shared" si="175"/>
        <v>1.0241064123690349</v>
      </c>
      <c r="BF104" s="20">
        <f t="shared" si="176"/>
        <v>1.0183879395505766</v>
      </c>
      <c r="BG104" s="2">
        <f t="shared" si="177"/>
        <v>0.97953695322934442</v>
      </c>
      <c r="BH104" s="2">
        <f t="shared" si="178"/>
        <v>0.92958823007218394</v>
      </c>
      <c r="BI104" s="2">
        <f t="shared" si="179"/>
        <v>0.98617100469513719</v>
      </c>
      <c r="BJ104" s="2">
        <f t="shared" si="180"/>
        <v>0.88072228379870166</v>
      </c>
      <c r="BK104" s="20">
        <f t="shared" si="181"/>
        <v>0.87326484856782094</v>
      </c>
      <c r="BL104" s="2">
        <f t="shared" si="182"/>
        <v>1.0603793280703966</v>
      </c>
      <c r="BM104" s="2">
        <f t="shared" si="183"/>
        <v>1.0113947253545701</v>
      </c>
      <c r="BN104" s="2">
        <f t="shared" si="184"/>
        <v>1.0283895410770165</v>
      </c>
      <c r="BP104" s="23"/>
      <c r="BU104" s="23"/>
      <c r="BY104" s="25">
        <f t="shared" si="134"/>
        <v>98</v>
      </c>
      <c r="BZ104" s="3">
        <f t="shared" si="135"/>
        <v>88860.340268135304</v>
      </c>
      <c r="CA104" s="3">
        <f t="shared" si="196"/>
        <v>87398</v>
      </c>
      <c r="CB104" s="2">
        <f t="shared" si="197"/>
        <v>0.98354338658030449</v>
      </c>
      <c r="CC104" s="85">
        <f t="shared" si="145"/>
        <v>13</v>
      </c>
      <c r="CD104" s="3" t="str">
        <f t="shared" si="136"/>
        <v>Tracker</v>
      </c>
      <c r="CE104" s="69">
        <f t="shared" si="198"/>
        <v>-6.6468347707656552E-3</v>
      </c>
      <c r="CF104" s="2">
        <f t="array" ref="CF104:CG104">LINEST(AB104:AN104,AB$6:AN$6,TRUE,FALSE)</f>
        <v>-44.835164835164825</v>
      </c>
      <c r="CG104" s="2">
        <v>7036.7692307692305</v>
      </c>
      <c r="CH104" s="1">
        <f t="shared" si="146"/>
        <v>1.0185262120119289</v>
      </c>
      <c r="DC104" s="2">
        <f t="shared" si="147"/>
        <v>1.175</v>
      </c>
      <c r="DD104">
        <f t="shared" si="137"/>
        <v>1</v>
      </c>
      <c r="DE104">
        <f t="shared" si="148"/>
        <v>14</v>
      </c>
      <c r="DT104">
        <f t="shared" si="149"/>
        <v>48190</v>
      </c>
      <c r="DU104" s="3">
        <f t="shared" si="150"/>
        <v>7042.8713376024689</v>
      </c>
      <c r="DV104" s="3">
        <f t="shared" si="151"/>
        <v>7007.6569809144567</v>
      </c>
      <c r="DW104" s="3">
        <f t="shared" si="152"/>
        <v>6972.6186960098848</v>
      </c>
      <c r="DX104" s="3">
        <f t="shared" si="153"/>
        <v>6937.7556025298336</v>
      </c>
      <c r="DY104" s="3">
        <f t="shared" si="154"/>
        <v>6903.0668245171873</v>
      </c>
      <c r="DZ104" s="3">
        <f t="shared" si="155"/>
        <v>6868.5514903946005</v>
      </c>
      <c r="EA104" s="3">
        <f t="shared" si="156"/>
        <v>6834.2087329426276</v>
      </c>
      <c r="EB104" s="2">
        <f t="shared" si="157"/>
        <v>0.99224305059224016</v>
      </c>
      <c r="ED104" s="2" t="str">
        <f t="shared" si="158"/>
        <v xml:space="preserve"> </v>
      </c>
      <c r="EE104" s="58" t="str">
        <f t="shared" si="159"/>
        <v xml:space="preserve"> </v>
      </c>
      <c r="EF104" s="2">
        <f t="shared" si="160"/>
        <v>0.98354338658030449</v>
      </c>
      <c r="EG104" s="58">
        <f t="shared" si="161"/>
        <v>-6.6468347707656552E-3</v>
      </c>
      <c r="EI104" s="2" t="str">
        <f t="shared" si="162"/>
        <v xml:space="preserve"> </v>
      </c>
      <c r="EJ104" s="2">
        <f t="shared" si="163"/>
        <v>0.99224305059224016</v>
      </c>
      <c r="EK104" s="2"/>
      <c r="EL104" s="2">
        <f t="array" ref="EL104:EM104">LINEST($AB104:$AH104,$AB$6:$AH$6,TRUE,FALSE)</f>
        <v>-103.14285714285711</v>
      </c>
      <c r="EM104" s="2">
        <v>7296.8571428571431</v>
      </c>
      <c r="EN104" s="58">
        <f t="shared" si="164"/>
        <v>-1.4982361485785427E-2</v>
      </c>
      <c r="EO104" s="2">
        <f t="array" ref="EO104:EP104">LINEST($AH104:$AN104,$AH$6:$AN$6,TRUE,FALSE)</f>
        <v>93.392857142857139</v>
      </c>
      <c r="EP104" s="2">
        <v>5574.7857142857138</v>
      </c>
      <c r="EQ104" s="58">
        <f t="shared" si="165"/>
        <v>1.4348894888171902E-2</v>
      </c>
      <c r="ES104" s="3">
        <f t="shared" si="166"/>
        <v>2630.2244897958649</v>
      </c>
      <c r="ET104" s="3">
        <f t="shared" si="186"/>
        <v>14779.61224489815</v>
      </c>
      <c r="EU104" s="3">
        <f t="shared" si="187"/>
        <v>51723.755102040872</v>
      </c>
      <c r="EV104" s="3">
        <f t="shared" si="188"/>
        <v>48714.795918367177</v>
      </c>
      <c r="EW104" s="3">
        <f t="shared" si="189"/>
        <v>61929.877551020087</v>
      </c>
      <c r="EX104" s="3">
        <f t="shared" si="190"/>
        <v>2500</v>
      </c>
      <c r="EY104" s="3">
        <f t="shared" si="191"/>
        <v>49220.591836734806</v>
      </c>
      <c r="EZ104" s="3">
        <f t="shared" si="167"/>
        <v>147510.86224489857</v>
      </c>
      <c r="FA104" s="3">
        <f t="shared" si="192"/>
        <v>208229.24617346845</v>
      </c>
      <c r="FB104" s="29">
        <f t="shared" si="193"/>
        <v>396540.08163265255</v>
      </c>
      <c r="FC104" s="3">
        <f t="shared" si="194"/>
        <v>250893.65433673534</v>
      </c>
      <c r="FD104" s="3">
        <f t="shared" si="195"/>
        <v>2070.25</v>
      </c>
      <c r="FE104" s="3">
        <f t="shared" si="185"/>
        <v>967.65433673471</v>
      </c>
      <c r="FF104" s="3"/>
      <c r="FG104" s="29"/>
      <c r="FH104" s="3"/>
      <c r="FI104" s="3"/>
      <c r="FQ104" s="4">
        <f t="shared" si="199"/>
        <v>4.5896517942904259E-2</v>
      </c>
      <c r="FR104" s="160">
        <v>3.4000000000000002E-2</v>
      </c>
      <c r="FS104" s="161">
        <f t="shared" si="139"/>
        <v>0.7407969389376412</v>
      </c>
      <c r="FV104" s="4">
        <f t="shared" si="168"/>
        <v>2.6415967364948934E-2</v>
      </c>
      <c r="FW104" s="161">
        <f t="shared" si="169"/>
        <v>1.2871003181626519</v>
      </c>
    </row>
    <row r="105" spans="1:179" x14ac:dyDescent="0.3">
      <c r="A105" s="62">
        <f>A104+1</f>
        <v>99</v>
      </c>
      <c r="B105" s="6">
        <v>57699</v>
      </c>
      <c r="C105" s="6" t="s">
        <v>530</v>
      </c>
      <c r="D105" s="6">
        <v>2012</v>
      </c>
      <c r="E105" s="6">
        <v>2011</v>
      </c>
      <c r="F105" s="6" t="s">
        <v>252</v>
      </c>
      <c r="G105" s="17" t="s">
        <v>636</v>
      </c>
      <c r="H105" s="17" t="s">
        <v>638</v>
      </c>
      <c r="I105" s="6" t="s">
        <v>36</v>
      </c>
      <c r="J105" s="17">
        <v>0</v>
      </c>
      <c r="K105" s="6" t="s">
        <v>138</v>
      </c>
      <c r="L105" s="12">
        <v>30.238</v>
      </c>
      <c r="M105" s="12">
        <v>-97.509</v>
      </c>
      <c r="N105" s="14">
        <v>35</v>
      </c>
      <c r="O105" s="6">
        <v>30</v>
      </c>
      <c r="P105" s="94">
        <f>365.25*6.4</f>
        <v>2337.6</v>
      </c>
      <c r="Q105" s="15" t="s">
        <v>531</v>
      </c>
      <c r="R105" s="14">
        <v>20.3</v>
      </c>
      <c r="S105" s="3">
        <f t="shared" si="140"/>
        <v>48.255200000000002</v>
      </c>
      <c r="T105" s="128" t="str">
        <f t="shared" si="141"/>
        <v>M</v>
      </c>
      <c r="U105" s="154">
        <v>1783.4</v>
      </c>
      <c r="V105" s="154">
        <v>705</v>
      </c>
      <c r="W105" s="156">
        <v>0.55500000000000005</v>
      </c>
      <c r="X105" s="1">
        <f t="shared" si="171"/>
        <v>0.39531232477290568</v>
      </c>
      <c r="Y105" s="59">
        <f t="shared" si="142"/>
        <v>2.9350063455422237E-2</v>
      </c>
      <c r="Z105" s="1">
        <f t="shared" si="143"/>
        <v>0.68480865289961679</v>
      </c>
      <c r="AA105" s="3">
        <f t="shared" si="170"/>
        <v>60487.461341303671</v>
      </c>
      <c r="AB105" s="6">
        <v>60931</v>
      </c>
      <c r="AC105" s="6">
        <v>58978</v>
      </c>
      <c r="AD105" s="6">
        <v>57960</v>
      </c>
      <c r="AE105" s="6">
        <v>53729</v>
      </c>
      <c r="AF105" s="93">
        <v>44091</v>
      </c>
      <c r="AG105" s="6">
        <v>62444</v>
      </c>
      <c r="AH105" s="6">
        <v>57220</v>
      </c>
      <c r="AI105" s="6">
        <v>56483</v>
      </c>
      <c r="AJ105" s="6">
        <v>57401</v>
      </c>
      <c r="AK105" s="93">
        <v>55044</v>
      </c>
      <c r="AL105" s="6">
        <v>62767</v>
      </c>
      <c r="AM105" s="6">
        <v>56430</v>
      </c>
      <c r="AN105" s="6">
        <v>56253</v>
      </c>
      <c r="AP105" s="23"/>
      <c r="AU105" s="23"/>
      <c r="AY105" s="32">
        <v>13</v>
      </c>
      <c r="AZ105" s="1">
        <f t="shared" si="144"/>
        <v>0.69549213620055517</v>
      </c>
      <c r="BA105" s="24">
        <f t="shared" si="133"/>
        <v>99</v>
      </c>
      <c r="BB105" s="2">
        <f t="shared" si="172"/>
        <v>1.0073327372129843</v>
      </c>
      <c r="BC105" s="2">
        <f t="shared" si="173"/>
        <v>0.97994477772571298</v>
      </c>
      <c r="BD105" s="2">
        <f t="shared" si="174"/>
        <v>0.96786961899228452</v>
      </c>
      <c r="BE105" s="2">
        <f t="shared" si="175"/>
        <v>0.9017250982107996</v>
      </c>
      <c r="BF105" s="20">
        <f t="shared" si="176"/>
        <v>0.7436905592043368</v>
      </c>
      <c r="BG105" s="2">
        <f t="shared" si="177"/>
        <v>1.0585465322793599</v>
      </c>
      <c r="BH105" s="2">
        <f t="shared" si="178"/>
        <v>0.97486395170112561</v>
      </c>
      <c r="BI105" s="2">
        <f t="shared" si="179"/>
        <v>0.96714331152326971</v>
      </c>
      <c r="BJ105" s="2">
        <f t="shared" si="180"/>
        <v>0.98780098507421588</v>
      </c>
      <c r="BK105" s="20">
        <f t="shared" si="181"/>
        <v>0.95199989814099228</v>
      </c>
      <c r="BL105" s="2">
        <f t="shared" si="182"/>
        <v>1.0910262672751823</v>
      </c>
      <c r="BM105" s="2">
        <f t="shared" si="183"/>
        <v>0.98580451867152841</v>
      </c>
      <c r="BN105" s="2">
        <f t="shared" si="184"/>
        <v>0.98765066852656824</v>
      </c>
      <c r="BP105" s="23"/>
      <c r="BU105" s="23"/>
      <c r="BY105" s="25">
        <f t="shared" si="134"/>
        <v>99</v>
      </c>
      <c r="BZ105" s="3">
        <f t="shared" si="135"/>
        <v>763174.01512742357</v>
      </c>
      <c r="CA105" s="3">
        <f t="shared" si="196"/>
        <v>739731</v>
      </c>
      <c r="CB105" s="2">
        <f t="shared" si="197"/>
        <v>0.96928221524482927</v>
      </c>
      <c r="CC105" s="85">
        <f t="shared" si="145"/>
        <v>18</v>
      </c>
      <c r="CD105" s="3" t="str">
        <f t="shared" si="136"/>
        <v>Tracker</v>
      </c>
      <c r="CE105" s="69">
        <f t="shared" si="198"/>
        <v>2.9204067477620369E-4</v>
      </c>
      <c r="CF105" s="2">
        <f t="array" ref="CF105:CG105">LINEST(AB105:AN105,AB$6:AN$6,TRUE,FALSE)</f>
        <v>16.615384615384624</v>
      </c>
      <c r="CG105" s="2">
        <v>56786.076923076922</v>
      </c>
      <c r="CH105" s="1">
        <f t="shared" si="146"/>
        <v>0.97277751201192897</v>
      </c>
      <c r="DC105" s="2">
        <f t="shared" si="147"/>
        <v>1.1666666666666667</v>
      </c>
      <c r="DD105">
        <f t="shared" si="137"/>
        <v>1</v>
      </c>
      <c r="DE105">
        <f t="shared" si="148"/>
        <v>14</v>
      </c>
      <c r="DT105">
        <f t="shared" si="149"/>
        <v>395353</v>
      </c>
      <c r="DU105" s="3">
        <f t="shared" si="150"/>
        <v>60487.461341303671</v>
      </c>
      <c r="DV105" s="3">
        <f t="shared" si="151"/>
        <v>60185.024034597154</v>
      </c>
      <c r="DW105" s="3">
        <f t="shared" si="152"/>
        <v>59884.098914424168</v>
      </c>
      <c r="DX105" s="3">
        <f t="shared" si="153"/>
        <v>59584.678419852047</v>
      </c>
      <c r="DY105" s="3">
        <f t="shared" si="154"/>
        <v>59286.755027752792</v>
      </c>
      <c r="DZ105" s="3">
        <f t="shared" si="155"/>
        <v>58990.32125261402</v>
      </c>
      <c r="EA105" s="3">
        <f t="shared" si="156"/>
        <v>58695.369646350962</v>
      </c>
      <c r="EB105" s="2">
        <f t="shared" si="157"/>
        <v>0.94783027221040606</v>
      </c>
      <c r="ED105" s="2" t="str">
        <f t="shared" si="158"/>
        <v xml:space="preserve"> </v>
      </c>
      <c r="EE105" s="58" t="str">
        <f t="shared" si="159"/>
        <v xml:space="preserve"> </v>
      </c>
      <c r="EF105" s="2" t="str">
        <f t="shared" si="160"/>
        <v xml:space="preserve"> </v>
      </c>
      <c r="EG105" s="58" t="str">
        <f t="shared" si="161"/>
        <v xml:space="preserve"> </v>
      </c>
      <c r="EI105" s="2" t="str">
        <f t="shared" si="162"/>
        <v xml:space="preserve"> </v>
      </c>
      <c r="EJ105" s="2" t="str">
        <f t="shared" si="163"/>
        <v xml:space="preserve"> </v>
      </c>
      <c r="EK105" s="2"/>
      <c r="EL105" s="2">
        <f t="array" ref="EL105:EM105">LINEST($AB105:$AH105,$AB$6:$AH$6,TRUE,FALSE)</f>
        <v>-645.35714285714289</v>
      </c>
      <c r="EM105" s="2">
        <v>59060.428571428572</v>
      </c>
      <c r="EN105" s="58">
        <f t="shared" si="164"/>
        <v>-1.1426497332763378E-2</v>
      </c>
      <c r="EO105" s="2">
        <f t="array" ref="EO105:EP105">LINEST($AH105:$AN105,$AH$6:$AN$6,TRUE,FALSE)</f>
        <v>84.250000000000014</v>
      </c>
      <c r="EP105" s="2">
        <v>56528.642857142855</v>
      </c>
      <c r="EQ105" s="58">
        <f t="shared" si="165"/>
        <v>1.4685083093043294E-3</v>
      </c>
      <c r="ES105" s="3">
        <f t="shared" si="166"/>
        <v>6329896.5765306177</v>
      </c>
      <c r="ET105" s="3">
        <f t="shared" si="186"/>
        <v>1459954.3673469287</v>
      </c>
      <c r="EU105" s="3">
        <f t="shared" si="187"/>
        <v>698298.98469387402</v>
      </c>
      <c r="EV105" s="3">
        <f t="shared" si="188"/>
        <v>7562500</v>
      </c>
      <c r="EW105" s="3">
        <f t="shared" si="189"/>
        <v>137889661.27040812</v>
      </c>
      <c r="EX105" s="3">
        <f t="shared" si="190"/>
        <v>52645389.795918323</v>
      </c>
      <c r="EY105" s="3">
        <f t="shared" si="191"/>
        <v>7166711.4336734638</v>
      </c>
      <c r="EZ105" s="3">
        <f t="shared" si="167"/>
        <v>517885.84183673171</v>
      </c>
      <c r="FA105" s="3">
        <f t="shared" si="192"/>
        <v>13020.440051020883</v>
      </c>
      <c r="FB105" s="29">
        <f t="shared" si="193"/>
        <v>5415593.8775510108</v>
      </c>
      <c r="FC105" s="3">
        <f t="shared" si="194"/>
        <v>28213170.440051042</v>
      </c>
      <c r="FD105" s="3">
        <f t="shared" si="195"/>
        <v>1231307.2704081587</v>
      </c>
      <c r="FE105" s="3">
        <f t="shared" si="185"/>
        <v>1879347.2257653004</v>
      </c>
      <c r="FF105" s="3"/>
      <c r="FG105" s="29"/>
      <c r="FH105" s="3"/>
      <c r="FI105" s="3"/>
      <c r="FQ105" s="4">
        <f t="shared" si="199"/>
        <v>7.7224372448883263E-2</v>
      </c>
      <c r="FR105" s="160">
        <v>2.9000000000000001E-2</v>
      </c>
      <c r="FS105" s="161">
        <f t="shared" si="139"/>
        <v>0.37552911186420873</v>
      </c>
      <c r="FV105" s="4">
        <f t="shared" si="168"/>
        <v>9.7840687075409466E-2</v>
      </c>
      <c r="FW105" s="161">
        <f t="shared" si="169"/>
        <v>0.29640020799985412</v>
      </c>
    </row>
    <row r="106" spans="1:179" s="33" customFormat="1" x14ac:dyDescent="0.3">
      <c r="A106" s="100">
        <f>A105+1</f>
        <v>100</v>
      </c>
      <c r="B106" s="63">
        <v>57499</v>
      </c>
      <c r="C106" s="63" t="s">
        <v>488</v>
      </c>
      <c r="D106" s="63">
        <v>2012</v>
      </c>
      <c r="E106" s="63">
        <v>2011</v>
      </c>
      <c r="F106" s="63" t="s">
        <v>248</v>
      </c>
      <c r="G106" s="64" t="s">
        <v>636</v>
      </c>
      <c r="H106" s="64" t="s">
        <v>642</v>
      </c>
      <c r="I106" s="63" t="s">
        <v>35</v>
      </c>
      <c r="J106" s="64">
        <v>25</v>
      </c>
      <c r="K106" s="63" t="s">
        <v>24</v>
      </c>
      <c r="L106" s="65">
        <v>36.378</v>
      </c>
      <c r="M106" s="65">
        <v>-120.125</v>
      </c>
      <c r="N106" s="121">
        <v>18.5</v>
      </c>
      <c r="O106" s="63">
        <v>15</v>
      </c>
      <c r="P106" s="101">
        <f>365.25*5.7</f>
        <v>2081.9250000000002</v>
      </c>
      <c r="Q106" s="66" t="s">
        <v>513</v>
      </c>
      <c r="R106" s="121">
        <v>17.399999999999999</v>
      </c>
      <c r="S106" s="37">
        <f t="shared" si="140"/>
        <v>44.323499999999996</v>
      </c>
      <c r="T106" s="164" t="str">
        <f t="shared" si="141"/>
        <v>M</v>
      </c>
      <c r="U106" s="155">
        <v>1910</v>
      </c>
      <c r="V106" s="155">
        <v>578</v>
      </c>
      <c r="W106" s="157">
        <v>0.63400000000000001</v>
      </c>
      <c r="X106" s="97">
        <f>V106/U106</f>
        <v>0.30261780104712044</v>
      </c>
      <c r="Y106" s="165">
        <f t="shared" si="142"/>
        <v>0</v>
      </c>
      <c r="Z106" s="97">
        <f t="shared" si="143"/>
        <v>1</v>
      </c>
      <c r="AA106" s="37">
        <f t="shared" si="170"/>
        <v>30458.279228824449</v>
      </c>
      <c r="AB106" s="63">
        <v>32301</v>
      </c>
      <c r="AC106" s="63">
        <v>32642</v>
      </c>
      <c r="AD106" s="63">
        <v>32102</v>
      </c>
      <c r="AE106" s="63">
        <v>28713</v>
      </c>
      <c r="AF106" s="102">
        <v>30612</v>
      </c>
      <c r="AG106" s="63">
        <v>25383</v>
      </c>
      <c r="AH106" s="63">
        <v>28708</v>
      </c>
      <c r="AI106" s="63">
        <v>27663</v>
      </c>
      <c r="AJ106" s="63">
        <v>24389</v>
      </c>
      <c r="AK106" s="102">
        <v>20840</v>
      </c>
      <c r="AL106" s="63">
        <v>17699</v>
      </c>
      <c r="AM106" s="63">
        <v>18529</v>
      </c>
      <c r="AN106" s="63">
        <v>13870</v>
      </c>
      <c r="AP106" s="35"/>
      <c r="AU106" s="35"/>
      <c r="AY106" s="67">
        <v>13</v>
      </c>
      <c r="AZ106" s="97">
        <f t="shared" si="144"/>
        <v>0.66596570217017625</v>
      </c>
      <c r="BA106" s="103">
        <f t="shared" si="133"/>
        <v>100</v>
      </c>
      <c r="BB106" s="21">
        <f t="shared" si="172"/>
        <v>1.0604998318300161</v>
      </c>
      <c r="BC106" s="21">
        <f t="shared" si="173"/>
        <v>1.0770808785450856</v>
      </c>
      <c r="BD106" s="21">
        <f t="shared" si="174"/>
        <v>1.0645855453067783</v>
      </c>
      <c r="BE106" s="21">
        <f t="shared" si="175"/>
        <v>0.95698243138919081</v>
      </c>
      <c r="BF106" s="22">
        <f t="shared" si="176"/>
        <v>1.0254016640401151</v>
      </c>
      <c r="BG106" s="21">
        <f t="shared" si="177"/>
        <v>0.85451990247625953</v>
      </c>
      <c r="BH106" s="21">
        <f t="shared" si="178"/>
        <v>0.97131274939439194</v>
      </c>
      <c r="BI106" s="21">
        <f t="shared" si="179"/>
        <v>0.94065928732757642</v>
      </c>
      <c r="BJ106" s="21">
        <f t="shared" si="180"/>
        <v>0.83349689046876507</v>
      </c>
      <c r="BK106" s="22">
        <f t="shared" si="181"/>
        <v>0.71578834750937292</v>
      </c>
      <c r="BL106" s="21">
        <f t="shared" si="182"/>
        <v>0.61095969109310422</v>
      </c>
      <c r="BM106" s="21">
        <f t="shared" si="183"/>
        <v>0.64282495682344876</v>
      </c>
      <c r="BN106" s="21">
        <f t="shared" si="184"/>
        <v>0.4836087258648053</v>
      </c>
      <c r="BP106" s="35"/>
      <c r="BU106" s="35"/>
      <c r="BY106" s="68">
        <f t="shared" si="134"/>
        <v>100</v>
      </c>
      <c r="BZ106" s="37">
        <f t="shared" si="135"/>
        <v>384293.97990061471</v>
      </c>
      <c r="CA106" s="37">
        <f t="shared" si="196"/>
        <v>333451</v>
      </c>
      <c r="CB106" s="21">
        <f t="shared" si="197"/>
        <v>0.86769769353721438</v>
      </c>
      <c r="CC106" s="99">
        <f t="shared" si="145"/>
        <v>50</v>
      </c>
      <c r="CD106" s="37" t="str">
        <f t="shared" si="136"/>
        <v>Fixed</v>
      </c>
      <c r="CE106" s="60">
        <f t="shared" si="198"/>
        <v>-5.6726612146556596E-2</v>
      </c>
      <c r="CF106" s="21">
        <f t="array" ref="CF106:CG106">LINEST(AB106:AN106,AB$6:AN$6,TRUE,FALSE)</f>
        <v>-1497.5164835164835</v>
      </c>
      <c r="CG106" s="21">
        <v>36132.692307692305</v>
      </c>
      <c r="CH106" s="97">
        <f t="shared" si="146"/>
        <v>0.98850431201192901</v>
      </c>
      <c r="DC106" s="21">
        <f t="shared" si="147"/>
        <v>1.2333333333333334</v>
      </c>
      <c r="DD106" s="33">
        <f t="shared" si="137"/>
        <v>1</v>
      </c>
      <c r="DE106" s="33">
        <f t="shared" si="148"/>
        <v>14</v>
      </c>
      <c r="DT106" s="33">
        <f t="shared" si="149"/>
        <v>210461</v>
      </c>
      <c r="DU106" s="37">
        <f t="shared" si="150"/>
        <v>30458.279228824449</v>
      </c>
      <c r="DV106" s="37">
        <f t="shared" si="151"/>
        <v>30305.987832680326</v>
      </c>
      <c r="DW106" s="37">
        <f t="shared" si="152"/>
        <v>30154.457893516923</v>
      </c>
      <c r="DX106" s="37">
        <f t="shared" si="153"/>
        <v>30003.68560404934</v>
      </c>
      <c r="DY106" s="37">
        <f t="shared" si="154"/>
        <v>29853.667176029096</v>
      </c>
      <c r="DZ106" s="37">
        <f t="shared" si="155"/>
        <v>29704.398840148951</v>
      </c>
      <c r="EA106" s="37">
        <f t="shared" si="156"/>
        <v>29555.876845948205</v>
      </c>
      <c r="EB106" s="21">
        <f t="shared" si="157"/>
        <v>1.0020217765728923</v>
      </c>
      <c r="ED106" s="21" t="str">
        <f t="shared" si="158"/>
        <v xml:space="preserve"> </v>
      </c>
      <c r="EE106" s="60" t="str">
        <f t="shared" si="159"/>
        <v xml:space="preserve"> </v>
      </c>
      <c r="EF106" s="21" t="str">
        <f t="shared" si="160"/>
        <v xml:space="preserve"> </v>
      </c>
      <c r="EG106" s="60" t="str">
        <f t="shared" si="161"/>
        <v xml:space="preserve"> </v>
      </c>
      <c r="EI106" s="21" t="str">
        <f t="shared" si="162"/>
        <v xml:space="preserve"> </v>
      </c>
      <c r="EJ106" s="21" t="str">
        <f t="shared" si="163"/>
        <v xml:space="preserve"> </v>
      </c>
      <c r="EK106" s="21"/>
      <c r="EL106" s="21">
        <f t="array" ref="EL106:EM106">LINEST($AB106:$AH106,$AB$6:$AH$6,TRUE,FALSE)</f>
        <v>-956.67857142857122</v>
      </c>
      <c r="EM106" s="21">
        <v>33892.571428571428</v>
      </c>
      <c r="EN106" s="60">
        <f t="shared" si="164"/>
        <v>-3.1819434479547277E-2</v>
      </c>
      <c r="EO106" s="21">
        <f t="array" ref="EO106:EP106">LINEST($AH106:$AN106,$AH$6:$AN$6,TRUE,FALSE)</f>
        <v>-2481.1428571428569</v>
      </c>
      <c r="EP106" s="21">
        <v>46482.571428571428</v>
      </c>
      <c r="EQ106" s="60">
        <f t="shared" si="165"/>
        <v>-0.11449063270445224</v>
      </c>
      <c r="ES106" s="37">
        <f t="shared" si="166"/>
        <v>403088.94005101779</v>
      </c>
      <c r="ET106" s="37">
        <f t="shared" si="186"/>
        <v>439284.9030612238</v>
      </c>
      <c r="EU106" s="37">
        <f t="shared" si="187"/>
        <v>1165243.1441326542</v>
      </c>
      <c r="EV106" s="37">
        <f t="shared" si="188"/>
        <v>1830222.4489795875</v>
      </c>
      <c r="EW106" s="37">
        <f t="shared" si="189"/>
        <v>2258472.2461734661</v>
      </c>
      <c r="EX106" s="37">
        <f t="shared" si="190"/>
        <v>7670130.25</v>
      </c>
      <c r="EY106" s="37">
        <f t="shared" si="191"/>
        <v>2286684.0318877581</v>
      </c>
      <c r="EZ106" s="37">
        <f t="shared" si="167"/>
        <v>1060017.3265306102</v>
      </c>
      <c r="FA106" s="37">
        <f t="shared" si="192"/>
        <v>56033.653061223013</v>
      </c>
      <c r="FB106" s="137">
        <f t="shared" si="193"/>
        <v>690798.4489795944</v>
      </c>
      <c r="FC106" s="37">
        <f t="shared" si="194"/>
        <v>2223081</v>
      </c>
      <c r="FD106" s="37">
        <f t="shared" si="195"/>
        <v>3312920.0204081559</v>
      </c>
      <c r="FE106" s="37">
        <f t="shared" si="185"/>
        <v>127959.51020408461</v>
      </c>
      <c r="FF106" s="37"/>
      <c r="FG106" s="137"/>
      <c r="FH106" s="37"/>
      <c r="FI106" s="37"/>
      <c r="FQ106" s="183">
        <f t="shared" si="199"/>
        <v>5.2443859576607813E-2</v>
      </c>
      <c r="FR106" s="184">
        <v>3.5999999999999997E-2</v>
      </c>
      <c r="FS106" s="185">
        <f t="shared" si="139"/>
        <v>0.6864483333346717</v>
      </c>
      <c r="FV106" s="183">
        <f t="shared" si="168"/>
        <v>5.0368288875799708E-2</v>
      </c>
      <c r="FW106" s="185">
        <f t="shared" si="169"/>
        <v>0.71473541792873574</v>
      </c>
    </row>
    <row r="107" spans="1:179" x14ac:dyDescent="0.3">
      <c r="AV107" s="7" t="s">
        <v>601</v>
      </c>
      <c r="AW107">
        <f t="array" ref="AW107:AX107">LINEST(BB107:BQ107,BB6:BQ6,TRUE,FALSE)</f>
        <v>-2.3790335758638172E-2</v>
      </c>
      <c r="AX107" s="104">
        <v>0.82132898249883879</v>
      </c>
      <c r="AY107" s="7" t="s">
        <v>593</v>
      </c>
      <c r="AZ107" s="47">
        <f>AVERAGE(BB107:BQ107)</f>
        <v>0.61911112855041428</v>
      </c>
      <c r="BA107" t="s">
        <v>598</v>
      </c>
      <c r="BB107" s="2">
        <f>BB2/BB109</f>
        <v>0.7858323390892693</v>
      </c>
      <c r="BC107" s="2">
        <f t="shared" ref="BC107:BQ107" si="200">BC2/BC109</f>
        <v>0.71522245836197529</v>
      </c>
      <c r="BD107" s="2">
        <f t="shared" si="200"/>
        <v>0.70060100207429521</v>
      </c>
      <c r="BE107" s="2">
        <f t="shared" si="200"/>
        <v>0.7296483919911847</v>
      </c>
      <c r="BF107" s="116">
        <f t="shared" si="200"/>
        <v>0.71191527792413223</v>
      </c>
      <c r="BG107" s="2">
        <f t="shared" si="200"/>
        <v>0.72339700778988514</v>
      </c>
      <c r="BH107" s="2">
        <f t="shared" si="200"/>
        <v>0.76297572369277966</v>
      </c>
      <c r="BI107" s="2">
        <f t="shared" si="200"/>
        <v>0.63375544972798969</v>
      </c>
      <c r="BJ107" s="2">
        <f t="shared" si="200"/>
        <v>0.56442086747925069</v>
      </c>
      <c r="BK107" s="116">
        <f t="shared" si="200"/>
        <v>0.58641202879506416</v>
      </c>
      <c r="BL107" s="2">
        <f t="shared" si="200"/>
        <v>0.6328812359340128</v>
      </c>
      <c r="BM107" s="2">
        <f t="shared" si="200"/>
        <v>0.59315627663282389</v>
      </c>
      <c r="BN107" s="2">
        <f t="shared" si="200"/>
        <v>0.56069869452200105</v>
      </c>
      <c r="BO107" s="2">
        <f t="shared" si="200"/>
        <v>0.31418555036687712</v>
      </c>
      <c r="BP107" s="116">
        <f t="shared" si="200"/>
        <v>0.39907638797045358</v>
      </c>
      <c r="BQ107" s="2">
        <f t="shared" si="200"/>
        <v>0.4915993644546347</v>
      </c>
      <c r="CH107" t="s">
        <v>977</v>
      </c>
    </row>
    <row r="108" spans="1:179" x14ac:dyDescent="0.3">
      <c r="N108" s="1"/>
      <c r="AV108" s="7" t="s">
        <v>602</v>
      </c>
      <c r="AW108" s="104">
        <f t="array" ref="AW108:AX108">LINEST(BB108:BQ108,BB6:BQ6,TRUE,FALSE)</f>
        <v>-2.2900467080494993E-2</v>
      </c>
      <c r="AX108" s="104">
        <v>0.85228875097118317</v>
      </c>
      <c r="AY108" s="7" t="s">
        <v>593</v>
      </c>
      <c r="AZ108" s="47">
        <f>AVERAGE(BB108:BQ108)</f>
        <v>0.65763478078697568</v>
      </c>
      <c r="BA108" t="s">
        <v>597</v>
      </c>
      <c r="BB108" s="2">
        <f>BB113/BB109</f>
        <v>0.77294915821074517</v>
      </c>
      <c r="BC108" s="2">
        <f t="shared" ref="BC108:BQ108" si="201">BC113/BC109</f>
        <v>0.72577819925418585</v>
      </c>
      <c r="BD108" s="2">
        <f t="shared" si="201"/>
        <v>0.7753019765342597</v>
      </c>
      <c r="BE108" s="2">
        <f t="shared" si="201"/>
        <v>0.80833021613460376</v>
      </c>
      <c r="BF108" s="20">
        <f t="shared" si="201"/>
        <v>0.74230186431853185</v>
      </c>
      <c r="BG108" s="2">
        <f t="shared" si="201"/>
        <v>0.81778327285649177</v>
      </c>
      <c r="BH108" s="2">
        <f t="shared" si="201"/>
        <v>0.77965542680929145</v>
      </c>
      <c r="BI108" s="2">
        <f t="shared" si="201"/>
        <v>0.69950522743066634</v>
      </c>
      <c r="BJ108" s="2">
        <f t="shared" si="201"/>
        <v>0.64185122487957469</v>
      </c>
      <c r="BK108" s="20">
        <f t="shared" si="201"/>
        <v>0.55814501121979454</v>
      </c>
      <c r="BL108" s="2">
        <f t="shared" si="201"/>
        <v>0.62249614050747792</v>
      </c>
      <c r="BM108" s="2">
        <f t="shared" si="201"/>
        <v>0.63808981267250953</v>
      </c>
      <c r="BN108" s="2">
        <f t="shared" si="201"/>
        <v>0.62092878313676325</v>
      </c>
      <c r="BO108" s="2">
        <f t="shared" si="201"/>
        <v>0.18787803026137434</v>
      </c>
      <c r="BP108" s="20">
        <f t="shared" si="201"/>
        <v>0.46700714909100505</v>
      </c>
      <c r="BQ108" s="2">
        <f t="shared" si="201"/>
        <v>0.66415499927433608</v>
      </c>
      <c r="CB108" s="2"/>
      <c r="CH108" s="1">
        <f>STDEV(CH7:CH106)</f>
        <v>2.4817157393521739E-2</v>
      </c>
    </row>
    <row r="109" spans="1:179" x14ac:dyDescent="0.3">
      <c r="E109" t="s">
        <v>677</v>
      </c>
      <c r="F109" s="107" t="s">
        <v>964</v>
      </c>
      <c r="G109" s="107" t="s">
        <v>923</v>
      </c>
      <c r="H109" s="107" t="s">
        <v>962</v>
      </c>
      <c r="I109" s="107" t="s">
        <v>963</v>
      </c>
      <c r="AW109" s="51" t="s">
        <v>594</v>
      </c>
      <c r="AX109" s="114" t="s">
        <v>595</v>
      </c>
      <c r="AY109" s="1"/>
      <c r="AZ109" s="1"/>
      <c r="BA109" t="s">
        <v>152</v>
      </c>
      <c r="BB109" s="2">
        <f>MEDIAN(BB7:BB106)</f>
        <v>0.95554712194250835</v>
      </c>
      <c r="BC109" s="2">
        <f t="shared" ref="BC109:BQ109" si="202">MEDIAN(BC7:BC106)</f>
        <v>0.97496458936143615</v>
      </c>
      <c r="BD109" s="2">
        <f t="shared" si="202"/>
        <v>0.96635513652726979</v>
      </c>
      <c r="BE109" s="2">
        <f t="shared" si="202"/>
        <v>0.95478358485236026</v>
      </c>
      <c r="BF109" s="20">
        <f t="shared" si="202"/>
        <v>0.94922573002637167</v>
      </c>
      <c r="BG109" s="2">
        <f t="shared" si="202"/>
        <v>0.93101462709062177</v>
      </c>
      <c r="BH109" s="2">
        <f t="shared" si="202"/>
        <v>0.91578839121517386</v>
      </c>
      <c r="BI109" s="2">
        <f t="shared" si="202"/>
        <v>0.90286708465950716</v>
      </c>
      <c r="BJ109" s="2">
        <f t="shared" si="202"/>
        <v>0.87483963711486967</v>
      </c>
      <c r="BK109" s="20">
        <f t="shared" si="202"/>
        <v>0.86402869952718864</v>
      </c>
      <c r="BL109" s="2">
        <f t="shared" si="202"/>
        <v>0.85965253259434671</v>
      </c>
      <c r="BM109" s="2">
        <f t="shared" si="202"/>
        <v>0.816865598966382</v>
      </c>
      <c r="BN109" s="2">
        <f t="shared" si="202"/>
        <v>0.77423984096966758</v>
      </c>
      <c r="BO109" s="2">
        <f t="shared" si="202"/>
        <v>0.73064362057356824</v>
      </c>
      <c r="BP109" s="20">
        <f t="shared" si="202"/>
        <v>0.61601078022999289</v>
      </c>
      <c r="BQ109" s="2">
        <f t="shared" si="202"/>
        <v>0.60557178290612312</v>
      </c>
      <c r="CD109" s="18" t="s">
        <v>577</v>
      </c>
      <c r="CE109" s="110">
        <f>MEDIAN(CE7:CE106)</f>
        <v>-2.3304756373798266E-2</v>
      </c>
    </row>
    <row r="110" spans="1:179" x14ac:dyDescent="0.3">
      <c r="E110">
        <v>2003</v>
      </c>
      <c r="F110">
        <f>COUNTIF($E$7:$E$106,E110)</f>
        <v>1</v>
      </c>
      <c r="G110">
        <f>F110</f>
        <v>1</v>
      </c>
      <c r="H110">
        <f>COUNTIF($D$7:$D$106,$E110)</f>
        <v>1</v>
      </c>
      <c r="I110">
        <f>H110</f>
        <v>1</v>
      </c>
      <c r="AW110" t="s">
        <v>596</v>
      </c>
      <c r="BA110" t="s">
        <v>161</v>
      </c>
      <c r="BB110" s="3">
        <f>COUNT(BB7:BB106)</f>
        <v>100</v>
      </c>
      <c r="BC110" s="3">
        <f t="shared" ref="BC110:BX110" si="203">COUNT(BC7:BC106)</f>
        <v>100</v>
      </c>
      <c r="BD110" s="3">
        <f t="shared" si="203"/>
        <v>100</v>
      </c>
      <c r="BE110" s="3">
        <f t="shared" si="203"/>
        <v>100</v>
      </c>
      <c r="BF110" s="29">
        <f t="shared" si="203"/>
        <v>100</v>
      </c>
      <c r="BG110" s="3">
        <f t="shared" si="203"/>
        <v>100</v>
      </c>
      <c r="BH110" s="3">
        <f t="shared" si="203"/>
        <v>100</v>
      </c>
      <c r="BI110" s="3">
        <f t="shared" si="203"/>
        <v>100</v>
      </c>
      <c r="BJ110" s="3">
        <f t="shared" si="203"/>
        <v>100</v>
      </c>
      <c r="BK110" s="29">
        <f t="shared" si="203"/>
        <v>100</v>
      </c>
      <c r="BL110" s="3">
        <f t="shared" si="203"/>
        <v>100</v>
      </c>
      <c r="BM110" s="3">
        <f t="shared" si="203"/>
        <v>100</v>
      </c>
      <c r="BN110" s="3">
        <f t="shared" si="203"/>
        <v>97</v>
      </c>
      <c r="BO110" s="3">
        <f t="shared" si="203"/>
        <v>73</v>
      </c>
      <c r="BP110" s="29">
        <f t="shared" si="203"/>
        <v>41</v>
      </c>
      <c r="BQ110" s="3">
        <f t="shared" si="203"/>
        <v>24</v>
      </c>
      <c r="BR110" s="3">
        <f t="shared" si="203"/>
        <v>4</v>
      </c>
      <c r="BS110" s="3">
        <f t="shared" si="203"/>
        <v>1</v>
      </c>
      <c r="BT110" s="3">
        <f t="shared" si="203"/>
        <v>1</v>
      </c>
      <c r="BU110" s="3">
        <f t="shared" si="203"/>
        <v>1</v>
      </c>
      <c r="BV110" s="3">
        <f t="shared" si="203"/>
        <v>1</v>
      </c>
      <c r="BW110" s="3">
        <f t="shared" si="203"/>
        <v>1</v>
      </c>
      <c r="BX110" s="3">
        <f t="shared" si="203"/>
        <v>1</v>
      </c>
      <c r="BZ110" s="80">
        <f>SUM(BZ7:BZ106)</f>
        <v>14873745.845274163</v>
      </c>
      <c r="CA110" s="81">
        <f>SUM(CA7:CA106)</f>
        <v>13660673.449999999</v>
      </c>
      <c r="CB110" s="82">
        <f>CA110/BZ110</f>
        <v>0.91844203821328618</v>
      </c>
      <c r="CD110" s="18" t="s">
        <v>576</v>
      </c>
      <c r="CE110" s="110">
        <f>AVERAGE(CE7:CE106)</f>
        <v>-3.1107463962614244E-2</v>
      </c>
    </row>
    <row r="111" spans="1:179" x14ac:dyDescent="0.3">
      <c r="E111">
        <f>E110+1</f>
        <v>2004</v>
      </c>
      <c r="F111">
        <f t="shared" ref="F111:F118" si="204">COUNTIF($E$7:$E$106,E111)</f>
        <v>0</v>
      </c>
      <c r="G111">
        <f>G110+F111</f>
        <v>1</v>
      </c>
      <c r="H111">
        <f>COUNTIF($D$7:$D$106,$E111)</f>
        <v>0</v>
      </c>
      <c r="I111">
        <f>I110+H111</f>
        <v>1</v>
      </c>
      <c r="AW111" s="115">
        <v>8</v>
      </c>
      <c r="BA111" t="s">
        <v>163</v>
      </c>
      <c r="BB111" s="3">
        <f>INT(ROUNDUP(BB110*0.9,0))</f>
        <v>90</v>
      </c>
      <c r="BC111" s="3">
        <f t="shared" ref="BC111:BX111" si="205">INT(ROUNDUP(BC110*0.9,0))</f>
        <v>90</v>
      </c>
      <c r="BD111" s="3">
        <f t="shared" si="205"/>
        <v>90</v>
      </c>
      <c r="BE111" s="3">
        <f t="shared" si="205"/>
        <v>90</v>
      </c>
      <c r="BF111" s="29">
        <f t="shared" si="205"/>
        <v>90</v>
      </c>
      <c r="BG111" s="3">
        <f t="shared" si="205"/>
        <v>90</v>
      </c>
      <c r="BH111" s="3">
        <f t="shared" si="205"/>
        <v>90</v>
      </c>
      <c r="BI111" s="3">
        <f t="shared" si="205"/>
        <v>90</v>
      </c>
      <c r="BJ111" s="3">
        <f t="shared" si="205"/>
        <v>90</v>
      </c>
      <c r="BK111" s="29">
        <f t="shared" si="205"/>
        <v>90</v>
      </c>
      <c r="BL111" s="3">
        <f t="shared" si="205"/>
        <v>90</v>
      </c>
      <c r="BM111" s="3">
        <f t="shared" si="205"/>
        <v>90</v>
      </c>
      <c r="BN111" s="3">
        <f t="shared" si="205"/>
        <v>88</v>
      </c>
      <c r="BO111" s="3">
        <f t="shared" si="205"/>
        <v>66</v>
      </c>
      <c r="BP111" s="29">
        <f t="shared" si="205"/>
        <v>37</v>
      </c>
      <c r="BQ111" s="3">
        <f t="shared" si="205"/>
        <v>22</v>
      </c>
      <c r="BR111" s="3">
        <f t="shared" si="205"/>
        <v>4</v>
      </c>
      <c r="BS111" s="3">
        <f t="shared" si="205"/>
        <v>1</v>
      </c>
      <c r="BT111" s="3">
        <f t="shared" si="205"/>
        <v>1</v>
      </c>
      <c r="BU111" s="3">
        <f t="shared" si="205"/>
        <v>1</v>
      </c>
      <c r="BV111" s="3">
        <f t="shared" si="205"/>
        <v>1</v>
      </c>
      <c r="BW111" s="3">
        <f t="shared" si="205"/>
        <v>1</v>
      </c>
      <c r="BX111" s="3">
        <f t="shared" si="205"/>
        <v>1</v>
      </c>
      <c r="CA111" s="8" t="s">
        <v>535</v>
      </c>
      <c r="CB111" s="82">
        <f>AVERAGE($CB$7:$CB$106)</f>
        <v>0.83956393094067594</v>
      </c>
      <c r="CE111" t="s">
        <v>192</v>
      </c>
    </row>
    <row r="112" spans="1:179" x14ac:dyDescent="0.3">
      <c r="E112">
        <f t="shared" ref="E112:E120" si="206">E111+1</f>
        <v>2005</v>
      </c>
      <c r="F112">
        <f t="shared" si="204"/>
        <v>0</v>
      </c>
      <c r="G112">
        <f t="shared" ref="G112:G118" si="207">G111+F112</f>
        <v>1</v>
      </c>
      <c r="H112">
        <f t="shared" ref="H112:H120" si="208">COUNTIF($D$7:$D$106,$E112)</f>
        <v>0</v>
      </c>
      <c r="I112">
        <f t="shared" ref="I112:I118" si="209">I111+H112</f>
        <v>1</v>
      </c>
      <c r="AW112" t="s">
        <v>599</v>
      </c>
      <c r="BA112" t="s">
        <v>162</v>
      </c>
      <c r="BB112">
        <f>MATCH(BB111,BB$115:BB$214,0)</f>
        <v>32</v>
      </c>
      <c r="BC112">
        <f t="shared" ref="BC112:BQ112" si="210">MATCH(BC111,BC$115:BC$214,0)</f>
        <v>25</v>
      </c>
      <c r="BD112">
        <f t="shared" si="210"/>
        <v>37</v>
      </c>
      <c r="BE112">
        <f t="shared" si="210"/>
        <v>43</v>
      </c>
      <c r="BF112" s="23">
        <f t="shared" si="210"/>
        <v>58</v>
      </c>
      <c r="BG112">
        <f t="shared" si="210"/>
        <v>58</v>
      </c>
      <c r="BH112">
        <f t="shared" si="210"/>
        <v>10</v>
      </c>
      <c r="BI112">
        <f t="shared" si="210"/>
        <v>35</v>
      </c>
      <c r="BJ112">
        <f t="shared" si="210"/>
        <v>16</v>
      </c>
      <c r="BK112" s="23">
        <f t="shared" si="210"/>
        <v>10</v>
      </c>
      <c r="BL112">
        <f t="shared" si="210"/>
        <v>65</v>
      </c>
      <c r="BM112">
        <f t="shared" si="210"/>
        <v>46</v>
      </c>
      <c r="BN112">
        <f t="shared" si="210"/>
        <v>52</v>
      </c>
      <c r="BO112">
        <f t="shared" si="210"/>
        <v>42</v>
      </c>
      <c r="BP112" s="23">
        <f t="shared" si="210"/>
        <v>35</v>
      </c>
      <c r="BQ112">
        <f t="shared" si="210"/>
        <v>31</v>
      </c>
      <c r="BR112" s="2"/>
      <c r="CA112" s="42" t="s">
        <v>534</v>
      </c>
      <c r="CB112" s="45">
        <f>STDEV($CB$7:$CB$106)</f>
        <v>0.14018018226092641</v>
      </c>
    </row>
    <row r="113" spans="5:84" x14ac:dyDescent="0.3">
      <c r="E113">
        <f t="shared" si="206"/>
        <v>2006</v>
      </c>
      <c r="F113">
        <f t="shared" si="204"/>
        <v>1</v>
      </c>
      <c r="G113">
        <f t="shared" si="207"/>
        <v>2</v>
      </c>
      <c r="H113">
        <f t="shared" si="208"/>
        <v>0</v>
      </c>
      <c r="I113">
        <f t="shared" si="209"/>
        <v>1</v>
      </c>
      <c r="AW113" s="2">
        <f>$AW$108*$AW$111+$AX$108</f>
        <v>0.66908501432722323</v>
      </c>
      <c r="BA113" t="s">
        <v>164</v>
      </c>
      <c r="BB113" s="2">
        <f t="shared" ref="BB113:BQ113" si="211">VLOOKUP(BB112,$BA$7:$BQ$106,BB6+1)</f>
        <v>0.73858934353616212</v>
      </c>
      <c r="BC113" s="2">
        <f t="shared" si="211"/>
        <v>0.70760804400333988</v>
      </c>
      <c r="BD113" s="2">
        <f t="shared" si="211"/>
        <v>0.7492170473836266</v>
      </c>
      <c r="BE113" s="2">
        <f t="shared" si="211"/>
        <v>0.77178042150548021</v>
      </c>
      <c r="BF113" s="20">
        <f t="shared" si="211"/>
        <v>0.70461202905769504</v>
      </c>
      <c r="BG113" s="2">
        <f t="shared" si="211"/>
        <v>0.76136818881943491</v>
      </c>
      <c r="BH113" s="2">
        <f t="shared" si="211"/>
        <v>0.71399938901986071</v>
      </c>
      <c r="BI113" s="2">
        <f t="shared" si="211"/>
        <v>0.63156024539441125</v>
      </c>
      <c r="BJ113" s="2">
        <f t="shared" si="211"/>
        <v>0.56151689265538174</v>
      </c>
      <c r="BK113" s="20">
        <f t="shared" si="211"/>
        <v>0.48225330819182721</v>
      </c>
      <c r="BL113" s="2">
        <f t="shared" si="211"/>
        <v>0.53513038371745969</v>
      </c>
      <c r="BM113" s="2">
        <f t="shared" si="211"/>
        <v>0.52123361702307602</v>
      </c>
      <c r="BN113" s="2">
        <f t="shared" si="211"/>
        <v>0.48074780230929676</v>
      </c>
      <c r="BO113" s="2">
        <f t="shared" si="211"/>
        <v>0.13727188425640097</v>
      </c>
      <c r="BP113" s="20">
        <f t="shared" si="211"/>
        <v>0.28768143828453463</v>
      </c>
      <c r="BQ113" s="2">
        <f t="shared" si="211"/>
        <v>0.40219352703657463</v>
      </c>
      <c r="BR113" s="2"/>
      <c r="BZ113" s="26" t="s">
        <v>186</v>
      </c>
      <c r="CA113" s="73" t="s">
        <v>186</v>
      </c>
      <c r="CB113" s="76" t="s">
        <v>188</v>
      </c>
      <c r="CE113" t="s">
        <v>592</v>
      </c>
    </row>
    <row r="114" spans="5:84" x14ac:dyDescent="0.3">
      <c r="E114">
        <f t="shared" si="206"/>
        <v>2007</v>
      </c>
      <c r="F114">
        <f t="shared" si="204"/>
        <v>6</v>
      </c>
      <c r="G114">
        <f t="shared" si="207"/>
        <v>8</v>
      </c>
      <c r="H114">
        <f t="shared" si="208"/>
        <v>0</v>
      </c>
      <c r="I114">
        <f t="shared" si="209"/>
        <v>1</v>
      </c>
      <c r="AW114" t="s">
        <v>600</v>
      </c>
      <c r="BA114" t="s">
        <v>160</v>
      </c>
      <c r="BB114" s="2" t="s">
        <v>159</v>
      </c>
      <c r="BC114" s="2"/>
      <c r="BD114" s="2"/>
      <c r="BE114" s="2"/>
      <c r="BF114" s="20"/>
      <c r="BG114" s="2"/>
      <c r="BH114" s="2"/>
      <c r="BI114" s="2"/>
      <c r="BJ114" s="2"/>
      <c r="BK114" s="20"/>
      <c r="BL114" s="2"/>
      <c r="BM114" s="2"/>
      <c r="BN114" s="2"/>
      <c r="BO114" s="2"/>
      <c r="BP114" s="20"/>
      <c r="BQ114" s="2"/>
      <c r="BR114" s="2"/>
      <c r="BZ114" s="30">
        <f>SUMIF($CD$7:$CD$106,"Tracker",$BZ$7:$BZ$106)</f>
        <v>5969851.2817981411</v>
      </c>
      <c r="CA114" s="33">
        <f>SUMIF($CD$7:$CD$106,"Tracker",$CA$7:$CA$106)</f>
        <v>5551588.4500000002</v>
      </c>
      <c r="CB114" s="83">
        <f>CA114/BZ114</f>
        <v>0.92993747883244449</v>
      </c>
      <c r="CE114" s="59">
        <f>MIN(CE7:CE106)</f>
        <v>-0.20736373445480893</v>
      </c>
      <c r="CF114" t="s">
        <v>532</v>
      </c>
    </row>
    <row r="115" spans="5:84" x14ac:dyDescent="0.3">
      <c r="E115">
        <f t="shared" si="206"/>
        <v>2008</v>
      </c>
      <c r="F115">
        <f t="shared" si="204"/>
        <v>9</v>
      </c>
      <c r="G115">
        <f t="shared" si="207"/>
        <v>17</v>
      </c>
      <c r="H115">
        <f t="shared" si="208"/>
        <v>4</v>
      </c>
      <c r="I115">
        <f t="shared" si="209"/>
        <v>5</v>
      </c>
      <c r="AW115" s="2">
        <f>$AW$107*$AW$111+$AX$107</f>
        <v>0.63100629642973338</v>
      </c>
      <c r="BA115" s="24">
        <f t="shared" ref="BA115:BA146" si="212">A7</f>
        <v>1</v>
      </c>
      <c r="BB115" s="3">
        <f t="shared" ref="BB115:BQ115" si="213">RANK(BB7,BB$7:BB$106,0)</f>
        <v>92</v>
      </c>
      <c r="BC115" s="3">
        <f t="shared" si="213"/>
        <v>97</v>
      </c>
      <c r="BD115" s="3">
        <f t="shared" si="213"/>
        <v>99</v>
      </c>
      <c r="BE115" s="3">
        <f t="shared" si="213"/>
        <v>98</v>
      </c>
      <c r="BF115" s="29">
        <f t="shared" si="213"/>
        <v>87</v>
      </c>
      <c r="BG115" s="3">
        <f t="shared" si="213"/>
        <v>79</v>
      </c>
      <c r="BH115" s="3">
        <f t="shared" si="213"/>
        <v>99</v>
      </c>
      <c r="BI115" s="3">
        <f t="shared" si="213"/>
        <v>68</v>
      </c>
      <c r="BJ115" s="3">
        <f t="shared" si="213"/>
        <v>58</v>
      </c>
      <c r="BK115" s="29">
        <f t="shared" si="213"/>
        <v>53</v>
      </c>
      <c r="BL115" s="3">
        <f t="shared" si="213"/>
        <v>63</v>
      </c>
      <c r="BM115" s="3">
        <f t="shared" si="213"/>
        <v>92</v>
      </c>
      <c r="BN115" s="3">
        <f t="shared" si="213"/>
        <v>95</v>
      </c>
      <c r="BO115" s="3">
        <f t="shared" si="213"/>
        <v>58</v>
      </c>
      <c r="BP115" s="29">
        <f t="shared" si="213"/>
        <v>33</v>
      </c>
      <c r="BQ115" s="3">
        <f t="shared" si="213"/>
        <v>15</v>
      </c>
      <c r="BR115" s="2"/>
      <c r="BZ115" s="26" t="s">
        <v>187</v>
      </c>
      <c r="CA115" s="73" t="s">
        <v>187</v>
      </c>
      <c r="CB115" s="34"/>
    </row>
    <row r="116" spans="5:84" x14ac:dyDescent="0.3">
      <c r="E116">
        <f t="shared" si="206"/>
        <v>2009</v>
      </c>
      <c r="F116">
        <f t="shared" si="204"/>
        <v>21</v>
      </c>
      <c r="G116">
        <f t="shared" si="207"/>
        <v>38</v>
      </c>
      <c r="H116">
        <f t="shared" si="208"/>
        <v>18</v>
      </c>
      <c r="I116">
        <f t="shared" si="209"/>
        <v>23</v>
      </c>
      <c r="AX116" t="s">
        <v>929</v>
      </c>
      <c r="AY116" s="72">
        <f>AVERAGE(AY7:AY106)</f>
        <v>14.45</v>
      </c>
      <c r="BA116" s="24">
        <f t="shared" si="212"/>
        <v>2</v>
      </c>
      <c r="BB116" s="3">
        <f t="shared" ref="BB116:BQ116" si="214">RANK(BB8,BB$7:BB$106,0)</f>
        <v>22</v>
      </c>
      <c r="BC116" s="3">
        <f t="shared" si="214"/>
        <v>30</v>
      </c>
      <c r="BD116" s="3">
        <f t="shared" si="214"/>
        <v>39</v>
      </c>
      <c r="BE116" s="3">
        <f t="shared" si="214"/>
        <v>19</v>
      </c>
      <c r="BF116" s="29">
        <f t="shared" si="214"/>
        <v>19</v>
      </c>
      <c r="BG116" s="3">
        <f t="shared" si="214"/>
        <v>14</v>
      </c>
      <c r="BH116" s="3">
        <f t="shared" si="214"/>
        <v>13</v>
      </c>
      <c r="BI116" s="3">
        <f t="shared" si="214"/>
        <v>20</v>
      </c>
      <c r="BJ116" s="3">
        <f t="shared" si="214"/>
        <v>81</v>
      </c>
      <c r="BK116" s="29">
        <f t="shared" si="214"/>
        <v>33</v>
      </c>
      <c r="BL116" s="3">
        <f t="shared" si="214"/>
        <v>44</v>
      </c>
      <c r="BM116" s="3">
        <f t="shared" si="214"/>
        <v>45</v>
      </c>
      <c r="BN116" s="3">
        <f t="shared" si="214"/>
        <v>42</v>
      </c>
      <c r="BO116" s="3">
        <f t="shared" si="214"/>
        <v>42</v>
      </c>
      <c r="BP116" s="29">
        <f t="shared" si="214"/>
        <v>16</v>
      </c>
      <c r="BQ116" s="3">
        <f t="shared" si="214"/>
        <v>6</v>
      </c>
      <c r="BR116" s="2"/>
      <c r="BZ116" s="84">
        <f>BZ110-BZ114</f>
        <v>8903894.5634760223</v>
      </c>
      <c r="CA116" s="37">
        <f>CA110-CA114</f>
        <v>8109084.9999999991</v>
      </c>
      <c r="CB116" s="83">
        <f>CA116/BZ116</f>
        <v>0.91073461642994402</v>
      </c>
    </row>
    <row r="117" spans="5:84" x14ac:dyDescent="0.3">
      <c r="E117">
        <f t="shared" si="206"/>
        <v>2010</v>
      </c>
      <c r="F117">
        <f t="shared" si="204"/>
        <v>35</v>
      </c>
      <c r="G117">
        <f t="shared" si="207"/>
        <v>73</v>
      </c>
      <c r="H117">
        <f t="shared" si="208"/>
        <v>17</v>
      </c>
      <c r="I117">
        <f t="shared" si="209"/>
        <v>40</v>
      </c>
      <c r="AX117" t="s">
        <v>930</v>
      </c>
      <c r="BA117" s="24">
        <f t="shared" si="212"/>
        <v>3</v>
      </c>
      <c r="BB117" s="3">
        <f t="shared" ref="BB117:BQ117" si="215">RANK(BB9,BB$7:BB$106,0)</f>
        <v>76</v>
      </c>
      <c r="BC117" s="3">
        <f t="shared" si="215"/>
        <v>83</v>
      </c>
      <c r="BD117" s="3">
        <f t="shared" si="215"/>
        <v>74</v>
      </c>
      <c r="BE117" s="3">
        <f t="shared" si="215"/>
        <v>76</v>
      </c>
      <c r="BF117" s="29">
        <f t="shared" si="215"/>
        <v>71</v>
      </c>
      <c r="BG117" s="3">
        <f t="shared" si="215"/>
        <v>75</v>
      </c>
      <c r="BH117" s="3">
        <f t="shared" si="215"/>
        <v>72</v>
      </c>
      <c r="BI117" s="3">
        <f t="shared" si="215"/>
        <v>98</v>
      </c>
      <c r="BJ117" s="3">
        <f t="shared" si="215"/>
        <v>96</v>
      </c>
      <c r="BK117" s="29">
        <f t="shared" si="215"/>
        <v>1</v>
      </c>
      <c r="BL117" s="3">
        <f t="shared" si="215"/>
        <v>56</v>
      </c>
      <c r="BM117" s="3">
        <f t="shared" si="215"/>
        <v>53</v>
      </c>
      <c r="BN117" s="3">
        <f t="shared" si="215"/>
        <v>53</v>
      </c>
      <c r="BO117" s="3">
        <f t="shared" si="215"/>
        <v>41</v>
      </c>
      <c r="BP117" s="29">
        <f t="shared" si="215"/>
        <v>13</v>
      </c>
      <c r="BQ117" s="3">
        <f t="shared" si="215"/>
        <v>13</v>
      </c>
      <c r="BR117" s="2"/>
    </row>
    <row r="118" spans="5:84" x14ac:dyDescent="0.3">
      <c r="E118">
        <f t="shared" si="206"/>
        <v>2011</v>
      </c>
      <c r="F118">
        <f t="shared" si="204"/>
        <v>27</v>
      </c>
      <c r="G118">
        <f t="shared" si="207"/>
        <v>100</v>
      </c>
      <c r="H118">
        <f t="shared" si="208"/>
        <v>34</v>
      </c>
      <c r="I118">
        <f t="shared" si="209"/>
        <v>74</v>
      </c>
      <c r="AX118">
        <v>12</v>
      </c>
      <c r="AY118">
        <f>COUNTIF($AY$7:$AY$106,AX118)</f>
        <v>3</v>
      </c>
      <c r="BA118" s="24">
        <f t="shared" si="212"/>
        <v>4</v>
      </c>
      <c r="BB118" s="3">
        <f t="shared" ref="BB118:BQ118" si="216">RANK(BB10,BB$7:BB$106,0)</f>
        <v>72</v>
      </c>
      <c r="BC118" s="3">
        <f t="shared" si="216"/>
        <v>44</v>
      </c>
      <c r="BD118" s="3">
        <f t="shared" si="216"/>
        <v>32</v>
      </c>
      <c r="BE118" s="3">
        <f t="shared" si="216"/>
        <v>23</v>
      </c>
      <c r="BF118" s="29">
        <f t="shared" si="216"/>
        <v>54</v>
      </c>
      <c r="BG118" s="3">
        <f t="shared" si="216"/>
        <v>26</v>
      </c>
      <c r="BH118" s="3">
        <f t="shared" si="216"/>
        <v>17</v>
      </c>
      <c r="BI118" s="3">
        <f t="shared" si="216"/>
        <v>11</v>
      </c>
      <c r="BJ118" s="3">
        <f t="shared" si="216"/>
        <v>12</v>
      </c>
      <c r="BK118" s="29">
        <f t="shared" si="216"/>
        <v>19</v>
      </c>
      <c r="BL118" s="3">
        <f t="shared" si="216"/>
        <v>6</v>
      </c>
      <c r="BM118" s="3">
        <f t="shared" si="216"/>
        <v>8</v>
      </c>
      <c r="BN118" s="3">
        <f t="shared" si="216"/>
        <v>8</v>
      </c>
      <c r="BO118" s="3">
        <f t="shared" si="216"/>
        <v>2</v>
      </c>
      <c r="BP118" s="29">
        <f t="shared" si="216"/>
        <v>3</v>
      </c>
      <c r="BQ118" s="3">
        <f t="shared" si="216"/>
        <v>7</v>
      </c>
      <c r="BR118" s="2"/>
    </row>
    <row r="119" spans="5:84" x14ac:dyDescent="0.3">
      <c r="E119">
        <f t="shared" si="206"/>
        <v>2012</v>
      </c>
      <c r="H119">
        <f t="shared" si="208"/>
        <v>24</v>
      </c>
      <c r="I119">
        <f t="shared" ref="I119:I120" si="217">I118+H119</f>
        <v>98</v>
      </c>
      <c r="AX119">
        <v>13</v>
      </c>
      <c r="AY119">
        <f t="shared" ref="AY119:AY124" si="218">COUNTIF($AY$7:$AY$106,AX119)</f>
        <v>24</v>
      </c>
      <c r="BA119" s="24">
        <f t="shared" si="212"/>
        <v>5</v>
      </c>
      <c r="BB119" s="3">
        <f t="shared" ref="BB119:BQ119" si="219">RANK(BB11,BB$7:BB$106,0)</f>
        <v>98</v>
      </c>
      <c r="BC119" s="3">
        <f t="shared" si="219"/>
        <v>95</v>
      </c>
      <c r="BD119" s="3">
        <f t="shared" si="219"/>
        <v>30</v>
      </c>
      <c r="BE119" s="3">
        <f t="shared" si="219"/>
        <v>27</v>
      </c>
      <c r="BF119" s="29">
        <f t="shared" si="219"/>
        <v>45</v>
      </c>
      <c r="BG119" s="3">
        <f t="shared" si="219"/>
        <v>37</v>
      </c>
      <c r="BH119" s="3">
        <f t="shared" si="219"/>
        <v>97</v>
      </c>
      <c r="BI119" s="3">
        <f t="shared" si="219"/>
        <v>49</v>
      </c>
      <c r="BJ119" s="3">
        <f t="shared" si="219"/>
        <v>65</v>
      </c>
      <c r="BK119" s="29">
        <f t="shared" si="219"/>
        <v>92</v>
      </c>
      <c r="BL119" s="3">
        <f t="shared" si="219"/>
        <v>57</v>
      </c>
      <c r="BM119" s="3">
        <f t="shared" si="219"/>
        <v>74</v>
      </c>
      <c r="BN119" s="3">
        <f t="shared" si="219"/>
        <v>91</v>
      </c>
      <c r="BO119" s="3">
        <f t="shared" si="219"/>
        <v>63</v>
      </c>
      <c r="BP119" s="29">
        <f t="shared" si="219"/>
        <v>38</v>
      </c>
      <c r="BQ119" s="3">
        <f t="shared" si="219"/>
        <v>23</v>
      </c>
      <c r="BR119" s="2"/>
    </row>
    <row r="120" spans="5:84" x14ac:dyDescent="0.3">
      <c r="E120">
        <f t="shared" si="206"/>
        <v>2013</v>
      </c>
      <c r="H120">
        <f t="shared" si="208"/>
        <v>2</v>
      </c>
      <c r="I120">
        <f t="shared" si="217"/>
        <v>100</v>
      </c>
      <c r="AX120">
        <v>14</v>
      </c>
      <c r="AY120">
        <f t="shared" si="218"/>
        <v>32</v>
      </c>
      <c r="BA120" s="24">
        <f t="shared" si="212"/>
        <v>6</v>
      </c>
      <c r="BB120" s="3">
        <f t="shared" ref="BB120:BQ120" si="220">RANK(BB12,BB$7:BB$106,0)</f>
        <v>52</v>
      </c>
      <c r="BC120" s="3">
        <f t="shared" si="220"/>
        <v>68</v>
      </c>
      <c r="BD120" s="3">
        <f t="shared" si="220"/>
        <v>57</v>
      </c>
      <c r="BE120" s="3">
        <f t="shared" si="220"/>
        <v>54</v>
      </c>
      <c r="BF120" s="29">
        <f t="shared" si="220"/>
        <v>60</v>
      </c>
      <c r="BG120" s="3">
        <f t="shared" si="220"/>
        <v>65</v>
      </c>
      <c r="BH120" s="3">
        <f t="shared" si="220"/>
        <v>55</v>
      </c>
      <c r="BI120" s="3">
        <f t="shared" si="220"/>
        <v>60</v>
      </c>
      <c r="BJ120" s="3">
        <f t="shared" si="220"/>
        <v>48</v>
      </c>
      <c r="BK120" s="29">
        <f t="shared" si="220"/>
        <v>41</v>
      </c>
      <c r="BL120" s="3">
        <f t="shared" si="220"/>
        <v>8</v>
      </c>
      <c r="BM120" s="3">
        <f t="shared" si="220"/>
        <v>11</v>
      </c>
      <c r="BN120" s="3">
        <f t="shared" si="220"/>
        <v>36</v>
      </c>
      <c r="BO120" s="3">
        <f t="shared" si="220"/>
        <v>19</v>
      </c>
      <c r="BP120" s="29">
        <f t="shared" si="220"/>
        <v>7</v>
      </c>
      <c r="BQ120" s="3">
        <f t="shared" si="220"/>
        <v>3</v>
      </c>
      <c r="BR120" s="2"/>
    </row>
    <row r="121" spans="5:84" x14ac:dyDescent="0.3">
      <c r="AX121">
        <v>15</v>
      </c>
      <c r="AY121">
        <f t="shared" si="218"/>
        <v>17</v>
      </c>
      <c r="BA121" s="24">
        <f t="shared" si="212"/>
        <v>7</v>
      </c>
      <c r="BB121" s="3">
        <f t="shared" ref="BB121:BQ121" si="221">RANK(BB13,BB$7:BB$106,0)</f>
        <v>60</v>
      </c>
      <c r="BC121" s="3">
        <f t="shared" si="221"/>
        <v>12</v>
      </c>
      <c r="BD121" s="3">
        <f t="shared" si="221"/>
        <v>91</v>
      </c>
      <c r="BE121" s="3">
        <f t="shared" si="221"/>
        <v>96</v>
      </c>
      <c r="BF121" s="29">
        <f t="shared" si="221"/>
        <v>17</v>
      </c>
      <c r="BG121" s="3">
        <f t="shared" si="221"/>
        <v>8</v>
      </c>
      <c r="BH121" s="3">
        <f t="shared" si="221"/>
        <v>31</v>
      </c>
      <c r="BI121" s="3">
        <f t="shared" si="221"/>
        <v>22</v>
      </c>
      <c r="BJ121" s="3">
        <f t="shared" si="221"/>
        <v>22</v>
      </c>
      <c r="BK121" s="29">
        <f t="shared" si="221"/>
        <v>18</v>
      </c>
      <c r="BL121" s="3">
        <f t="shared" si="221"/>
        <v>47</v>
      </c>
      <c r="BM121" s="3">
        <f t="shared" si="221"/>
        <v>12</v>
      </c>
      <c r="BN121" s="3">
        <f t="shared" si="221"/>
        <v>47</v>
      </c>
      <c r="BO121" s="3">
        <f t="shared" si="221"/>
        <v>37</v>
      </c>
      <c r="BP121" s="29">
        <f t="shared" si="221"/>
        <v>35</v>
      </c>
      <c r="BQ121" s="3">
        <f t="shared" si="221"/>
        <v>5</v>
      </c>
      <c r="BR121" s="2"/>
    </row>
    <row r="122" spans="5:84" x14ac:dyDescent="0.3">
      <c r="AX122">
        <v>16</v>
      </c>
      <c r="AY122">
        <f t="shared" si="218"/>
        <v>20</v>
      </c>
      <c r="BA122" s="24">
        <f t="shared" si="212"/>
        <v>8</v>
      </c>
      <c r="BB122" s="3">
        <f t="shared" ref="BB122:BP122" si="222">RANK(BB14,BB$7:BB$106,0)</f>
        <v>94</v>
      </c>
      <c r="BC122" s="3">
        <f t="shared" si="222"/>
        <v>60</v>
      </c>
      <c r="BD122" s="3">
        <f t="shared" si="222"/>
        <v>56</v>
      </c>
      <c r="BE122" s="3">
        <f t="shared" si="222"/>
        <v>99</v>
      </c>
      <c r="BF122" s="29">
        <f t="shared" si="222"/>
        <v>59</v>
      </c>
      <c r="BG122" s="3">
        <f t="shared" si="222"/>
        <v>44</v>
      </c>
      <c r="BH122" s="3">
        <f t="shared" si="222"/>
        <v>51</v>
      </c>
      <c r="BI122" s="3">
        <f t="shared" si="222"/>
        <v>56</v>
      </c>
      <c r="BJ122" s="3">
        <f t="shared" si="222"/>
        <v>39</v>
      </c>
      <c r="BK122" s="29">
        <f t="shared" si="222"/>
        <v>1</v>
      </c>
      <c r="BL122" s="3">
        <f t="shared" si="222"/>
        <v>52</v>
      </c>
      <c r="BM122" s="3">
        <f t="shared" si="222"/>
        <v>38</v>
      </c>
      <c r="BN122" s="3">
        <f t="shared" si="222"/>
        <v>59</v>
      </c>
      <c r="BO122" s="3">
        <f t="shared" si="222"/>
        <v>38</v>
      </c>
      <c r="BP122" s="29">
        <f t="shared" si="222"/>
        <v>15</v>
      </c>
      <c r="BQ122" s="3"/>
    </row>
    <row r="123" spans="5:84" x14ac:dyDescent="0.3">
      <c r="AX123">
        <v>17</v>
      </c>
      <c r="AY123">
        <f t="shared" si="218"/>
        <v>3</v>
      </c>
      <c r="BA123" s="24">
        <f t="shared" si="212"/>
        <v>9</v>
      </c>
      <c r="BB123" s="3">
        <f t="shared" ref="BB123:BP123" si="223">RANK(BB15,BB$7:BB$106,0)</f>
        <v>70</v>
      </c>
      <c r="BC123" s="3">
        <f t="shared" si="223"/>
        <v>54</v>
      </c>
      <c r="BD123" s="3">
        <f t="shared" si="223"/>
        <v>65</v>
      </c>
      <c r="BE123" s="3">
        <f t="shared" si="223"/>
        <v>38</v>
      </c>
      <c r="BF123" s="29">
        <f t="shared" si="223"/>
        <v>97</v>
      </c>
      <c r="BG123" s="3">
        <f t="shared" si="223"/>
        <v>89</v>
      </c>
      <c r="BH123" s="3">
        <f t="shared" si="223"/>
        <v>65</v>
      </c>
      <c r="BI123" s="3">
        <f t="shared" si="223"/>
        <v>46</v>
      </c>
      <c r="BJ123" s="3">
        <f t="shared" si="223"/>
        <v>63</v>
      </c>
      <c r="BK123" s="29">
        <f t="shared" si="223"/>
        <v>71</v>
      </c>
      <c r="BL123" s="3">
        <f t="shared" si="223"/>
        <v>86</v>
      </c>
      <c r="BM123" s="3">
        <f t="shared" si="223"/>
        <v>76</v>
      </c>
      <c r="BN123" s="3">
        <f t="shared" si="223"/>
        <v>89</v>
      </c>
      <c r="BO123" s="3">
        <f t="shared" si="223"/>
        <v>67</v>
      </c>
      <c r="BP123" s="29">
        <f t="shared" si="223"/>
        <v>30</v>
      </c>
      <c r="BQ123" s="3">
        <f>RANK(BQ15,BQ$7:BQ$106,0)</f>
        <v>21</v>
      </c>
    </row>
    <row r="124" spans="5:84" x14ac:dyDescent="0.3">
      <c r="AX124">
        <v>23</v>
      </c>
      <c r="AY124">
        <f t="shared" si="218"/>
        <v>1</v>
      </c>
      <c r="BA124" s="24">
        <f t="shared" si="212"/>
        <v>10</v>
      </c>
      <c r="BB124" s="3">
        <f t="shared" ref="BB124:BP124" si="224">RANK(BB16,BB$7:BB$106,0)</f>
        <v>99</v>
      </c>
      <c r="BC124" s="3">
        <f t="shared" si="224"/>
        <v>94</v>
      </c>
      <c r="BD124" s="3">
        <f t="shared" si="224"/>
        <v>95</v>
      </c>
      <c r="BE124" s="3">
        <f t="shared" si="224"/>
        <v>87</v>
      </c>
      <c r="BF124" s="29">
        <f t="shared" si="224"/>
        <v>94</v>
      </c>
      <c r="BG124" s="3">
        <f t="shared" si="224"/>
        <v>95</v>
      </c>
      <c r="BH124" s="3">
        <f t="shared" si="224"/>
        <v>90</v>
      </c>
      <c r="BI124" s="3">
        <f t="shared" si="224"/>
        <v>69</v>
      </c>
      <c r="BJ124" s="3">
        <f t="shared" si="224"/>
        <v>72</v>
      </c>
      <c r="BK124" s="29">
        <f t="shared" si="224"/>
        <v>90</v>
      </c>
      <c r="BL124" s="3">
        <f t="shared" si="224"/>
        <v>92</v>
      </c>
      <c r="BM124" s="3">
        <f t="shared" si="224"/>
        <v>95</v>
      </c>
      <c r="BN124" s="3">
        <f t="shared" si="224"/>
        <v>95</v>
      </c>
      <c r="BO124" s="3">
        <f t="shared" si="224"/>
        <v>69</v>
      </c>
      <c r="BP124" s="29">
        <f t="shared" si="224"/>
        <v>39</v>
      </c>
      <c r="BQ124" s="3">
        <f>RANK(BQ16,BQ$7:BQ$106,0)</f>
        <v>24</v>
      </c>
    </row>
    <row r="125" spans="5:84" x14ac:dyDescent="0.3">
      <c r="AX125" t="s">
        <v>931</v>
      </c>
      <c r="AY125">
        <f>SUM(AY118:AY124)</f>
        <v>100</v>
      </c>
      <c r="BA125" s="24">
        <f t="shared" si="212"/>
        <v>11</v>
      </c>
      <c r="BB125" s="3">
        <f t="shared" ref="BB125:BP125" si="225">RANK(BB17,BB$7:BB$106,0)</f>
        <v>78</v>
      </c>
      <c r="BC125" s="3">
        <f t="shared" si="225"/>
        <v>48</v>
      </c>
      <c r="BD125" s="3">
        <f t="shared" si="225"/>
        <v>61</v>
      </c>
      <c r="BE125" s="3">
        <f t="shared" si="225"/>
        <v>41</v>
      </c>
      <c r="BF125" s="29">
        <f t="shared" si="225"/>
        <v>48</v>
      </c>
      <c r="BG125" s="3">
        <f t="shared" si="225"/>
        <v>61</v>
      </c>
      <c r="BH125" s="3">
        <f t="shared" si="225"/>
        <v>35</v>
      </c>
      <c r="BI125" s="3">
        <f t="shared" si="225"/>
        <v>17</v>
      </c>
      <c r="BJ125" s="3">
        <f t="shared" si="225"/>
        <v>41</v>
      </c>
      <c r="BK125" s="29">
        <f t="shared" si="225"/>
        <v>59</v>
      </c>
      <c r="BL125" s="3">
        <f t="shared" si="225"/>
        <v>29</v>
      </c>
      <c r="BM125" s="3">
        <f t="shared" si="225"/>
        <v>39</v>
      </c>
      <c r="BN125" s="3">
        <f t="shared" si="225"/>
        <v>28</v>
      </c>
      <c r="BO125" s="3">
        <f t="shared" si="225"/>
        <v>20</v>
      </c>
      <c r="BP125" s="29">
        <f t="shared" si="225"/>
        <v>11</v>
      </c>
      <c r="BQ125" s="3">
        <f>RANK(BQ17,BQ$7:BQ$106,0)</f>
        <v>2</v>
      </c>
    </row>
    <row r="126" spans="5:84" x14ac:dyDescent="0.3">
      <c r="BA126" s="24">
        <f t="shared" si="212"/>
        <v>12</v>
      </c>
      <c r="BB126" s="3">
        <f t="shared" ref="BB126:BP126" si="226">RANK(BB18,BB$7:BB$106,0)</f>
        <v>84</v>
      </c>
      <c r="BC126" s="3">
        <f t="shared" si="226"/>
        <v>64</v>
      </c>
      <c r="BD126" s="3">
        <f t="shared" si="226"/>
        <v>84</v>
      </c>
      <c r="BE126" s="3">
        <f t="shared" si="226"/>
        <v>89</v>
      </c>
      <c r="BF126" s="29">
        <f t="shared" si="226"/>
        <v>85</v>
      </c>
      <c r="BG126" s="3">
        <f t="shared" si="226"/>
        <v>82</v>
      </c>
      <c r="BH126" s="3">
        <f t="shared" si="226"/>
        <v>87</v>
      </c>
      <c r="BI126" s="3">
        <f t="shared" si="226"/>
        <v>77</v>
      </c>
      <c r="BJ126" s="3">
        <f t="shared" si="226"/>
        <v>70</v>
      </c>
      <c r="BK126" s="29">
        <f t="shared" si="226"/>
        <v>66</v>
      </c>
      <c r="BL126" s="3">
        <f t="shared" si="226"/>
        <v>82</v>
      </c>
      <c r="BM126" s="3">
        <f t="shared" si="226"/>
        <v>62</v>
      </c>
      <c r="BN126" s="3">
        <f t="shared" si="226"/>
        <v>57</v>
      </c>
      <c r="BO126" s="3">
        <f t="shared" si="226"/>
        <v>40</v>
      </c>
      <c r="BP126" s="29">
        <f t="shared" si="226"/>
        <v>14</v>
      </c>
      <c r="BQ126" s="3">
        <f>RANK(BQ18,BQ$7:BQ$106,0)</f>
        <v>11</v>
      </c>
    </row>
    <row r="127" spans="5:84" x14ac:dyDescent="0.3">
      <c r="AX127" t="s">
        <v>933</v>
      </c>
      <c r="BA127" s="24">
        <f t="shared" si="212"/>
        <v>13</v>
      </c>
      <c r="BB127" s="3">
        <f t="shared" ref="BB127:BP127" si="227">RANK(BB19,BB$7:BB$106,0)</f>
        <v>100</v>
      </c>
      <c r="BC127" s="3">
        <f t="shared" si="227"/>
        <v>92</v>
      </c>
      <c r="BD127" s="3">
        <f t="shared" si="227"/>
        <v>59</v>
      </c>
      <c r="BE127" s="3">
        <f t="shared" si="227"/>
        <v>59</v>
      </c>
      <c r="BF127" s="29">
        <f t="shared" si="227"/>
        <v>80</v>
      </c>
      <c r="BG127" s="3">
        <f t="shared" si="227"/>
        <v>59</v>
      </c>
      <c r="BH127" s="3">
        <f t="shared" si="227"/>
        <v>61</v>
      </c>
      <c r="BI127" s="3">
        <f t="shared" si="227"/>
        <v>53</v>
      </c>
      <c r="BJ127" s="3">
        <f t="shared" si="227"/>
        <v>59</v>
      </c>
      <c r="BK127" s="29">
        <f t="shared" si="227"/>
        <v>81</v>
      </c>
      <c r="BL127" s="3">
        <f t="shared" si="227"/>
        <v>93</v>
      </c>
      <c r="BM127" s="3">
        <f t="shared" si="227"/>
        <v>86</v>
      </c>
      <c r="BN127" s="3">
        <f t="shared" si="227"/>
        <v>84</v>
      </c>
      <c r="BO127" s="3">
        <f t="shared" si="227"/>
        <v>49</v>
      </c>
      <c r="BP127" s="29">
        <f t="shared" si="227"/>
        <v>29</v>
      </c>
      <c r="BQ127" s="3">
        <f>RANK(BQ19,BQ$7:BQ$106,0)</f>
        <v>19</v>
      </c>
    </row>
    <row r="128" spans="5:84" x14ac:dyDescent="0.3">
      <c r="AX128">
        <v>1.1499999999999999</v>
      </c>
      <c r="AY128">
        <f>COUNTIF($BB$7:$BX$106,AX128)</f>
        <v>12</v>
      </c>
      <c r="BA128" s="24">
        <f t="shared" si="212"/>
        <v>14</v>
      </c>
      <c r="BB128" s="3">
        <f t="shared" ref="BB128:BM128" si="228">RANK(BB20,BB$7:BB$106,0)</f>
        <v>77</v>
      </c>
      <c r="BC128" s="3">
        <f t="shared" si="228"/>
        <v>77</v>
      </c>
      <c r="BD128" s="3">
        <f t="shared" si="228"/>
        <v>69</v>
      </c>
      <c r="BE128" s="3">
        <f t="shared" si="228"/>
        <v>77</v>
      </c>
      <c r="BF128" s="29">
        <f t="shared" si="228"/>
        <v>58</v>
      </c>
      <c r="BG128" s="3">
        <f t="shared" si="228"/>
        <v>68</v>
      </c>
      <c r="BH128" s="3">
        <f t="shared" si="228"/>
        <v>52</v>
      </c>
      <c r="BI128" s="3">
        <f t="shared" si="228"/>
        <v>57</v>
      </c>
      <c r="BJ128" s="3">
        <f t="shared" si="228"/>
        <v>38</v>
      </c>
      <c r="BK128" s="29">
        <f t="shared" si="228"/>
        <v>58</v>
      </c>
      <c r="BL128" s="3">
        <f t="shared" si="228"/>
        <v>62</v>
      </c>
      <c r="BM128" s="3">
        <f t="shared" si="228"/>
        <v>65</v>
      </c>
      <c r="BN128" s="3"/>
      <c r="BO128" s="3"/>
      <c r="BP128" s="29"/>
      <c r="BQ128" s="3"/>
    </row>
    <row r="129" spans="48:69" x14ac:dyDescent="0.3">
      <c r="AX129" t="s">
        <v>934</v>
      </c>
      <c r="BA129" s="24">
        <f t="shared" si="212"/>
        <v>15</v>
      </c>
      <c r="BB129" s="3">
        <f t="shared" ref="BB129:BM129" si="229">RANK(BB21,BB$7:BB$106,0)</f>
        <v>95</v>
      </c>
      <c r="BC129" s="3">
        <f t="shared" si="229"/>
        <v>98</v>
      </c>
      <c r="BD129" s="3">
        <f t="shared" si="229"/>
        <v>18</v>
      </c>
      <c r="BE129" s="3">
        <f t="shared" si="229"/>
        <v>33</v>
      </c>
      <c r="BF129" s="29">
        <f t="shared" si="229"/>
        <v>40</v>
      </c>
      <c r="BG129" s="3">
        <f t="shared" si="229"/>
        <v>47</v>
      </c>
      <c r="BH129" s="3">
        <f t="shared" si="229"/>
        <v>30</v>
      </c>
      <c r="BI129" s="3">
        <f t="shared" si="229"/>
        <v>32</v>
      </c>
      <c r="BJ129" s="3">
        <f t="shared" si="229"/>
        <v>23</v>
      </c>
      <c r="BK129" s="29">
        <f t="shared" si="229"/>
        <v>28</v>
      </c>
      <c r="BL129" s="3">
        <f t="shared" si="229"/>
        <v>16</v>
      </c>
      <c r="BM129" s="3">
        <f t="shared" si="229"/>
        <v>48</v>
      </c>
      <c r="BN129" s="3">
        <f>RANK(BN21,BN$7:BN$106,0)</f>
        <v>74</v>
      </c>
      <c r="BO129" s="3">
        <f>RANK(BO21,BO$7:BO$106,0)</f>
        <v>50</v>
      </c>
      <c r="BP129" s="29">
        <f>RANK(BP21,BP$7:BP$106,0)</f>
        <v>28</v>
      </c>
      <c r="BQ129" s="3">
        <f>RANK(BQ21,BQ$7:BQ$106,0)</f>
        <v>17</v>
      </c>
    </row>
    <row r="130" spans="48:69" x14ac:dyDescent="0.3">
      <c r="AX130">
        <v>0</v>
      </c>
      <c r="AY130">
        <f>COUNTIF($BB$7:$BX$106,AX130)</f>
        <v>30</v>
      </c>
      <c r="BA130" s="24">
        <f t="shared" si="212"/>
        <v>16</v>
      </c>
      <c r="BB130" s="3">
        <f t="shared" ref="BB130:BM130" si="230">RANK(BB22,BB$7:BB$106,0)</f>
        <v>1</v>
      </c>
      <c r="BC130" s="3">
        <f t="shared" si="230"/>
        <v>6</v>
      </c>
      <c r="BD130" s="3">
        <f t="shared" si="230"/>
        <v>10</v>
      </c>
      <c r="BE130" s="3">
        <f t="shared" si="230"/>
        <v>15</v>
      </c>
      <c r="BF130" s="29">
        <f t="shared" si="230"/>
        <v>1</v>
      </c>
      <c r="BG130" s="3">
        <f t="shared" si="230"/>
        <v>10</v>
      </c>
      <c r="BH130" s="3">
        <f t="shared" si="230"/>
        <v>93</v>
      </c>
      <c r="BI130" s="3">
        <f t="shared" si="230"/>
        <v>83</v>
      </c>
      <c r="BJ130" s="3">
        <f t="shared" si="230"/>
        <v>90</v>
      </c>
      <c r="BK130" s="29">
        <f t="shared" si="230"/>
        <v>98</v>
      </c>
      <c r="BL130" s="3">
        <f t="shared" si="230"/>
        <v>78</v>
      </c>
      <c r="BM130" s="3">
        <f t="shared" si="230"/>
        <v>51</v>
      </c>
      <c r="BN130" s="3">
        <f>RANK(BN22,BN$7:BN$106,0)</f>
        <v>24</v>
      </c>
      <c r="BO130" s="3">
        <f>RANK(BO22,BO$7:BO$106,0)</f>
        <v>8</v>
      </c>
      <c r="BP130" s="29">
        <f>RANK(BP22,BP$7:BP$106,0)</f>
        <v>2</v>
      </c>
      <c r="BQ130" s="3"/>
    </row>
    <row r="131" spans="48:69" x14ac:dyDescent="0.3">
      <c r="BA131" s="24">
        <f t="shared" si="212"/>
        <v>17</v>
      </c>
      <c r="BB131" s="3">
        <f t="shared" ref="BB131:BM131" si="231">RANK(BB23,BB$7:BB$106,0)</f>
        <v>79</v>
      </c>
      <c r="BC131" s="3">
        <f t="shared" si="231"/>
        <v>85</v>
      </c>
      <c r="BD131" s="3">
        <f t="shared" si="231"/>
        <v>100</v>
      </c>
      <c r="BE131" s="3">
        <f t="shared" si="231"/>
        <v>83</v>
      </c>
      <c r="BF131" s="29">
        <f t="shared" si="231"/>
        <v>84</v>
      </c>
      <c r="BG131" s="3">
        <f t="shared" si="231"/>
        <v>83</v>
      </c>
      <c r="BH131" s="3">
        <f t="shared" si="231"/>
        <v>92</v>
      </c>
      <c r="BI131" s="3">
        <f t="shared" si="231"/>
        <v>73</v>
      </c>
      <c r="BJ131" s="3">
        <f t="shared" si="231"/>
        <v>71</v>
      </c>
      <c r="BK131" s="29">
        <f t="shared" si="231"/>
        <v>48</v>
      </c>
      <c r="BL131" s="3">
        <f t="shared" si="231"/>
        <v>73</v>
      </c>
      <c r="BM131" s="3">
        <f t="shared" si="231"/>
        <v>43</v>
      </c>
      <c r="BN131" s="3">
        <f t="shared" ref="BN131:BO158" si="232">RANK(BN23,BN$7:BN$106,0)</f>
        <v>81</v>
      </c>
      <c r="BO131" s="3">
        <f t="shared" si="232"/>
        <v>53</v>
      </c>
      <c r="BP131" s="29"/>
      <c r="BQ131" s="3"/>
    </row>
    <row r="132" spans="48:69" x14ac:dyDescent="0.3">
      <c r="AV132" s="7" t="s">
        <v>983</v>
      </c>
      <c r="AW132" s="230">
        <f>AX132/(AY132+AX132*(BB6+BH6)*0.5)</f>
        <v>-1.0546155805529355E-2</v>
      </c>
      <c r="AX132" cm="1">
        <f t="array" ref="AX132:AY132">LINEST($BB$2:$BH$2,$BB$6:$BH$6)</f>
        <v>-7.3369423492833504E-3</v>
      </c>
      <c r="AY132">
        <v>0.72504603941857448</v>
      </c>
      <c r="BA132" s="24">
        <f t="shared" si="212"/>
        <v>18</v>
      </c>
      <c r="BB132" s="3">
        <f t="shared" ref="BB132:BM132" si="233">RANK(BB24,BB$7:BB$106,0)</f>
        <v>1</v>
      </c>
      <c r="BC132" s="3">
        <f t="shared" si="233"/>
        <v>66</v>
      </c>
      <c r="BD132" s="3">
        <f t="shared" si="233"/>
        <v>1</v>
      </c>
      <c r="BE132" s="3">
        <f t="shared" si="233"/>
        <v>65</v>
      </c>
      <c r="BF132" s="29">
        <f t="shared" si="233"/>
        <v>50</v>
      </c>
      <c r="BG132" s="3">
        <f t="shared" si="233"/>
        <v>48</v>
      </c>
      <c r="BH132" s="3">
        <f t="shared" si="233"/>
        <v>23</v>
      </c>
      <c r="BI132" s="3">
        <f t="shared" si="233"/>
        <v>33</v>
      </c>
      <c r="BJ132" s="3">
        <f t="shared" si="233"/>
        <v>43</v>
      </c>
      <c r="BK132" s="29">
        <f t="shared" si="233"/>
        <v>34</v>
      </c>
      <c r="BL132" s="3">
        <f t="shared" si="233"/>
        <v>45</v>
      </c>
      <c r="BM132" s="3">
        <f t="shared" si="233"/>
        <v>20</v>
      </c>
      <c r="BN132" s="3">
        <f t="shared" si="232"/>
        <v>14</v>
      </c>
      <c r="BO132" s="3">
        <f t="shared" si="232"/>
        <v>7</v>
      </c>
      <c r="BP132" s="29">
        <f t="shared" ref="BP132:BP142" si="234">RANK(BP24,BP$7:BP$106,0)</f>
        <v>4</v>
      </c>
      <c r="BQ132" s="3"/>
    </row>
    <row r="133" spans="48:69" x14ac:dyDescent="0.3">
      <c r="AV133" s="7" t="s">
        <v>984</v>
      </c>
      <c r="AW133" s="230">
        <f>AX133/(AY133+AX133*(BH6+BQ6)*0.5)</f>
        <v>-0.10074286380058829</v>
      </c>
      <c r="AX133" cm="1">
        <f t="array" ref="AX133:AY133">LINEST($BH$2:$BQ$2,$BH$6:$BQ$6)</f>
        <v>-4.5406518590213746E-2</v>
      </c>
      <c r="AY133">
        <v>0.9728919364565296</v>
      </c>
      <c r="BA133" s="24">
        <f t="shared" si="212"/>
        <v>19</v>
      </c>
      <c r="BB133" s="3">
        <f t="shared" ref="BB133:BM133" si="235">RANK(BB25,BB$7:BB$106,0)</f>
        <v>58</v>
      </c>
      <c r="BC133" s="3">
        <f t="shared" si="235"/>
        <v>63</v>
      </c>
      <c r="BD133" s="3">
        <f t="shared" si="235"/>
        <v>48</v>
      </c>
      <c r="BE133" s="3">
        <f t="shared" si="235"/>
        <v>88</v>
      </c>
      <c r="BF133" s="29">
        <f t="shared" si="235"/>
        <v>49</v>
      </c>
      <c r="BG133" s="3">
        <f t="shared" si="235"/>
        <v>51</v>
      </c>
      <c r="BH133" s="3">
        <f t="shared" si="235"/>
        <v>60</v>
      </c>
      <c r="BI133" s="3">
        <f t="shared" si="235"/>
        <v>1</v>
      </c>
      <c r="BJ133" s="3">
        <f t="shared" si="235"/>
        <v>62</v>
      </c>
      <c r="BK133" s="29">
        <f t="shared" si="235"/>
        <v>72</v>
      </c>
      <c r="BL133" s="3">
        <f t="shared" si="235"/>
        <v>51</v>
      </c>
      <c r="BM133" s="3">
        <f t="shared" si="235"/>
        <v>57</v>
      </c>
      <c r="BN133" s="3">
        <f t="shared" si="232"/>
        <v>61</v>
      </c>
      <c r="BO133" s="3">
        <f t="shared" si="232"/>
        <v>62</v>
      </c>
      <c r="BP133" s="29">
        <f t="shared" si="234"/>
        <v>23</v>
      </c>
      <c r="BQ133" s="3">
        <f>RANK(BQ25,BQ$7:BQ$106,0)</f>
        <v>9</v>
      </c>
    </row>
    <row r="134" spans="48:69" x14ac:dyDescent="0.3">
      <c r="BA134" s="24">
        <f t="shared" si="212"/>
        <v>20</v>
      </c>
      <c r="BB134" s="3">
        <f t="shared" ref="BB134:BM134" si="236">RANK(BB26,BB$7:BB$106,0)</f>
        <v>3</v>
      </c>
      <c r="BC134" s="3">
        <f t="shared" si="236"/>
        <v>3</v>
      </c>
      <c r="BD134" s="3">
        <f t="shared" si="236"/>
        <v>3</v>
      </c>
      <c r="BE134" s="3">
        <f t="shared" si="236"/>
        <v>4</v>
      </c>
      <c r="BF134" s="29">
        <f t="shared" si="236"/>
        <v>15</v>
      </c>
      <c r="BG134" s="3">
        <f t="shared" si="236"/>
        <v>1</v>
      </c>
      <c r="BH134" s="3">
        <f t="shared" si="236"/>
        <v>3</v>
      </c>
      <c r="BI134" s="3">
        <f t="shared" si="236"/>
        <v>5</v>
      </c>
      <c r="BJ134" s="3">
        <f t="shared" si="236"/>
        <v>3</v>
      </c>
      <c r="BK134" s="29">
        <f t="shared" si="236"/>
        <v>12</v>
      </c>
      <c r="BL134" s="3">
        <f t="shared" si="236"/>
        <v>36</v>
      </c>
      <c r="BM134" s="3">
        <f t="shared" si="236"/>
        <v>16</v>
      </c>
      <c r="BN134" s="3">
        <f t="shared" si="232"/>
        <v>41</v>
      </c>
      <c r="BO134" s="3">
        <f t="shared" si="232"/>
        <v>34</v>
      </c>
      <c r="BP134" s="29">
        <f t="shared" si="234"/>
        <v>19</v>
      </c>
      <c r="BQ134" s="3"/>
    </row>
    <row r="135" spans="48:69" x14ac:dyDescent="0.3">
      <c r="BA135" s="24">
        <f t="shared" si="212"/>
        <v>21</v>
      </c>
      <c r="BB135" s="3">
        <f t="shared" ref="BB135:BM135" si="237">RANK(BB27,BB$7:BB$106,0)</f>
        <v>45</v>
      </c>
      <c r="BC135" s="3">
        <f t="shared" si="237"/>
        <v>52</v>
      </c>
      <c r="BD135" s="3">
        <f t="shared" si="237"/>
        <v>17</v>
      </c>
      <c r="BE135" s="3">
        <f t="shared" si="237"/>
        <v>32</v>
      </c>
      <c r="BF135" s="29">
        <f t="shared" si="237"/>
        <v>21</v>
      </c>
      <c r="BG135" s="3">
        <f t="shared" si="237"/>
        <v>22</v>
      </c>
      <c r="BH135" s="3">
        <f t="shared" si="237"/>
        <v>16</v>
      </c>
      <c r="BI135" s="3">
        <f t="shared" si="237"/>
        <v>12</v>
      </c>
      <c r="BJ135" s="3">
        <f t="shared" si="237"/>
        <v>20</v>
      </c>
      <c r="BK135" s="29">
        <f t="shared" si="237"/>
        <v>13</v>
      </c>
      <c r="BL135" s="3">
        <f t="shared" si="237"/>
        <v>17</v>
      </c>
      <c r="BM135" s="3">
        <f t="shared" si="237"/>
        <v>27</v>
      </c>
      <c r="BN135" s="3">
        <f t="shared" si="232"/>
        <v>16</v>
      </c>
      <c r="BO135" s="3">
        <f t="shared" si="232"/>
        <v>13</v>
      </c>
      <c r="BP135" s="29">
        <f t="shared" si="234"/>
        <v>8</v>
      </c>
      <c r="BQ135" s="3">
        <f>RANK(BQ27,BQ$7:BQ$106,0)</f>
        <v>1</v>
      </c>
    </row>
    <row r="136" spans="48:69" x14ac:dyDescent="0.3">
      <c r="BA136" s="24">
        <f t="shared" si="212"/>
        <v>22</v>
      </c>
      <c r="BB136" s="3">
        <f t="shared" ref="BB136:BM136" si="238">RANK(BB28,BB$7:BB$106,0)</f>
        <v>74</v>
      </c>
      <c r="BC136" s="3">
        <f t="shared" si="238"/>
        <v>49</v>
      </c>
      <c r="BD136" s="3">
        <f t="shared" si="238"/>
        <v>70</v>
      </c>
      <c r="BE136" s="3">
        <f t="shared" si="238"/>
        <v>43</v>
      </c>
      <c r="BF136" s="29">
        <f t="shared" si="238"/>
        <v>68</v>
      </c>
      <c r="BG136" s="3">
        <f t="shared" si="238"/>
        <v>97</v>
      </c>
      <c r="BH136" s="3">
        <f t="shared" si="238"/>
        <v>88</v>
      </c>
      <c r="BI136" s="3">
        <f t="shared" si="238"/>
        <v>82</v>
      </c>
      <c r="BJ136" s="3">
        <f t="shared" si="238"/>
        <v>53</v>
      </c>
      <c r="BK136" s="29">
        <f t="shared" si="238"/>
        <v>61</v>
      </c>
      <c r="BL136" s="3">
        <f t="shared" si="238"/>
        <v>66</v>
      </c>
      <c r="BM136" s="3">
        <f t="shared" si="238"/>
        <v>67</v>
      </c>
      <c r="BN136" s="3">
        <f t="shared" si="232"/>
        <v>68</v>
      </c>
      <c r="BO136" s="3">
        <f t="shared" si="232"/>
        <v>26</v>
      </c>
      <c r="BP136" s="29">
        <f t="shared" si="234"/>
        <v>10</v>
      </c>
      <c r="BQ136" s="3">
        <f>RANK(BQ28,BQ$7:BQ$106,0)</f>
        <v>8</v>
      </c>
    </row>
    <row r="137" spans="48:69" x14ac:dyDescent="0.3">
      <c r="BA137" s="24">
        <f t="shared" si="212"/>
        <v>23</v>
      </c>
      <c r="BB137" s="3">
        <f t="shared" ref="BB137:BM137" si="239">RANK(BB29,BB$7:BB$106,0)</f>
        <v>69</v>
      </c>
      <c r="BC137" s="3">
        <f t="shared" si="239"/>
        <v>78</v>
      </c>
      <c r="BD137" s="3">
        <f t="shared" si="239"/>
        <v>1</v>
      </c>
      <c r="BE137" s="3">
        <f t="shared" si="239"/>
        <v>68</v>
      </c>
      <c r="BF137" s="29">
        <f t="shared" si="239"/>
        <v>69</v>
      </c>
      <c r="BG137" s="3">
        <f t="shared" si="239"/>
        <v>81</v>
      </c>
      <c r="BH137" s="3">
        <f t="shared" si="239"/>
        <v>25</v>
      </c>
      <c r="BI137" s="3">
        <f t="shared" si="239"/>
        <v>95</v>
      </c>
      <c r="BJ137" s="3">
        <f t="shared" si="239"/>
        <v>98</v>
      </c>
      <c r="BK137" s="29">
        <f t="shared" si="239"/>
        <v>87</v>
      </c>
      <c r="BL137" s="3">
        <f t="shared" si="239"/>
        <v>76</v>
      </c>
      <c r="BM137" s="3">
        <f t="shared" si="239"/>
        <v>60</v>
      </c>
      <c r="BN137" s="3">
        <f t="shared" si="232"/>
        <v>51</v>
      </c>
      <c r="BO137" s="3">
        <f t="shared" si="232"/>
        <v>25</v>
      </c>
      <c r="BP137" s="29">
        <f t="shared" si="234"/>
        <v>24</v>
      </c>
      <c r="BQ137" s="3">
        <f>RANK(BQ29,BQ$7:BQ$106,0)</f>
        <v>18</v>
      </c>
    </row>
    <row r="138" spans="48:69" x14ac:dyDescent="0.3">
      <c r="BA138" s="24">
        <f t="shared" si="212"/>
        <v>24</v>
      </c>
      <c r="BB138" s="3">
        <f t="shared" ref="BB138:BM138" si="240">RANK(BB30,BB$7:BB$106,0)</f>
        <v>42</v>
      </c>
      <c r="BC138" s="3">
        <f t="shared" si="240"/>
        <v>96</v>
      </c>
      <c r="BD138" s="3">
        <f t="shared" si="240"/>
        <v>46</v>
      </c>
      <c r="BE138" s="3">
        <f t="shared" si="240"/>
        <v>31</v>
      </c>
      <c r="BF138" s="29">
        <f t="shared" si="240"/>
        <v>4</v>
      </c>
      <c r="BG138" s="3">
        <f t="shared" si="240"/>
        <v>20</v>
      </c>
      <c r="BH138" s="3">
        <f t="shared" si="240"/>
        <v>10</v>
      </c>
      <c r="BI138" s="3">
        <f t="shared" si="240"/>
        <v>39</v>
      </c>
      <c r="BJ138" s="3">
        <f t="shared" si="240"/>
        <v>57</v>
      </c>
      <c r="BK138" s="29">
        <f t="shared" si="240"/>
        <v>79</v>
      </c>
      <c r="BL138" s="3">
        <f t="shared" si="240"/>
        <v>40</v>
      </c>
      <c r="BM138" s="3">
        <f t="shared" si="240"/>
        <v>35</v>
      </c>
      <c r="BN138" s="3">
        <f t="shared" si="232"/>
        <v>43</v>
      </c>
      <c r="BO138" s="3">
        <f t="shared" si="232"/>
        <v>59</v>
      </c>
      <c r="BP138" s="29">
        <f t="shared" si="234"/>
        <v>31</v>
      </c>
      <c r="BQ138" s="3">
        <f>RANK(BQ30,BQ$7:BQ$106,0)</f>
        <v>10</v>
      </c>
    </row>
    <row r="139" spans="48:69" x14ac:dyDescent="0.3">
      <c r="BA139" s="24">
        <f t="shared" si="212"/>
        <v>25</v>
      </c>
      <c r="BB139" s="3">
        <f t="shared" ref="BB139:BM139" si="241">RANK(BB31,BB$7:BB$106,0)</f>
        <v>88</v>
      </c>
      <c r="BC139" s="3">
        <f t="shared" si="241"/>
        <v>90</v>
      </c>
      <c r="BD139" s="3">
        <f t="shared" si="241"/>
        <v>86</v>
      </c>
      <c r="BE139" s="3">
        <f t="shared" si="241"/>
        <v>91</v>
      </c>
      <c r="BF139" s="29">
        <f t="shared" si="241"/>
        <v>99</v>
      </c>
      <c r="BG139" s="3">
        <f t="shared" si="241"/>
        <v>88</v>
      </c>
      <c r="BH139" s="3">
        <f t="shared" si="241"/>
        <v>80</v>
      </c>
      <c r="BI139" s="3">
        <f t="shared" si="241"/>
        <v>81</v>
      </c>
      <c r="BJ139" s="3">
        <f t="shared" si="241"/>
        <v>78</v>
      </c>
      <c r="BK139" s="29">
        <f t="shared" si="241"/>
        <v>70</v>
      </c>
      <c r="BL139" s="3">
        <f t="shared" si="241"/>
        <v>72</v>
      </c>
      <c r="BM139" s="3">
        <f t="shared" si="241"/>
        <v>82</v>
      </c>
      <c r="BN139" s="3">
        <f t="shared" si="232"/>
        <v>75</v>
      </c>
      <c r="BO139" s="3">
        <f t="shared" si="232"/>
        <v>57</v>
      </c>
      <c r="BP139" s="29">
        <f t="shared" si="234"/>
        <v>39</v>
      </c>
      <c r="BQ139" s="3"/>
    </row>
    <row r="140" spans="48:69" x14ac:dyDescent="0.3">
      <c r="BA140" s="24">
        <f t="shared" si="212"/>
        <v>26</v>
      </c>
      <c r="BB140" s="3">
        <f t="shared" ref="BB140:BM140" si="242">RANK(BB32,BB$7:BB$106,0)</f>
        <v>54</v>
      </c>
      <c r="BC140" s="3">
        <f t="shared" si="242"/>
        <v>84</v>
      </c>
      <c r="BD140" s="3">
        <f t="shared" si="242"/>
        <v>60</v>
      </c>
      <c r="BE140" s="3">
        <f t="shared" si="242"/>
        <v>63</v>
      </c>
      <c r="BF140" s="29">
        <f t="shared" si="242"/>
        <v>72</v>
      </c>
      <c r="BG140" s="3">
        <f t="shared" si="242"/>
        <v>73</v>
      </c>
      <c r="BH140" s="3">
        <f t="shared" si="242"/>
        <v>45</v>
      </c>
      <c r="BI140" s="3">
        <f t="shared" si="242"/>
        <v>65</v>
      </c>
      <c r="BJ140" s="3">
        <f t="shared" si="242"/>
        <v>67</v>
      </c>
      <c r="BK140" s="29">
        <f t="shared" si="242"/>
        <v>52</v>
      </c>
      <c r="BL140" s="3">
        <f t="shared" si="242"/>
        <v>50</v>
      </c>
      <c r="BM140" s="3">
        <f t="shared" si="242"/>
        <v>52</v>
      </c>
      <c r="BN140" s="3">
        <f t="shared" si="232"/>
        <v>35</v>
      </c>
      <c r="BO140" s="3">
        <f t="shared" si="232"/>
        <v>28</v>
      </c>
      <c r="BP140" s="29">
        <f t="shared" si="234"/>
        <v>18</v>
      </c>
      <c r="BQ140" s="3"/>
    </row>
    <row r="141" spans="48:69" x14ac:dyDescent="0.3">
      <c r="BA141" s="24">
        <f t="shared" si="212"/>
        <v>27</v>
      </c>
      <c r="BB141" s="3">
        <f t="shared" ref="BB141:BM141" si="243">RANK(BB33,BB$7:BB$106,0)</f>
        <v>49</v>
      </c>
      <c r="BC141" s="3">
        <f t="shared" si="243"/>
        <v>58</v>
      </c>
      <c r="BD141" s="3">
        <f t="shared" si="243"/>
        <v>40</v>
      </c>
      <c r="BE141" s="3">
        <f t="shared" si="243"/>
        <v>50</v>
      </c>
      <c r="BF141" s="29">
        <f t="shared" si="243"/>
        <v>81</v>
      </c>
      <c r="BG141" s="3">
        <f t="shared" si="243"/>
        <v>76</v>
      </c>
      <c r="BH141" s="3">
        <f t="shared" si="243"/>
        <v>1</v>
      </c>
      <c r="BI141" s="3">
        <f t="shared" si="243"/>
        <v>30</v>
      </c>
      <c r="BJ141" s="3">
        <f t="shared" si="243"/>
        <v>18</v>
      </c>
      <c r="BK141" s="29">
        <f t="shared" si="243"/>
        <v>47</v>
      </c>
      <c r="BL141" s="3">
        <f t="shared" si="243"/>
        <v>48</v>
      </c>
      <c r="BM141" s="3">
        <f t="shared" si="243"/>
        <v>42</v>
      </c>
      <c r="BN141" s="3">
        <f t="shared" si="232"/>
        <v>67</v>
      </c>
      <c r="BO141" s="3">
        <f t="shared" si="232"/>
        <v>36</v>
      </c>
      <c r="BP141" s="29">
        <f t="shared" si="234"/>
        <v>25</v>
      </c>
      <c r="BQ141" s="3"/>
    </row>
    <row r="142" spans="48:69" x14ac:dyDescent="0.3">
      <c r="BA142" s="24">
        <f t="shared" si="212"/>
        <v>28</v>
      </c>
      <c r="BB142" s="3">
        <f t="shared" ref="BB142:BM142" si="244">RANK(BB34,BB$7:BB$106,0)</f>
        <v>24</v>
      </c>
      <c r="BC142" s="3">
        <f t="shared" si="244"/>
        <v>18</v>
      </c>
      <c r="BD142" s="3">
        <f t="shared" si="244"/>
        <v>47</v>
      </c>
      <c r="BE142" s="3">
        <f t="shared" si="244"/>
        <v>37</v>
      </c>
      <c r="BF142" s="29">
        <f t="shared" si="244"/>
        <v>36</v>
      </c>
      <c r="BG142" s="3">
        <f t="shared" si="244"/>
        <v>45</v>
      </c>
      <c r="BH142" s="3">
        <f t="shared" si="244"/>
        <v>36</v>
      </c>
      <c r="BI142" s="3">
        <f t="shared" si="244"/>
        <v>45</v>
      </c>
      <c r="BJ142" s="3">
        <f t="shared" si="244"/>
        <v>45</v>
      </c>
      <c r="BK142" s="29">
        <f t="shared" si="244"/>
        <v>36</v>
      </c>
      <c r="BL142" s="3">
        <f t="shared" si="244"/>
        <v>43</v>
      </c>
      <c r="BM142" s="3">
        <f t="shared" si="244"/>
        <v>41</v>
      </c>
      <c r="BN142" s="3">
        <f t="shared" si="232"/>
        <v>29</v>
      </c>
      <c r="BO142" s="3">
        <f t="shared" si="232"/>
        <v>21</v>
      </c>
      <c r="BP142" s="29">
        <f t="shared" si="234"/>
        <v>6</v>
      </c>
      <c r="BQ142" s="3"/>
    </row>
    <row r="143" spans="48:69" x14ac:dyDescent="0.3">
      <c r="BA143" s="24">
        <f t="shared" si="212"/>
        <v>29</v>
      </c>
      <c r="BB143" s="3">
        <f t="shared" ref="BB143:BM143" si="245">RANK(BB35,BB$7:BB$106,0)</f>
        <v>87</v>
      </c>
      <c r="BC143" s="3">
        <f t="shared" si="245"/>
        <v>88</v>
      </c>
      <c r="BD143" s="3">
        <f t="shared" si="245"/>
        <v>96</v>
      </c>
      <c r="BE143" s="3">
        <f t="shared" si="245"/>
        <v>97</v>
      </c>
      <c r="BF143" s="29">
        <f t="shared" si="245"/>
        <v>96</v>
      </c>
      <c r="BG143" s="3">
        <f t="shared" si="245"/>
        <v>98</v>
      </c>
      <c r="BH143" s="3">
        <f t="shared" si="245"/>
        <v>98</v>
      </c>
      <c r="BI143" s="3">
        <f t="shared" si="245"/>
        <v>96</v>
      </c>
      <c r="BJ143" s="3">
        <f t="shared" si="245"/>
        <v>95</v>
      </c>
      <c r="BK143" s="29">
        <f t="shared" si="245"/>
        <v>94</v>
      </c>
      <c r="BL143" s="3">
        <f t="shared" si="245"/>
        <v>95</v>
      </c>
      <c r="BM143" s="3">
        <f t="shared" si="245"/>
        <v>72</v>
      </c>
      <c r="BN143" s="3">
        <f t="shared" si="232"/>
        <v>90</v>
      </c>
      <c r="BO143" s="3">
        <f t="shared" si="232"/>
        <v>70</v>
      </c>
      <c r="BP143" s="29"/>
      <c r="BQ143" s="3"/>
    </row>
    <row r="144" spans="48:69" x14ac:dyDescent="0.3">
      <c r="BA144" s="24">
        <f t="shared" si="212"/>
        <v>30</v>
      </c>
      <c r="BB144" s="3">
        <f t="shared" ref="BB144:BM144" si="246">RANK(BB36,BB$7:BB$106,0)</f>
        <v>36</v>
      </c>
      <c r="BC144" s="3">
        <f t="shared" si="246"/>
        <v>67</v>
      </c>
      <c r="BD144" s="3">
        <f t="shared" si="246"/>
        <v>44</v>
      </c>
      <c r="BE144" s="3">
        <f t="shared" si="246"/>
        <v>39</v>
      </c>
      <c r="BF144" s="29">
        <f t="shared" si="246"/>
        <v>23</v>
      </c>
      <c r="BG144" s="3">
        <f t="shared" si="246"/>
        <v>42</v>
      </c>
      <c r="BH144" s="3">
        <f t="shared" si="246"/>
        <v>38</v>
      </c>
      <c r="BI144" s="3">
        <f t="shared" si="246"/>
        <v>1</v>
      </c>
      <c r="BJ144" s="3">
        <f t="shared" si="246"/>
        <v>69</v>
      </c>
      <c r="BK144" s="29">
        <f t="shared" si="246"/>
        <v>63</v>
      </c>
      <c r="BL144" s="3">
        <f t="shared" si="246"/>
        <v>68</v>
      </c>
      <c r="BM144" s="3">
        <f t="shared" si="246"/>
        <v>78</v>
      </c>
      <c r="BN144" s="3">
        <f t="shared" si="232"/>
        <v>44</v>
      </c>
      <c r="BO144" s="3">
        <f t="shared" si="232"/>
        <v>31</v>
      </c>
      <c r="BP144" s="29">
        <f t="shared" ref="BP144:BQ146" si="247">RANK(BP36,BP$7:BP$106,0)</f>
        <v>36</v>
      </c>
      <c r="BQ144" s="3">
        <f t="shared" si="247"/>
        <v>14</v>
      </c>
    </row>
    <row r="145" spans="53:69" x14ac:dyDescent="0.3">
      <c r="BA145" s="24">
        <f t="shared" si="212"/>
        <v>31</v>
      </c>
      <c r="BB145" s="3">
        <f t="shared" ref="BB145:BM145" si="248">RANK(BB37,BB$7:BB$106,0)</f>
        <v>47</v>
      </c>
      <c r="BC145" s="3">
        <f t="shared" si="248"/>
        <v>42</v>
      </c>
      <c r="BD145" s="3">
        <f t="shared" si="248"/>
        <v>27</v>
      </c>
      <c r="BE145" s="3">
        <f t="shared" si="248"/>
        <v>61</v>
      </c>
      <c r="BF145" s="29">
        <f t="shared" si="248"/>
        <v>74</v>
      </c>
      <c r="BG145" s="3">
        <f t="shared" si="248"/>
        <v>69</v>
      </c>
      <c r="BH145" s="3">
        <f t="shared" si="248"/>
        <v>78</v>
      </c>
      <c r="BI145" s="3">
        <f t="shared" si="248"/>
        <v>1</v>
      </c>
      <c r="BJ145" s="3">
        <f t="shared" si="248"/>
        <v>83</v>
      </c>
      <c r="BK145" s="29">
        <f t="shared" si="248"/>
        <v>50</v>
      </c>
      <c r="BL145" s="3">
        <f t="shared" si="248"/>
        <v>77</v>
      </c>
      <c r="BM145" s="3">
        <f t="shared" si="248"/>
        <v>56</v>
      </c>
      <c r="BN145" s="3">
        <f t="shared" si="232"/>
        <v>65</v>
      </c>
      <c r="BO145" s="3">
        <f t="shared" si="232"/>
        <v>65</v>
      </c>
      <c r="BP145" s="29">
        <f t="shared" si="247"/>
        <v>27</v>
      </c>
      <c r="BQ145" s="3">
        <f t="shared" si="247"/>
        <v>22</v>
      </c>
    </row>
    <row r="146" spans="53:69" x14ac:dyDescent="0.3">
      <c r="BA146" s="24">
        <f t="shared" si="212"/>
        <v>32</v>
      </c>
      <c r="BB146" s="3">
        <f t="shared" ref="BB146:BM146" si="249">RANK(BB38,BB$7:BB$106,0)</f>
        <v>90</v>
      </c>
      <c r="BC146" s="3">
        <f t="shared" si="249"/>
        <v>28</v>
      </c>
      <c r="BD146" s="3">
        <f t="shared" si="249"/>
        <v>36</v>
      </c>
      <c r="BE146" s="3">
        <f t="shared" si="249"/>
        <v>52</v>
      </c>
      <c r="BF146" s="29">
        <f t="shared" si="249"/>
        <v>75</v>
      </c>
      <c r="BG146" s="3">
        <f t="shared" si="249"/>
        <v>23</v>
      </c>
      <c r="BH146" s="3">
        <f t="shared" si="249"/>
        <v>39</v>
      </c>
      <c r="BI146" s="3">
        <f t="shared" si="249"/>
        <v>89</v>
      </c>
      <c r="BJ146" s="3">
        <f t="shared" si="249"/>
        <v>64</v>
      </c>
      <c r="BK146" s="29">
        <f t="shared" si="249"/>
        <v>88</v>
      </c>
      <c r="BL146" s="3">
        <f t="shared" si="249"/>
        <v>34</v>
      </c>
      <c r="BM146" s="3">
        <f t="shared" si="249"/>
        <v>59</v>
      </c>
      <c r="BN146" s="3">
        <f t="shared" si="232"/>
        <v>60</v>
      </c>
      <c r="BO146" s="3">
        <f t="shared" si="232"/>
        <v>64</v>
      </c>
      <c r="BP146" s="29">
        <f t="shared" si="247"/>
        <v>20</v>
      </c>
      <c r="BQ146" s="3">
        <f t="shared" si="247"/>
        <v>12</v>
      </c>
    </row>
    <row r="147" spans="53:69" x14ac:dyDescent="0.3">
      <c r="BA147" s="24">
        <f t="shared" ref="BA147:BA178" si="250">A39</f>
        <v>33</v>
      </c>
      <c r="BB147" s="3">
        <f t="shared" ref="BB147:BM147" si="251">RANK(BB39,BB$7:BB$106,0)</f>
        <v>64</v>
      </c>
      <c r="BC147" s="3">
        <f t="shared" si="251"/>
        <v>74</v>
      </c>
      <c r="BD147" s="3">
        <f t="shared" si="251"/>
        <v>72</v>
      </c>
      <c r="BE147" s="3">
        <f t="shared" si="251"/>
        <v>42</v>
      </c>
      <c r="BF147" s="29">
        <f t="shared" si="251"/>
        <v>13</v>
      </c>
      <c r="BG147" s="3">
        <f t="shared" si="251"/>
        <v>11</v>
      </c>
      <c r="BH147" s="3">
        <f t="shared" si="251"/>
        <v>18</v>
      </c>
      <c r="BI147" s="3">
        <f t="shared" si="251"/>
        <v>54</v>
      </c>
      <c r="BJ147" s="3">
        <f t="shared" si="251"/>
        <v>47</v>
      </c>
      <c r="BK147" s="29">
        <f t="shared" si="251"/>
        <v>35</v>
      </c>
      <c r="BL147" s="3">
        <f t="shared" si="251"/>
        <v>22</v>
      </c>
      <c r="BM147" s="3">
        <f t="shared" si="251"/>
        <v>22</v>
      </c>
      <c r="BN147" s="3">
        <f t="shared" si="232"/>
        <v>1</v>
      </c>
      <c r="BO147" s="3">
        <f t="shared" si="232"/>
        <v>29</v>
      </c>
      <c r="BP147" s="29">
        <f t="shared" ref="BP147:BP153" si="252">RANK(BP39,BP$7:BP$106,0)</f>
        <v>5</v>
      </c>
      <c r="BQ147" s="3"/>
    </row>
    <row r="148" spans="53:69" x14ac:dyDescent="0.3">
      <c r="BA148" s="24">
        <f t="shared" si="250"/>
        <v>34</v>
      </c>
      <c r="BB148" s="3">
        <f t="shared" ref="BB148:BM148" si="253">RANK(BB40,BB$7:BB$106,0)</f>
        <v>39</v>
      </c>
      <c r="BC148" s="3">
        <f t="shared" si="253"/>
        <v>53</v>
      </c>
      <c r="BD148" s="3">
        <f t="shared" si="253"/>
        <v>51</v>
      </c>
      <c r="BE148" s="3">
        <f t="shared" si="253"/>
        <v>44</v>
      </c>
      <c r="BF148" s="29">
        <f t="shared" si="253"/>
        <v>57</v>
      </c>
      <c r="BG148" s="3">
        <f t="shared" si="253"/>
        <v>56</v>
      </c>
      <c r="BH148" s="3">
        <f t="shared" si="253"/>
        <v>58</v>
      </c>
      <c r="BI148" s="3">
        <f t="shared" si="253"/>
        <v>94</v>
      </c>
      <c r="BJ148" s="3">
        <f t="shared" si="253"/>
        <v>86</v>
      </c>
      <c r="BK148" s="29">
        <f t="shared" si="253"/>
        <v>51</v>
      </c>
      <c r="BL148" s="3">
        <f t="shared" si="253"/>
        <v>94</v>
      </c>
      <c r="BM148" s="3">
        <f t="shared" si="253"/>
        <v>61</v>
      </c>
      <c r="BN148" s="3">
        <f t="shared" si="232"/>
        <v>64</v>
      </c>
      <c r="BO148" s="3">
        <f t="shared" si="232"/>
        <v>46</v>
      </c>
      <c r="BP148" s="29">
        <f t="shared" si="252"/>
        <v>17</v>
      </c>
      <c r="BQ148" s="3">
        <f>RANK(BQ40,BQ$7:BQ$106,0)</f>
        <v>20</v>
      </c>
    </row>
    <row r="149" spans="53:69" x14ac:dyDescent="0.3">
      <c r="BA149" s="24">
        <f t="shared" si="250"/>
        <v>35</v>
      </c>
      <c r="BB149" s="3">
        <f t="shared" ref="BB149:BM149" si="254">RANK(BB41,BB$7:BB$106,0)</f>
        <v>57</v>
      </c>
      <c r="BC149" s="3">
        <f t="shared" si="254"/>
        <v>38</v>
      </c>
      <c r="BD149" s="3">
        <f t="shared" si="254"/>
        <v>64</v>
      </c>
      <c r="BE149" s="3">
        <f t="shared" si="254"/>
        <v>30</v>
      </c>
      <c r="BF149" s="29">
        <f t="shared" si="254"/>
        <v>31</v>
      </c>
      <c r="BG149" s="3">
        <f t="shared" si="254"/>
        <v>55</v>
      </c>
      <c r="BH149" s="3">
        <f t="shared" si="254"/>
        <v>47</v>
      </c>
      <c r="BI149" s="3">
        <f t="shared" si="254"/>
        <v>90</v>
      </c>
      <c r="BJ149" s="3">
        <f t="shared" si="254"/>
        <v>37</v>
      </c>
      <c r="BK149" s="29">
        <f t="shared" si="254"/>
        <v>46</v>
      </c>
      <c r="BL149" s="3">
        <f t="shared" si="254"/>
        <v>38</v>
      </c>
      <c r="BM149" s="3">
        <f t="shared" si="254"/>
        <v>66</v>
      </c>
      <c r="BN149" s="3">
        <f t="shared" si="232"/>
        <v>39</v>
      </c>
      <c r="BO149" s="3">
        <f t="shared" si="232"/>
        <v>56</v>
      </c>
      <c r="BP149" s="29">
        <f t="shared" si="252"/>
        <v>37</v>
      </c>
      <c r="BQ149" s="3"/>
    </row>
    <row r="150" spans="53:69" x14ac:dyDescent="0.3">
      <c r="BA150" s="24">
        <f t="shared" si="250"/>
        <v>36</v>
      </c>
      <c r="BB150" s="3">
        <f t="shared" ref="BB150:BM150" si="255">RANK(BB42,BB$7:BB$106,0)</f>
        <v>30</v>
      </c>
      <c r="BC150" s="3">
        <f t="shared" si="255"/>
        <v>16</v>
      </c>
      <c r="BD150" s="3">
        <f t="shared" si="255"/>
        <v>20</v>
      </c>
      <c r="BE150" s="3">
        <f t="shared" si="255"/>
        <v>1</v>
      </c>
      <c r="BF150" s="29">
        <f t="shared" si="255"/>
        <v>29</v>
      </c>
      <c r="BG150" s="3">
        <f t="shared" si="255"/>
        <v>3</v>
      </c>
      <c r="BH150" s="3">
        <f t="shared" si="255"/>
        <v>15</v>
      </c>
      <c r="BI150" s="3">
        <f t="shared" si="255"/>
        <v>66</v>
      </c>
      <c r="BJ150" s="3">
        <f t="shared" si="255"/>
        <v>7</v>
      </c>
      <c r="BK150" s="29">
        <f t="shared" si="255"/>
        <v>65</v>
      </c>
      <c r="BL150" s="3">
        <f t="shared" si="255"/>
        <v>39</v>
      </c>
      <c r="BM150" s="3">
        <f t="shared" si="255"/>
        <v>58</v>
      </c>
      <c r="BN150" s="3">
        <f t="shared" si="232"/>
        <v>12</v>
      </c>
      <c r="BO150" s="3">
        <f t="shared" si="232"/>
        <v>12</v>
      </c>
      <c r="BP150" s="29">
        <f t="shared" si="252"/>
        <v>9</v>
      </c>
      <c r="BQ150" s="3"/>
    </row>
    <row r="151" spans="53:69" x14ac:dyDescent="0.3">
      <c r="BA151" s="24">
        <f t="shared" si="250"/>
        <v>37</v>
      </c>
      <c r="BB151" s="3">
        <f t="shared" ref="BB151:BM151" si="256">RANK(BB43,BB$7:BB$106,0)</f>
        <v>93</v>
      </c>
      <c r="BC151" s="3">
        <f t="shared" si="256"/>
        <v>91</v>
      </c>
      <c r="BD151" s="3">
        <f t="shared" si="256"/>
        <v>90</v>
      </c>
      <c r="BE151" s="3">
        <f t="shared" si="256"/>
        <v>93</v>
      </c>
      <c r="BF151" s="29">
        <f t="shared" si="256"/>
        <v>89</v>
      </c>
      <c r="BG151" s="3">
        <f t="shared" si="256"/>
        <v>99</v>
      </c>
      <c r="BH151" s="3">
        <f t="shared" si="256"/>
        <v>89</v>
      </c>
      <c r="BI151" s="3">
        <f t="shared" si="256"/>
        <v>85</v>
      </c>
      <c r="BJ151" s="3">
        <f t="shared" si="256"/>
        <v>74</v>
      </c>
      <c r="BK151" s="29">
        <f t="shared" si="256"/>
        <v>82</v>
      </c>
      <c r="BL151" s="3">
        <f t="shared" si="256"/>
        <v>80</v>
      </c>
      <c r="BM151" s="3">
        <f t="shared" si="256"/>
        <v>93</v>
      </c>
      <c r="BN151" s="3">
        <f t="shared" si="232"/>
        <v>83</v>
      </c>
      <c r="BO151" s="3">
        <f t="shared" si="232"/>
        <v>60</v>
      </c>
      <c r="BP151" s="29">
        <f t="shared" si="252"/>
        <v>34</v>
      </c>
      <c r="BQ151" s="3"/>
    </row>
    <row r="152" spans="53:69" x14ac:dyDescent="0.3">
      <c r="BA152" s="24">
        <f t="shared" si="250"/>
        <v>38</v>
      </c>
      <c r="BB152" s="3">
        <f t="shared" ref="BB152:BM152" si="257">RANK(BB44,BB$7:BB$106,0)</f>
        <v>27</v>
      </c>
      <c r="BC152" s="3">
        <f t="shared" si="257"/>
        <v>62</v>
      </c>
      <c r="BD152" s="3">
        <f t="shared" si="257"/>
        <v>45</v>
      </c>
      <c r="BE152" s="3">
        <f t="shared" si="257"/>
        <v>56</v>
      </c>
      <c r="BF152" s="29">
        <f t="shared" si="257"/>
        <v>70</v>
      </c>
      <c r="BG152" s="3">
        <f t="shared" si="257"/>
        <v>60</v>
      </c>
      <c r="BH152" s="3">
        <f t="shared" si="257"/>
        <v>70</v>
      </c>
      <c r="BI152" s="3">
        <f t="shared" si="257"/>
        <v>97</v>
      </c>
      <c r="BJ152" s="3">
        <f t="shared" si="257"/>
        <v>94</v>
      </c>
      <c r="BK152" s="29">
        <f t="shared" si="257"/>
        <v>89</v>
      </c>
      <c r="BL152" s="3">
        <f t="shared" si="257"/>
        <v>32</v>
      </c>
      <c r="BM152" s="3">
        <f t="shared" si="257"/>
        <v>54</v>
      </c>
      <c r="BN152" s="3">
        <f t="shared" si="232"/>
        <v>63</v>
      </c>
      <c r="BO152" s="3">
        <f t="shared" si="232"/>
        <v>43</v>
      </c>
      <c r="BP152" s="29">
        <f t="shared" si="252"/>
        <v>32</v>
      </c>
      <c r="BQ152" s="3">
        <f>RANK(BQ44,BQ$7:BQ$106,0)</f>
        <v>16</v>
      </c>
    </row>
    <row r="153" spans="53:69" x14ac:dyDescent="0.3">
      <c r="BA153" s="24">
        <f t="shared" si="250"/>
        <v>39</v>
      </c>
      <c r="BB153" s="3">
        <f t="shared" ref="BB153:BM153" si="258">RANK(BB45,BB$7:BB$106,0)</f>
        <v>97</v>
      </c>
      <c r="BC153" s="3">
        <f t="shared" si="258"/>
        <v>93</v>
      </c>
      <c r="BD153" s="3">
        <f t="shared" si="258"/>
        <v>92</v>
      </c>
      <c r="BE153" s="3">
        <f t="shared" si="258"/>
        <v>95</v>
      </c>
      <c r="BF153" s="29">
        <f t="shared" si="258"/>
        <v>91</v>
      </c>
      <c r="BG153" s="3">
        <f t="shared" si="258"/>
        <v>85</v>
      </c>
      <c r="BH153" s="3">
        <f t="shared" si="258"/>
        <v>73</v>
      </c>
      <c r="BI153" s="3">
        <f t="shared" si="258"/>
        <v>87</v>
      </c>
      <c r="BJ153" s="3">
        <f t="shared" si="258"/>
        <v>85</v>
      </c>
      <c r="BK153" s="29">
        <f t="shared" si="258"/>
        <v>97</v>
      </c>
      <c r="BL153" s="3">
        <f t="shared" si="258"/>
        <v>98</v>
      </c>
      <c r="BM153" s="3">
        <f t="shared" si="258"/>
        <v>71</v>
      </c>
      <c r="BN153" s="3">
        <f t="shared" si="232"/>
        <v>70</v>
      </c>
      <c r="BO153" s="3">
        <f t="shared" si="232"/>
        <v>48</v>
      </c>
      <c r="BP153" s="29">
        <f t="shared" si="252"/>
        <v>26</v>
      </c>
      <c r="BQ153" s="3"/>
    </row>
    <row r="154" spans="53:69" x14ac:dyDescent="0.3">
      <c r="BA154" s="24">
        <f t="shared" si="250"/>
        <v>40</v>
      </c>
      <c r="BB154" s="3">
        <f t="shared" ref="BB154:BM154" si="259">RANK(BB46,BB$7:BB$106,0)</f>
        <v>5</v>
      </c>
      <c r="BC154" s="3">
        <f t="shared" si="259"/>
        <v>47</v>
      </c>
      <c r="BD154" s="3">
        <f t="shared" si="259"/>
        <v>63</v>
      </c>
      <c r="BE154" s="3">
        <f t="shared" si="259"/>
        <v>72</v>
      </c>
      <c r="BF154" s="29">
        <f t="shared" si="259"/>
        <v>73</v>
      </c>
      <c r="BG154" s="3">
        <f t="shared" si="259"/>
        <v>57</v>
      </c>
      <c r="BH154" s="3">
        <f t="shared" si="259"/>
        <v>54</v>
      </c>
      <c r="BI154" s="3">
        <f t="shared" si="259"/>
        <v>59</v>
      </c>
      <c r="BJ154" s="3">
        <f t="shared" si="259"/>
        <v>50</v>
      </c>
      <c r="BK154" s="29">
        <f t="shared" si="259"/>
        <v>54</v>
      </c>
      <c r="BL154" s="3">
        <f t="shared" si="259"/>
        <v>59</v>
      </c>
      <c r="BM154" s="3">
        <f t="shared" si="259"/>
        <v>46</v>
      </c>
      <c r="BN154" s="3">
        <f t="shared" si="232"/>
        <v>55</v>
      </c>
      <c r="BO154" s="3">
        <f t="shared" si="232"/>
        <v>32</v>
      </c>
      <c r="BP154" s="29"/>
      <c r="BQ154" s="3"/>
    </row>
    <row r="155" spans="53:69" x14ac:dyDescent="0.3">
      <c r="BA155" s="24">
        <f t="shared" si="250"/>
        <v>41</v>
      </c>
      <c r="BB155" s="3">
        <f t="shared" ref="BB155:BM155" si="260">RANK(BB47,BB$7:BB$106,0)</f>
        <v>44</v>
      </c>
      <c r="BC155" s="3">
        <f t="shared" si="260"/>
        <v>55</v>
      </c>
      <c r="BD155" s="3">
        <f t="shared" si="260"/>
        <v>53</v>
      </c>
      <c r="BE155" s="3">
        <f t="shared" si="260"/>
        <v>55</v>
      </c>
      <c r="BF155" s="29">
        <f t="shared" si="260"/>
        <v>56</v>
      </c>
      <c r="BG155" s="3">
        <f t="shared" si="260"/>
        <v>62</v>
      </c>
      <c r="BH155" s="3">
        <f t="shared" si="260"/>
        <v>42</v>
      </c>
      <c r="BI155" s="3">
        <f t="shared" si="260"/>
        <v>43</v>
      </c>
      <c r="BJ155" s="3">
        <f t="shared" si="260"/>
        <v>36</v>
      </c>
      <c r="BK155" s="29">
        <f t="shared" si="260"/>
        <v>27</v>
      </c>
      <c r="BL155" s="3">
        <f t="shared" si="260"/>
        <v>42</v>
      </c>
      <c r="BM155" s="3">
        <f t="shared" si="260"/>
        <v>31</v>
      </c>
      <c r="BN155" s="3">
        <f t="shared" si="232"/>
        <v>32</v>
      </c>
      <c r="BO155" s="3">
        <f t="shared" si="232"/>
        <v>18</v>
      </c>
      <c r="BP155" s="29"/>
      <c r="BQ155" s="3"/>
    </row>
    <row r="156" spans="53:69" x14ac:dyDescent="0.3">
      <c r="BA156" s="24">
        <f t="shared" si="250"/>
        <v>42</v>
      </c>
      <c r="BB156" s="3">
        <f t="shared" ref="BB156:BM156" si="261">RANK(BB48,BB$7:BB$106,0)</f>
        <v>51</v>
      </c>
      <c r="BC156" s="3">
        <f t="shared" si="261"/>
        <v>26</v>
      </c>
      <c r="BD156" s="3">
        <f t="shared" si="261"/>
        <v>15</v>
      </c>
      <c r="BE156" s="3">
        <f t="shared" si="261"/>
        <v>18</v>
      </c>
      <c r="BF156" s="29">
        <f t="shared" si="261"/>
        <v>24</v>
      </c>
      <c r="BG156" s="3">
        <f t="shared" si="261"/>
        <v>54</v>
      </c>
      <c r="BH156" s="3">
        <f t="shared" si="261"/>
        <v>26</v>
      </c>
      <c r="BI156" s="3">
        <f t="shared" si="261"/>
        <v>21</v>
      </c>
      <c r="BJ156" s="3">
        <f t="shared" si="261"/>
        <v>40</v>
      </c>
      <c r="BK156" s="29">
        <f t="shared" si="261"/>
        <v>32</v>
      </c>
      <c r="BL156" s="3">
        <f t="shared" si="261"/>
        <v>91</v>
      </c>
      <c r="BM156" s="3">
        <f t="shared" si="261"/>
        <v>47</v>
      </c>
      <c r="BN156" s="3">
        <f t="shared" si="232"/>
        <v>69</v>
      </c>
      <c r="BO156" s="3">
        <f t="shared" si="232"/>
        <v>66</v>
      </c>
      <c r="BP156" s="29"/>
      <c r="BQ156" s="3"/>
    </row>
    <row r="157" spans="53:69" x14ac:dyDescent="0.3">
      <c r="BA157" s="24">
        <f t="shared" si="250"/>
        <v>43</v>
      </c>
      <c r="BB157" s="3">
        <f t="shared" ref="BB157:BM157" si="262">RANK(BB49,BB$7:BB$106,0)</f>
        <v>62</v>
      </c>
      <c r="BC157" s="3">
        <f t="shared" si="262"/>
        <v>59</v>
      </c>
      <c r="BD157" s="3">
        <f t="shared" si="262"/>
        <v>54</v>
      </c>
      <c r="BE157" s="3">
        <f t="shared" si="262"/>
        <v>90</v>
      </c>
      <c r="BF157" s="29">
        <f t="shared" si="262"/>
        <v>93</v>
      </c>
      <c r="BG157" s="3">
        <f t="shared" si="262"/>
        <v>92</v>
      </c>
      <c r="BH157" s="3">
        <f t="shared" si="262"/>
        <v>71</v>
      </c>
      <c r="BI157" s="3">
        <f t="shared" si="262"/>
        <v>84</v>
      </c>
      <c r="BJ157" s="3">
        <f t="shared" si="262"/>
        <v>92</v>
      </c>
      <c r="BK157" s="29">
        <f t="shared" si="262"/>
        <v>99</v>
      </c>
      <c r="BL157" s="3">
        <f t="shared" si="262"/>
        <v>71</v>
      </c>
      <c r="BM157" s="3">
        <f t="shared" si="262"/>
        <v>7</v>
      </c>
      <c r="BN157" s="3">
        <f t="shared" si="232"/>
        <v>21</v>
      </c>
      <c r="BO157" s="3">
        <f t="shared" si="232"/>
        <v>10</v>
      </c>
      <c r="BP157" s="29">
        <f>RANK(BP49,BP$7:BP$106,0)</f>
        <v>1</v>
      </c>
      <c r="BQ157" s="3"/>
    </row>
    <row r="158" spans="53:69" x14ac:dyDescent="0.3">
      <c r="BA158" s="24">
        <f t="shared" si="250"/>
        <v>44</v>
      </c>
      <c r="BB158" s="3">
        <f t="shared" ref="BB158:BM158" si="263">RANK(BB50,BB$7:BB$106,0)</f>
        <v>33</v>
      </c>
      <c r="BC158" s="3">
        <f t="shared" si="263"/>
        <v>22</v>
      </c>
      <c r="BD158" s="3">
        <f t="shared" si="263"/>
        <v>38</v>
      </c>
      <c r="BE158" s="3">
        <f t="shared" si="263"/>
        <v>60</v>
      </c>
      <c r="BF158" s="29">
        <f t="shared" si="263"/>
        <v>61</v>
      </c>
      <c r="BG158" s="3">
        <f t="shared" si="263"/>
        <v>43</v>
      </c>
      <c r="BH158" s="3">
        <f t="shared" si="263"/>
        <v>49</v>
      </c>
      <c r="BI158" s="3">
        <f t="shared" si="263"/>
        <v>31</v>
      </c>
      <c r="BJ158" s="3">
        <f t="shared" si="263"/>
        <v>28</v>
      </c>
      <c r="BK158" s="29">
        <f t="shared" si="263"/>
        <v>24</v>
      </c>
      <c r="BL158" s="3">
        <f t="shared" si="263"/>
        <v>21</v>
      </c>
      <c r="BM158" s="3">
        <f t="shared" si="263"/>
        <v>28</v>
      </c>
      <c r="BN158" s="3">
        <f t="shared" si="232"/>
        <v>33</v>
      </c>
      <c r="BO158" s="3">
        <f t="shared" si="232"/>
        <v>39</v>
      </c>
      <c r="BP158" s="29"/>
      <c r="BQ158" s="3"/>
    </row>
    <row r="159" spans="53:69" x14ac:dyDescent="0.3">
      <c r="BA159" s="24">
        <f t="shared" si="250"/>
        <v>45</v>
      </c>
      <c r="BB159" s="3">
        <f t="shared" ref="BB159:BM159" si="264">RANK(BB51,BB$7:BB$106,0)</f>
        <v>96</v>
      </c>
      <c r="BC159" s="3">
        <f t="shared" si="264"/>
        <v>89</v>
      </c>
      <c r="BD159" s="3">
        <f t="shared" si="264"/>
        <v>88</v>
      </c>
      <c r="BE159" s="3">
        <f t="shared" si="264"/>
        <v>3</v>
      </c>
      <c r="BF159" s="29">
        <f t="shared" si="264"/>
        <v>92</v>
      </c>
      <c r="BG159" s="3">
        <f t="shared" si="264"/>
        <v>94</v>
      </c>
      <c r="BH159" s="3">
        <f t="shared" si="264"/>
        <v>95</v>
      </c>
      <c r="BI159" s="3">
        <f t="shared" si="264"/>
        <v>86</v>
      </c>
      <c r="BJ159" s="3">
        <f t="shared" si="264"/>
        <v>82</v>
      </c>
      <c r="BK159" s="29">
        <f t="shared" si="264"/>
        <v>77</v>
      </c>
      <c r="BL159" s="3">
        <f t="shared" si="264"/>
        <v>79</v>
      </c>
      <c r="BM159" s="3">
        <f t="shared" si="264"/>
        <v>75</v>
      </c>
      <c r="BN159" s="3">
        <f>RANK(BN51,BN$7:BN$106,0)</f>
        <v>73</v>
      </c>
      <c r="BO159" s="3"/>
      <c r="BP159" s="29"/>
      <c r="BQ159" s="3"/>
    </row>
    <row r="160" spans="53:69" x14ac:dyDescent="0.3">
      <c r="BA160" s="24">
        <f t="shared" si="250"/>
        <v>46</v>
      </c>
      <c r="BB160" s="3">
        <f t="shared" ref="BB160:BM160" si="265">RANK(BB52,BB$7:BB$106,0)</f>
        <v>75</v>
      </c>
      <c r="BC160" s="3">
        <f t="shared" si="265"/>
        <v>50</v>
      </c>
      <c r="BD160" s="3">
        <f t="shared" si="265"/>
        <v>62</v>
      </c>
      <c r="BE160" s="3">
        <f t="shared" si="265"/>
        <v>58</v>
      </c>
      <c r="BF160" s="29">
        <f t="shared" si="265"/>
        <v>77</v>
      </c>
      <c r="BG160" s="3">
        <f t="shared" si="265"/>
        <v>66</v>
      </c>
      <c r="BH160" s="3">
        <f t="shared" si="265"/>
        <v>91</v>
      </c>
      <c r="BI160" s="3">
        <f t="shared" si="265"/>
        <v>93</v>
      </c>
      <c r="BJ160" s="3">
        <f t="shared" si="265"/>
        <v>75</v>
      </c>
      <c r="BK160" s="29">
        <f t="shared" si="265"/>
        <v>76</v>
      </c>
      <c r="BL160" s="3">
        <f t="shared" si="265"/>
        <v>69</v>
      </c>
      <c r="BM160" s="3">
        <f t="shared" si="265"/>
        <v>90</v>
      </c>
      <c r="BN160" s="3">
        <f>RANK(BN52,BN$7:BN$106,0)</f>
        <v>78</v>
      </c>
      <c r="BO160" s="3"/>
      <c r="BP160" s="29"/>
      <c r="BQ160" s="3"/>
    </row>
    <row r="161" spans="53:69" x14ac:dyDescent="0.3">
      <c r="BA161" s="24">
        <f t="shared" si="250"/>
        <v>47</v>
      </c>
      <c r="BB161" s="3">
        <f t="shared" ref="BB161:BM161" si="266">RANK(BB53,BB$7:BB$106,0)</f>
        <v>56</v>
      </c>
      <c r="BC161" s="3">
        <f t="shared" si="266"/>
        <v>99</v>
      </c>
      <c r="BD161" s="3">
        <f t="shared" si="266"/>
        <v>98</v>
      </c>
      <c r="BE161" s="3">
        <f t="shared" si="266"/>
        <v>51</v>
      </c>
      <c r="BF161" s="29">
        <f t="shared" si="266"/>
        <v>44</v>
      </c>
      <c r="BG161" s="3">
        <f t="shared" si="266"/>
        <v>41</v>
      </c>
      <c r="BH161" s="3">
        <f t="shared" si="266"/>
        <v>6</v>
      </c>
      <c r="BI161" s="3">
        <f t="shared" si="266"/>
        <v>24</v>
      </c>
      <c r="BJ161" s="3">
        <f t="shared" si="266"/>
        <v>51</v>
      </c>
      <c r="BK161" s="29">
        <f t="shared" si="266"/>
        <v>57</v>
      </c>
      <c r="BL161" s="3">
        <f t="shared" si="266"/>
        <v>53</v>
      </c>
      <c r="BM161" s="3">
        <f t="shared" si="266"/>
        <v>89</v>
      </c>
      <c r="BN161" s="3">
        <f>RANK(BN53,BN$7:BN$106,0)</f>
        <v>71</v>
      </c>
      <c r="BO161" s="3">
        <f>RANK(BO53,BO$7:BO$106,0)</f>
        <v>52</v>
      </c>
      <c r="BP161" s="29">
        <f>RANK(BP53,BP$7:BP$106,0)</f>
        <v>22</v>
      </c>
      <c r="BQ161" s="3"/>
    </row>
    <row r="162" spans="53:69" x14ac:dyDescent="0.3">
      <c r="BA162" s="24">
        <f t="shared" si="250"/>
        <v>48</v>
      </c>
      <c r="BB162" s="3">
        <f t="shared" ref="BB162:BM162" si="267">RANK(BB54,BB$7:BB$106,0)</f>
        <v>31</v>
      </c>
      <c r="BC162" s="3">
        <f t="shared" si="267"/>
        <v>41</v>
      </c>
      <c r="BD162" s="3">
        <f t="shared" si="267"/>
        <v>83</v>
      </c>
      <c r="BE162" s="3">
        <f t="shared" si="267"/>
        <v>70</v>
      </c>
      <c r="BF162" s="29">
        <f t="shared" si="267"/>
        <v>25</v>
      </c>
      <c r="BG162" s="3">
        <f t="shared" si="267"/>
        <v>39</v>
      </c>
      <c r="BH162" s="3">
        <f t="shared" si="267"/>
        <v>53</v>
      </c>
      <c r="BI162" s="3">
        <f t="shared" si="267"/>
        <v>78</v>
      </c>
      <c r="BJ162" s="3">
        <f t="shared" si="267"/>
        <v>79</v>
      </c>
      <c r="BK162" s="29">
        <f t="shared" si="267"/>
        <v>93</v>
      </c>
      <c r="BL162" s="3">
        <f t="shared" si="267"/>
        <v>96</v>
      </c>
      <c r="BM162" s="3">
        <f t="shared" si="267"/>
        <v>97</v>
      </c>
      <c r="BN162" s="3"/>
      <c r="BO162" s="3"/>
      <c r="BP162" s="29"/>
      <c r="BQ162" s="3"/>
    </row>
    <row r="163" spans="53:69" x14ac:dyDescent="0.3">
      <c r="BA163" s="24">
        <f t="shared" si="250"/>
        <v>49</v>
      </c>
      <c r="BB163" s="3">
        <f t="shared" ref="BB163:BM163" si="268">RANK(BB55,BB$7:BB$106,0)</f>
        <v>71</v>
      </c>
      <c r="BC163" s="3">
        <f t="shared" si="268"/>
        <v>27</v>
      </c>
      <c r="BD163" s="3">
        <f t="shared" si="268"/>
        <v>35</v>
      </c>
      <c r="BE163" s="3">
        <f t="shared" si="268"/>
        <v>47</v>
      </c>
      <c r="BF163" s="29">
        <f t="shared" si="268"/>
        <v>30</v>
      </c>
      <c r="BG163" s="3">
        <f t="shared" si="268"/>
        <v>9</v>
      </c>
      <c r="BH163" s="3">
        <f t="shared" si="268"/>
        <v>48</v>
      </c>
      <c r="BI163" s="3">
        <f t="shared" si="268"/>
        <v>72</v>
      </c>
      <c r="BJ163" s="3">
        <f t="shared" si="268"/>
        <v>15</v>
      </c>
      <c r="BK163" s="29">
        <f t="shared" si="268"/>
        <v>23</v>
      </c>
      <c r="BL163" s="3">
        <f t="shared" si="268"/>
        <v>25</v>
      </c>
      <c r="BM163" s="3">
        <f t="shared" si="268"/>
        <v>69</v>
      </c>
      <c r="BN163" s="3">
        <f>RANK(BN55,BN$7:BN$106,0)</f>
        <v>38</v>
      </c>
      <c r="BO163" s="3">
        <f>RANK(BO55,BO$7:BO$106,0)</f>
        <v>70</v>
      </c>
      <c r="BP163" s="29"/>
      <c r="BQ163" s="3"/>
    </row>
    <row r="164" spans="53:69" x14ac:dyDescent="0.3">
      <c r="BA164" s="24">
        <f t="shared" si="250"/>
        <v>50</v>
      </c>
      <c r="BB164" s="3">
        <f t="shared" ref="BB164:BL164" si="269">RANK(BB56,BB$7:BB$106,0)</f>
        <v>13</v>
      </c>
      <c r="BC164" s="3">
        <f t="shared" si="269"/>
        <v>21</v>
      </c>
      <c r="BD164" s="3">
        <f t="shared" si="269"/>
        <v>19</v>
      </c>
      <c r="BE164" s="3">
        <f t="shared" si="269"/>
        <v>7</v>
      </c>
      <c r="BF164" s="29">
        <f t="shared" si="269"/>
        <v>2</v>
      </c>
      <c r="BG164" s="3">
        <f t="shared" si="269"/>
        <v>38</v>
      </c>
      <c r="BH164" s="3">
        <f t="shared" si="269"/>
        <v>11</v>
      </c>
      <c r="BI164" s="3">
        <f t="shared" si="269"/>
        <v>9</v>
      </c>
      <c r="BJ164" s="3">
        <f t="shared" si="269"/>
        <v>9</v>
      </c>
      <c r="BK164" s="29">
        <f t="shared" si="269"/>
        <v>9</v>
      </c>
      <c r="BL164" s="3">
        <f t="shared" si="269"/>
        <v>7</v>
      </c>
      <c r="BM164" s="3"/>
      <c r="BN164" s="3"/>
      <c r="BO164" s="3"/>
      <c r="BP164" s="29"/>
      <c r="BQ164" s="3"/>
    </row>
    <row r="165" spans="53:69" x14ac:dyDescent="0.3">
      <c r="BA165" s="24">
        <f t="shared" si="250"/>
        <v>51</v>
      </c>
      <c r="BB165" s="3">
        <f t="shared" ref="BB165:BL165" si="270">RANK(BB57,BB$7:BB$106,0)</f>
        <v>16</v>
      </c>
      <c r="BC165" s="3">
        <f t="shared" si="270"/>
        <v>20</v>
      </c>
      <c r="BD165" s="3">
        <f t="shared" si="270"/>
        <v>21</v>
      </c>
      <c r="BE165" s="3">
        <f t="shared" si="270"/>
        <v>29</v>
      </c>
      <c r="BF165" s="29">
        <f t="shared" si="270"/>
        <v>34</v>
      </c>
      <c r="BG165" s="3">
        <f t="shared" si="270"/>
        <v>13</v>
      </c>
      <c r="BH165" s="3">
        <f t="shared" si="270"/>
        <v>7</v>
      </c>
      <c r="BI165" s="3">
        <f t="shared" si="270"/>
        <v>10</v>
      </c>
      <c r="BJ165" s="3">
        <f t="shared" si="270"/>
        <v>4</v>
      </c>
      <c r="BK165" s="29">
        <f t="shared" si="270"/>
        <v>8</v>
      </c>
      <c r="BL165" s="3">
        <f t="shared" si="270"/>
        <v>12</v>
      </c>
      <c r="BM165" s="3">
        <f t="shared" ref="BM165:BP174" si="271">RANK(BM57,BM$7:BM$106,0)</f>
        <v>24</v>
      </c>
      <c r="BN165" s="3">
        <f t="shared" si="271"/>
        <v>17</v>
      </c>
      <c r="BO165" s="3">
        <f t="shared" si="271"/>
        <v>70</v>
      </c>
      <c r="BP165" s="29">
        <f t="shared" si="271"/>
        <v>39</v>
      </c>
      <c r="BQ165" s="3"/>
    </row>
    <row r="166" spans="53:69" x14ac:dyDescent="0.3">
      <c r="BA166" s="24">
        <f t="shared" si="250"/>
        <v>52</v>
      </c>
      <c r="BB166" s="3">
        <f t="shared" ref="BB166:BL166" si="272">RANK(BB58,BB$7:BB$106,0)</f>
        <v>85</v>
      </c>
      <c r="BC166" s="3">
        <f t="shared" si="272"/>
        <v>29</v>
      </c>
      <c r="BD166" s="3">
        <f t="shared" si="272"/>
        <v>43</v>
      </c>
      <c r="BE166" s="3">
        <f t="shared" si="272"/>
        <v>82</v>
      </c>
      <c r="BF166" s="29">
        <f t="shared" si="272"/>
        <v>55</v>
      </c>
      <c r="BG166" s="3">
        <f t="shared" si="272"/>
        <v>49</v>
      </c>
      <c r="BH166" s="3">
        <f t="shared" si="272"/>
        <v>77</v>
      </c>
      <c r="BI166" s="3">
        <f t="shared" si="272"/>
        <v>76</v>
      </c>
      <c r="BJ166" s="3">
        <f t="shared" si="272"/>
        <v>91</v>
      </c>
      <c r="BK166" s="29">
        <f t="shared" si="272"/>
        <v>75</v>
      </c>
      <c r="BL166" s="3">
        <f t="shared" si="272"/>
        <v>83</v>
      </c>
      <c r="BM166" s="3">
        <f t="shared" si="271"/>
        <v>94</v>
      </c>
      <c r="BN166" s="3">
        <f t="shared" si="271"/>
        <v>88</v>
      </c>
      <c r="BO166" s="3">
        <f t="shared" si="271"/>
        <v>61</v>
      </c>
      <c r="BP166" s="29">
        <f t="shared" si="271"/>
        <v>39</v>
      </c>
      <c r="BQ166" s="3"/>
    </row>
    <row r="167" spans="53:69" x14ac:dyDescent="0.3">
      <c r="BA167" s="24">
        <f t="shared" si="250"/>
        <v>53</v>
      </c>
      <c r="BB167" s="3">
        <f t="shared" ref="BB167:BL167" si="273">RANK(BB59,BB$7:BB$106,0)</f>
        <v>91</v>
      </c>
      <c r="BC167" s="3">
        <f t="shared" si="273"/>
        <v>65</v>
      </c>
      <c r="BD167" s="3">
        <f t="shared" si="273"/>
        <v>68</v>
      </c>
      <c r="BE167" s="3">
        <f t="shared" si="273"/>
        <v>84</v>
      </c>
      <c r="BF167" s="29">
        <f t="shared" si="273"/>
        <v>62</v>
      </c>
      <c r="BG167" s="3">
        <f t="shared" si="273"/>
        <v>46</v>
      </c>
      <c r="BH167" s="3">
        <f t="shared" si="273"/>
        <v>74</v>
      </c>
      <c r="BI167" s="3">
        <f t="shared" si="273"/>
        <v>55</v>
      </c>
      <c r="BJ167" s="3">
        <f t="shared" si="273"/>
        <v>77</v>
      </c>
      <c r="BK167" s="29">
        <f t="shared" si="273"/>
        <v>31</v>
      </c>
      <c r="BL167" s="3">
        <f t="shared" si="273"/>
        <v>33</v>
      </c>
      <c r="BM167" s="3">
        <f t="shared" si="271"/>
        <v>50</v>
      </c>
      <c r="BN167" s="3">
        <f t="shared" si="271"/>
        <v>48</v>
      </c>
      <c r="BO167" s="3">
        <f t="shared" si="271"/>
        <v>15</v>
      </c>
      <c r="BP167" s="29">
        <f t="shared" si="271"/>
        <v>39</v>
      </c>
      <c r="BQ167" s="3"/>
    </row>
    <row r="168" spans="53:69" x14ac:dyDescent="0.3">
      <c r="BA168" s="24">
        <f t="shared" si="250"/>
        <v>54</v>
      </c>
      <c r="BB168" s="3">
        <f t="shared" ref="BB168:BL168" si="274">RANK(BB60,BB$7:BB$106,0)</f>
        <v>10</v>
      </c>
      <c r="BC168" s="3">
        <f t="shared" si="274"/>
        <v>37</v>
      </c>
      <c r="BD168" s="3">
        <f t="shared" si="274"/>
        <v>25</v>
      </c>
      <c r="BE168" s="3">
        <f t="shared" si="274"/>
        <v>25</v>
      </c>
      <c r="BF168" s="29">
        <f t="shared" si="274"/>
        <v>46</v>
      </c>
      <c r="BG168" s="3">
        <f t="shared" si="274"/>
        <v>24</v>
      </c>
      <c r="BH168" s="3">
        <f t="shared" si="274"/>
        <v>22</v>
      </c>
      <c r="BI168" s="3">
        <f t="shared" si="274"/>
        <v>62</v>
      </c>
      <c r="BJ168" s="3">
        <f t="shared" si="274"/>
        <v>44</v>
      </c>
      <c r="BK168" s="29">
        <f t="shared" si="274"/>
        <v>62</v>
      </c>
      <c r="BL168" s="3">
        <f t="shared" si="274"/>
        <v>61</v>
      </c>
      <c r="BM168" s="3">
        <f t="shared" si="271"/>
        <v>36</v>
      </c>
      <c r="BN168" s="3">
        <f t="shared" si="271"/>
        <v>52</v>
      </c>
      <c r="BO168" s="3">
        <f t="shared" si="271"/>
        <v>44</v>
      </c>
      <c r="BP168" s="29">
        <f t="shared" si="271"/>
        <v>39</v>
      </c>
      <c r="BQ168" s="3"/>
    </row>
    <row r="169" spans="53:69" x14ac:dyDescent="0.3">
      <c r="BA169" s="24">
        <f t="shared" si="250"/>
        <v>55</v>
      </c>
      <c r="BB169" s="3">
        <f t="shared" ref="BB169:BL169" si="275">RANK(BB61,BB$7:BB$106,0)</f>
        <v>32</v>
      </c>
      <c r="BC169" s="3">
        <f t="shared" si="275"/>
        <v>1</v>
      </c>
      <c r="BD169" s="3">
        <f t="shared" si="275"/>
        <v>5</v>
      </c>
      <c r="BE169" s="3">
        <f t="shared" si="275"/>
        <v>13</v>
      </c>
      <c r="BF169" s="29">
        <f t="shared" si="275"/>
        <v>3</v>
      </c>
      <c r="BG169" s="3">
        <f t="shared" si="275"/>
        <v>4</v>
      </c>
      <c r="BH169" s="3">
        <f t="shared" si="275"/>
        <v>2</v>
      </c>
      <c r="BI169" s="3">
        <f t="shared" si="275"/>
        <v>37</v>
      </c>
      <c r="BJ169" s="3">
        <f t="shared" si="275"/>
        <v>2</v>
      </c>
      <c r="BK169" s="29">
        <f t="shared" si="275"/>
        <v>6</v>
      </c>
      <c r="BL169" s="3">
        <f t="shared" si="275"/>
        <v>9</v>
      </c>
      <c r="BM169" s="3">
        <f t="shared" si="271"/>
        <v>3</v>
      </c>
      <c r="BN169" s="3">
        <f t="shared" si="271"/>
        <v>25</v>
      </c>
      <c r="BO169" s="3">
        <f t="shared" si="271"/>
        <v>17</v>
      </c>
      <c r="BP169" s="29">
        <f t="shared" si="271"/>
        <v>39</v>
      </c>
      <c r="BQ169" s="3"/>
    </row>
    <row r="170" spans="53:69" x14ac:dyDescent="0.3">
      <c r="BA170" s="24">
        <f t="shared" si="250"/>
        <v>56</v>
      </c>
      <c r="BB170" s="3">
        <f t="shared" ref="BB170:BL170" si="276">RANK(BB62,BB$7:BB$106,0)</f>
        <v>38</v>
      </c>
      <c r="BC170" s="3">
        <f t="shared" si="276"/>
        <v>19</v>
      </c>
      <c r="BD170" s="3">
        <f t="shared" si="276"/>
        <v>22</v>
      </c>
      <c r="BE170" s="3">
        <f t="shared" si="276"/>
        <v>28</v>
      </c>
      <c r="BF170" s="29">
        <f t="shared" si="276"/>
        <v>11</v>
      </c>
      <c r="BG170" s="3">
        <f t="shared" si="276"/>
        <v>21</v>
      </c>
      <c r="BH170" s="3">
        <f t="shared" si="276"/>
        <v>34</v>
      </c>
      <c r="BI170" s="3">
        <f t="shared" si="276"/>
        <v>50</v>
      </c>
      <c r="BJ170" s="3">
        <f t="shared" si="276"/>
        <v>13</v>
      </c>
      <c r="BK170" s="29">
        <f t="shared" si="276"/>
        <v>16</v>
      </c>
      <c r="BL170" s="3">
        <f t="shared" si="276"/>
        <v>14</v>
      </c>
      <c r="BM170" s="3">
        <f t="shared" si="271"/>
        <v>19</v>
      </c>
      <c r="BN170" s="3">
        <f t="shared" si="271"/>
        <v>6</v>
      </c>
      <c r="BO170" s="3">
        <f t="shared" si="271"/>
        <v>5</v>
      </c>
      <c r="BP170" s="29">
        <f t="shared" si="271"/>
        <v>39</v>
      </c>
      <c r="BQ170" s="3"/>
    </row>
    <row r="171" spans="53:69" x14ac:dyDescent="0.3">
      <c r="BA171" s="24">
        <f t="shared" si="250"/>
        <v>57</v>
      </c>
      <c r="BB171" s="3">
        <f t="shared" ref="BB171:BL171" si="277">RANK(BB63,BB$7:BB$106,0)</f>
        <v>65</v>
      </c>
      <c r="BC171" s="3">
        <f t="shared" si="277"/>
        <v>69</v>
      </c>
      <c r="BD171" s="3">
        <f t="shared" si="277"/>
        <v>94</v>
      </c>
      <c r="BE171" s="3">
        <f t="shared" si="277"/>
        <v>67</v>
      </c>
      <c r="BF171" s="29">
        <f t="shared" si="277"/>
        <v>52</v>
      </c>
      <c r="BG171" s="3">
        <f t="shared" si="277"/>
        <v>17</v>
      </c>
      <c r="BH171" s="3">
        <f t="shared" si="277"/>
        <v>40</v>
      </c>
      <c r="BI171" s="3">
        <f t="shared" si="277"/>
        <v>34</v>
      </c>
      <c r="BJ171" s="3">
        <f t="shared" si="277"/>
        <v>29</v>
      </c>
      <c r="BK171" s="29">
        <f t="shared" si="277"/>
        <v>15</v>
      </c>
      <c r="BL171" s="3">
        <f t="shared" si="277"/>
        <v>74</v>
      </c>
      <c r="BM171" s="3">
        <f t="shared" si="271"/>
        <v>29</v>
      </c>
      <c r="BN171" s="3">
        <f t="shared" si="271"/>
        <v>22</v>
      </c>
      <c r="BO171" s="3">
        <f t="shared" si="271"/>
        <v>3</v>
      </c>
      <c r="BP171" s="29">
        <f t="shared" si="271"/>
        <v>39</v>
      </c>
      <c r="BQ171" s="3"/>
    </row>
    <row r="172" spans="53:69" x14ac:dyDescent="0.3">
      <c r="BA172" s="24">
        <f t="shared" si="250"/>
        <v>58</v>
      </c>
      <c r="BB172" s="3">
        <f t="shared" ref="BB172:BL172" si="278">RANK(BB64,BB$7:BB$106,0)</f>
        <v>67</v>
      </c>
      <c r="BC172" s="3">
        <f t="shared" si="278"/>
        <v>76</v>
      </c>
      <c r="BD172" s="3">
        <f t="shared" si="278"/>
        <v>80</v>
      </c>
      <c r="BE172" s="3">
        <f t="shared" si="278"/>
        <v>79</v>
      </c>
      <c r="BF172" s="29">
        <f t="shared" si="278"/>
        <v>90</v>
      </c>
      <c r="BG172" s="3">
        <f t="shared" si="278"/>
        <v>90</v>
      </c>
      <c r="BH172" s="3">
        <f t="shared" si="278"/>
        <v>85</v>
      </c>
      <c r="BI172" s="3">
        <f t="shared" si="278"/>
        <v>100</v>
      </c>
      <c r="BJ172" s="3">
        <f t="shared" si="278"/>
        <v>68</v>
      </c>
      <c r="BK172" s="29">
        <f t="shared" si="278"/>
        <v>39</v>
      </c>
      <c r="BL172" s="3">
        <f t="shared" si="278"/>
        <v>46</v>
      </c>
      <c r="BM172" s="3">
        <f t="shared" si="271"/>
        <v>79</v>
      </c>
      <c r="BN172" s="3">
        <f t="shared" si="271"/>
        <v>58</v>
      </c>
      <c r="BO172" s="3">
        <f t="shared" si="271"/>
        <v>70</v>
      </c>
      <c r="BP172" s="29">
        <f t="shared" si="271"/>
        <v>39</v>
      </c>
      <c r="BQ172" s="3"/>
    </row>
    <row r="173" spans="53:69" x14ac:dyDescent="0.3">
      <c r="BA173" s="24">
        <f t="shared" si="250"/>
        <v>59</v>
      </c>
      <c r="BB173" s="3">
        <f t="shared" ref="BB173:BL173" si="279">RANK(BB65,BB$7:BB$106,0)</f>
        <v>82</v>
      </c>
      <c r="BC173" s="3">
        <f t="shared" si="279"/>
        <v>87</v>
      </c>
      <c r="BD173" s="3">
        <f t="shared" si="279"/>
        <v>89</v>
      </c>
      <c r="BE173" s="3">
        <f t="shared" si="279"/>
        <v>48</v>
      </c>
      <c r="BF173" s="29">
        <f t="shared" si="279"/>
        <v>51</v>
      </c>
      <c r="BG173" s="3">
        <f t="shared" si="279"/>
        <v>58</v>
      </c>
      <c r="BH173" s="3">
        <f t="shared" si="279"/>
        <v>69</v>
      </c>
      <c r="BI173" s="3">
        <f t="shared" si="279"/>
        <v>58</v>
      </c>
      <c r="BJ173" s="3">
        <f t="shared" si="279"/>
        <v>80</v>
      </c>
      <c r="BK173" s="29">
        <f t="shared" si="279"/>
        <v>85</v>
      </c>
      <c r="BL173" s="3">
        <f t="shared" si="279"/>
        <v>100</v>
      </c>
      <c r="BM173" s="3">
        <f t="shared" si="271"/>
        <v>70</v>
      </c>
      <c r="BN173" s="3">
        <f t="shared" si="271"/>
        <v>92</v>
      </c>
      <c r="BO173" s="3">
        <f t="shared" si="271"/>
        <v>68</v>
      </c>
      <c r="BP173" s="29">
        <f t="shared" si="271"/>
        <v>39</v>
      </c>
      <c r="BQ173" s="3"/>
    </row>
    <row r="174" spans="53:69" x14ac:dyDescent="0.3">
      <c r="BA174" s="24">
        <f t="shared" si="250"/>
        <v>60</v>
      </c>
      <c r="BB174" s="3">
        <f t="shared" ref="BB174:BL174" si="280">RANK(BB66,BB$7:BB$106,0)</f>
        <v>83</v>
      </c>
      <c r="BC174" s="3">
        <f t="shared" si="280"/>
        <v>82</v>
      </c>
      <c r="BD174" s="3">
        <f t="shared" si="280"/>
        <v>81</v>
      </c>
      <c r="BE174" s="3">
        <f t="shared" si="280"/>
        <v>80</v>
      </c>
      <c r="BF174" s="29">
        <f t="shared" si="280"/>
        <v>76</v>
      </c>
      <c r="BG174" s="3">
        <f t="shared" si="280"/>
        <v>52</v>
      </c>
      <c r="BH174" s="3">
        <f t="shared" si="280"/>
        <v>75</v>
      </c>
      <c r="BI174" s="3">
        <f t="shared" si="280"/>
        <v>67</v>
      </c>
      <c r="BJ174" s="3">
        <f t="shared" si="280"/>
        <v>52</v>
      </c>
      <c r="BK174" s="29">
        <f t="shared" si="280"/>
        <v>29</v>
      </c>
      <c r="BL174" s="3">
        <f t="shared" si="280"/>
        <v>49</v>
      </c>
      <c r="BM174" s="3">
        <f t="shared" si="271"/>
        <v>26</v>
      </c>
      <c r="BN174" s="3">
        <f t="shared" si="271"/>
        <v>50</v>
      </c>
      <c r="BO174" s="3">
        <f t="shared" si="271"/>
        <v>24</v>
      </c>
      <c r="BP174" s="29">
        <f t="shared" si="271"/>
        <v>39</v>
      </c>
      <c r="BQ174" s="3"/>
    </row>
    <row r="175" spans="53:69" x14ac:dyDescent="0.3">
      <c r="BA175" s="24">
        <f t="shared" si="250"/>
        <v>61</v>
      </c>
      <c r="BB175" s="3">
        <f t="shared" ref="BB175:BL175" si="281">RANK(BB67,BB$7:BB$106,0)</f>
        <v>23</v>
      </c>
      <c r="BC175" s="3">
        <f t="shared" si="281"/>
        <v>81</v>
      </c>
      <c r="BD175" s="3">
        <f t="shared" si="281"/>
        <v>23</v>
      </c>
      <c r="BE175" s="3">
        <f t="shared" si="281"/>
        <v>22</v>
      </c>
      <c r="BF175" s="29">
        <f t="shared" si="281"/>
        <v>100</v>
      </c>
      <c r="BG175" s="3">
        <f t="shared" si="281"/>
        <v>99</v>
      </c>
      <c r="BH175" s="3">
        <f t="shared" si="281"/>
        <v>100</v>
      </c>
      <c r="BI175" s="3">
        <f t="shared" si="281"/>
        <v>99</v>
      </c>
      <c r="BJ175" s="3">
        <f t="shared" si="281"/>
        <v>98</v>
      </c>
      <c r="BK175" s="29">
        <f t="shared" si="281"/>
        <v>96</v>
      </c>
      <c r="BL175" s="3">
        <f t="shared" si="281"/>
        <v>97</v>
      </c>
      <c r="BM175" s="3">
        <f t="shared" ref="BM175:BP184" si="282">RANK(BM67,BM$7:BM$106,0)</f>
        <v>99</v>
      </c>
      <c r="BN175" s="3">
        <f t="shared" si="282"/>
        <v>95</v>
      </c>
      <c r="BO175" s="3">
        <f t="shared" si="282"/>
        <v>70</v>
      </c>
      <c r="BP175" s="29">
        <f t="shared" si="282"/>
        <v>39</v>
      </c>
      <c r="BQ175" s="3"/>
    </row>
    <row r="176" spans="53:69" x14ac:dyDescent="0.3">
      <c r="BA176" s="24">
        <f t="shared" si="250"/>
        <v>62</v>
      </c>
      <c r="BB176" s="3">
        <f t="shared" ref="BB176:BL176" si="283">RANK(BB68,BB$7:BB$106,0)</f>
        <v>21</v>
      </c>
      <c r="BC176" s="3">
        <f t="shared" si="283"/>
        <v>8</v>
      </c>
      <c r="BD176" s="3">
        <f t="shared" si="283"/>
        <v>14</v>
      </c>
      <c r="BE176" s="3">
        <f t="shared" si="283"/>
        <v>9</v>
      </c>
      <c r="BF176" s="29">
        <f t="shared" si="283"/>
        <v>63</v>
      </c>
      <c r="BG176" s="3">
        <f t="shared" si="283"/>
        <v>6</v>
      </c>
      <c r="BH176" s="3">
        <f t="shared" si="283"/>
        <v>67</v>
      </c>
      <c r="BI176" s="3">
        <f t="shared" si="283"/>
        <v>80</v>
      </c>
      <c r="BJ176" s="3">
        <f t="shared" si="283"/>
        <v>5</v>
      </c>
      <c r="BK176" s="29">
        <f t="shared" si="283"/>
        <v>10</v>
      </c>
      <c r="BL176" s="3">
        <f t="shared" si="283"/>
        <v>37</v>
      </c>
      <c r="BM176" s="3">
        <f t="shared" si="282"/>
        <v>44</v>
      </c>
      <c r="BN176" s="3">
        <f t="shared" si="282"/>
        <v>37</v>
      </c>
      <c r="BO176" s="3">
        <f t="shared" si="282"/>
        <v>22</v>
      </c>
      <c r="BP176" s="29">
        <f t="shared" si="282"/>
        <v>39</v>
      </c>
      <c r="BQ176" s="3"/>
    </row>
    <row r="177" spans="53:69" x14ac:dyDescent="0.3">
      <c r="BA177" s="24">
        <f t="shared" si="250"/>
        <v>63</v>
      </c>
      <c r="BB177" s="3">
        <f t="shared" ref="BB177:BL177" si="284">RANK(BB69,BB$7:BB$106,0)</f>
        <v>63</v>
      </c>
      <c r="BC177" s="3">
        <f t="shared" si="284"/>
        <v>56</v>
      </c>
      <c r="BD177" s="3">
        <f t="shared" si="284"/>
        <v>76</v>
      </c>
      <c r="BE177" s="3">
        <f t="shared" si="284"/>
        <v>94</v>
      </c>
      <c r="BF177" s="29">
        <f t="shared" si="284"/>
        <v>79</v>
      </c>
      <c r="BG177" s="3">
        <f t="shared" si="284"/>
        <v>31</v>
      </c>
      <c r="BH177" s="3">
        <f t="shared" si="284"/>
        <v>50</v>
      </c>
      <c r="BI177" s="3">
        <f t="shared" si="284"/>
        <v>61</v>
      </c>
      <c r="BJ177" s="3">
        <f t="shared" si="284"/>
        <v>42</v>
      </c>
      <c r="BK177" s="29">
        <f t="shared" si="284"/>
        <v>64</v>
      </c>
      <c r="BL177" s="3">
        <f t="shared" si="284"/>
        <v>67</v>
      </c>
      <c r="BM177" s="3">
        <f t="shared" si="282"/>
        <v>83</v>
      </c>
      <c r="BN177" s="3">
        <f t="shared" si="282"/>
        <v>80</v>
      </c>
      <c r="BO177" s="3">
        <f t="shared" si="282"/>
        <v>47</v>
      </c>
      <c r="BP177" s="29">
        <f t="shared" si="282"/>
        <v>39</v>
      </c>
      <c r="BQ177" s="3"/>
    </row>
    <row r="178" spans="53:69" x14ac:dyDescent="0.3">
      <c r="BA178" s="24">
        <f t="shared" si="250"/>
        <v>64</v>
      </c>
      <c r="BB178" s="3">
        <f t="shared" ref="BB178:BL178" si="285">RANK(BB70,BB$7:BB$106,0)</f>
        <v>37</v>
      </c>
      <c r="BC178" s="3">
        <f t="shared" si="285"/>
        <v>39</v>
      </c>
      <c r="BD178" s="3">
        <f t="shared" si="285"/>
        <v>37</v>
      </c>
      <c r="BE178" s="3">
        <f t="shared" si="285"/>
        <v>12</v>
      </c>
      <c r="BF178" s="29">
        <f t="shared" si="285"/>
        <v>8</v>
      </c>
      <c r="BG178" s="3">
        <f t="shared" si="285"/>
        <v>35</v>
      </c>
      <c r="BH178" s="3">
        <f t="shared" si="285"/>
        <v>8</v>
      </c>
      <c r="BI178" s="3">
        <f t="shared" si="285"/>
        <v>35</v>
      </c>
      <c r="BJ178" s="3">
        <f t="shared" si="285"/>
        <v>11</v>
      </c>
      <c r="BK178" s="29">
        <f t="shared" si="285"/>
        <v>20</v>
      </c>
      <c r="BL178" s="3">
        <f t="shared" si="285"/>
        <v>24</v>
      </c>
      <c r="BM178" s="3">
        <f t="shared" si="282"/>
        <v>84</v>
      </c>
      <c r="BN178" s="3">
        <f t="shared" si="282"/>
        <v>49</v>
      </c>
      <c r="BO178" s="3">
        <f t="shared" si="282"/>
        <v>33</v>
      </c>
      <c r="BP178" s="29">
        <f t="shared" si="282"/>
        <v>21</v>
      </c>
      <c r="BQ178" s="3"/>
    </row>
    <row r="179" spans="53:69" x14ac:dyDescent="0.3">
      <c r="BA179" s="24">
        <f t="shared" ref="BA179:BA210" si="286">A71</f>
        <v>65</v>
      </c>
      <c r="BB179" s="3">
        <f t="shared" ref="BB179:BL179" si="287">RANK(BB71,BB$7:BB$106,0)</f>
        <v>40</v>
      </c>
      <c r="BC179" s="3">
        <f t="shared" si="287"/>
        <v>72</v>
      </c>
      <c r="BD179" s="3">
        <f t="shared" si="287"/>
        <v>67</v>
      </c>
      <c r="BE179" s="3">
        <f t="shared" si="287"/>
        <v>66</v>
      </c>
      <c r="BF179" s="29">
        <f t="shared" si="287"/>
        <v>83</v>
      </c>
      <c r="BG179" s="3">
        <f t="shared" si="287"/>
        <v>87</v>
      </c>
      <c r="BH179" s="3">
        <f t="shared" si="287"/>
        <v>82</v>
      </c>
      <c r="BI179" s="3">
        <f t="shared" si="287"/>
        <v>91</v>
      </c>
      <c r="BJ179" s="3">
        <f t="shared" si="287"/>
        <v>93</v>
      </c>
      <c r="BK179" s="29">
        <f t="shared" si="287"/>
        <v>95</v>
      </c>
      <c r="BL179" s="3">
        <f t="shared" si="287"/>
        <v>90</v>
      </c>
      <c r="BM179" s="3">
        <f t="shared" si="282"/>
        <v>88</v>
      </c>
      <c r="BN179" s="3">
        <f t="shared" si="282"/>
        <v>85</v>
      </c>
      <c r="BO179" s="3">
        <f t="shared" si="282"/>
        <v>55</v>
      </c>
      <c r="BP179" s="29">
        <f t="shared" si="282"/>
        <v>39</v>
      </c>
      <c r="BQ179" s="3"/>
    </row>
    <row r="180" spans="53:69" x14ac:dyDescent="0.3">
      <c r="BA180" s="24">
        <f t="shared" si="286"/>
        <v>66</v>
      </c>
      <c r="BB180" s="3">
        <f t="shared" ref="BB180:BL180" si="288">RANK(BB72,BB$7:BB$106,0)</f>
        <v>8</v>
      </c>
      <c r="BC180" s="3">
        <f t="shared" si="288"/>
        <v>13</v>
      </c>
      <c r="BD180" s="3">
        <f t="shared" si="288"/>
        <v>16</v>
      </c>
      <c r="BE180" s="3">
        <f t="shared" si="288"/>
        <v>5</v>
      </c>
      <c r="BF180" s="29">
        <f t="shared" si="288"/>
        <v>27</v>
      </c>
      <c r="BG180" s="3">
        <f t="shared" si="288"/>
        <v>27</v>
      </c>
      <c r="BH180" s="3">
        <f t="shared" si="288"/>
        <v>5</v>
      </c>
      <c r="BI180" s="3">
        <f t="shared" si="288"/>
        <v>8</v>
      </c>
      <c r="BJ180" s="3">
        <f t="shared" si="288"/>
        <v>60</v>
      </c>
      <c r="BK180" s="29">
        <f t="shared" si="288"/>
        <v>30</v>
      </c>
      <c r="BL180" s="3">
        <f t="shared" si="288"/>
        <v>23</v>
      </c>
      <c r="BM180" s="3">
        <f t="shared" si="282"/>
        <v>63</v>
      </c>
      <c r="BN180" s="3">
        <f t="shared" si="282"/>
        <v>62</v>
      </c>
      <c r="BO180" s="3">
        <f t="shared" si="282"/>
        <v>23</v>
      </c>
      <c r="BP180" s="29">
        <f t="shared" si="282"/>
        <v>39</v>
      </c>
      <c r="BQ180" s="3"/>
    </row>
    <row r="181" spans="53:69" x14ac:dyDescent="0.3">
      <c r="BA181" s="24">
        <f t="shared" si="286"/>
        <v>67</v>
      </c>
      <c r="BB181" s="3">
        <f t="shared" ref="BB181:BL181" si="289">RANK(BB73,BB$7:BB$106,0)</f>
        <v>68</v>
      </c>
      <c r="BC181" s="3">
        <f t="shared" si="289"/>
        <v>31</v>
      </c>
      <c r="BD181" s="3">
        <f t="shared" si="289"/>
        <v>33</v>
      </c>
      <c r="BE181" s="3">
        <f t="shared" si="289"/>
        <v>64</v>
      </c>
      <c r="BF181" s="29">
        <f t="shared" si="289"/>
        <v>53</v>
      </c>
      <c r="BG181" s="3">
        <f t="shared" si="289"/>
        <v>36</v>
      </c>
      <c r="BH181" s="3">
        <f t="shared" si="289"/>
        <v>33</v>
      </c>
      <c r="BI181" s="3">
        <f t="shared" si="289"/>
        <v>47</v>
      </c>
      <c r="BJ181" s="3">
        <f t="shared" si="289"/>
        <v>32</v>
      </c>
      <c r="BK181" s="29">
        <f t="shared" si="289"/>
        <v>14</v>
      </c>
      <c r="BL181" s="3">
        <f t="shared" si="289"/>
        <v>64</v>
      </c>
      <c r="BM181" s="3">
        <f t="shared" si="282"/>
        <v>6</v>
      </c>
      <c r="BN181" s="3">
        <f t="shared" si="282"/>
        <v>4</v>
      </c>
      <c r="BO181" s="3">
        <f t="shared" si="282"/>
        <v>4</v>
      </c>
      <c r="BP181" s="29">
        <f t="shared" si="282"/>
        <v>39</v>
      </c>
      <c r="BQ181" s="3"/>
    </row>
    <row r="182" spans="53:69" x14ac:dyDescent="0.3">
      <c r="BA182" s="24">
        <f t="shared" si="286"/>
        <v>68</v>
      </c>
      <c r="BB182" s="3">
        <f t="shared" ref="BB182:BL182" si="290">RANK(BB74,BB$7:BB$106,0)</f>
        <v>6</v>
      </c>
      <c r="BC182" s="3">
        <f t="shared" si="290"/>
        <v>9</v>
      </c>
      <c r="BD182" s="3">
        <f t="shared" si="290"/>
        <v>6</v>
      </c>
      <c r="BE182" s="3">
        <f t="shared" si="290"/>
        <v>11</v>
      </c>
      <c r="BF182" s="29">
        <f t="shared" si="290"/>
        <v>7</v>
      </c>
      <c r="BG182" s="3">
        <f t="shared" si="290"/>
        <v>2</v>
      </c>
      <c r="BH182" s="3">
        <f t="shared" si="290"/>
        <v>43</v>
      </c>
      <c r="BI182" s="3">
        <f t="shared" si="290"/>
        <v>6</v>
      </c>
      <c r="BJ182" s="3">
        <f t="shared" si="290"/>
        <v>10</v>
      </c>
      <c r="BK182" s="29">
        <f t="shared" si="290"/>
        <v>40</v>
      </c>
      <c r="BL182" s="3">
        <f t="shared" si="290"/>
        <v>13</v>
      </c>
      <c r="BM182" s="3">
        <f t="shared" si="282"/>
        <v>33</v>
      </c>
      <c r="BN182" s="3">
        <f t="shared" si="282"/>
        <v>45</v>
      </c>
      <c r="BO182" s="3">
        <f t="shared" si="282"/>
        <v>51</v>
      </c>
      <c r="BP182" s="29">
        <f t="shared" si="282"/>
        <v>39</v>
      </c>
      <c r="BQ182" s="3"/>
    </row>
    <row r="183" spans="53:69" x14ac:dyDescent="0.3">
      <c r="BA183" s="24">
        <f t="shared" si="286"/>
        <v>69</v>
      </c>
      <c r="BB183" s="3">
        <f t="shared" ref="BB183:BL183" si="291">RANK(BB75,BB$7:BB$106,0)</f>
        <v>55</v>
      </c>
      <c r="BC183" s="3">
        <f t="shared" si="291"/>
        <v>57</v>
      </c>
      <c r="BD183" s="3">
        <f t="shared" si="291"/>
        <v>97</v>
      </c>
      <c r="BE183" s="3">
        <f t="shared" si="291"/>
        <v>57</v>
      </c>
      <c r="BF183" s="29">
        <f t="shared" si="291"/>
        <v>43</v>
      </c>
      <c r="BG183" s="3">
        <f t="shared" si="291"/>
        <v>30</v>
      </c>
      <c r="BH183" s="3">
        <f t="shared" si="291"/>
        <v>41</v>
      </c>
      <c r="BI183" s="3">
        <f t="shared" si="291"/>
        <v>18</v>
      </c>
      <c r="BJ183" s="3">
        <f t="shared" si="291"/>
        <v>25</v>
      </c>
      <c r="BK183" s="29">
        <f t="shared" si="291"/>
        <v>25</v>
      </c>
      <c r="BL183" s="3">
        <f t="shared" si="291"/>
        <v>30</v>
      </c>
      <c r="BM183" s="3">
        <f t="shared" si="282"/>
        <v>32</v>
      </c>
      <c r="BN183" s="3">
        <f t="shared" si="282"/>
        <v>31</v>
      </c>
      <c r="BO183" s="3">
        <f t="shared" si="282"/>
        <v>11</v>
      </c>
      <c r="BP183" s="29">
        <f t="shared" si="282"/>
        <v>39</v>
      </c>
      <c r="BQ183" s="3"/>
    </row>
    <row r="184" spans="53:69" x14ac:dyDescent="0.3">
      <c r="BA184" s="24">
        <f t="shared" si="286"/>
        <v>70</v>
      </c>
      <c r="BB184" s="3">
        <f t="shared" ref="BB184:BL184" si="292">RANK(BB76,BB$7:BB$106,0)</f>
        <v>48</v>
      </c>
      <c r="BC184" s="3">
        <f t="shared" si="292"/>
        <v>71</v>
      </c>
      <c r="BD184" s="3">
        <f t="shared" si="292"/>
        <v>71</v>
      </c>
      <c r="BE184" s="3">
        <f t="shared" si="292"/>
        <v>78</v>
      </c>
      <c r="BF184" s="29">
        <f t="shared" si="292"/>
        <v>67</v>
      </c>
      <c r="BG184" s="3">
        <f t="shared" si="292"/>
        <v>28</v>
      </c>
      <c r="BH184" s="3">
        <f t="shared" si="292"/>
        <v>63</v>
      </c>
      <c r="BI184" s="3">
        <f t="shared" si="292"/>
        <v>63</v>
      </c>
      <c r="BJ184" s="3">
        <f t="shared" si="292"/>
        <v>46</v>
      </c>
      <c r="BK184" s="29">
        <f t="shared" si="292"/>
        <v>60</v>
      </c>
      <c r="BL184" s="3">
        <f t="shared" si="292"/>
        <v>54</v>
      </c>
      <c r="BM184" s="3">
        <f t="shared" si="282"/>
        <v>55</v>
      </c>
      <c r="BN184" s="3">
        <f t="shared" si="282"/>
        <v>54</v>
      </c>
      <c r="BO184" s="3">
        <f t="shared" si="282"/>
        <v>45</v>
      </c>
      <c r="BP184" s="29">
        <f t="shared" si="282"/>
        <v>39</v>
      </c>
      <c r="BQ184" s="3"/>
    </row>
    <row r="185" spans="53:69" x14ac:dyDescent="0.3">
      <c r="BA185" s="24">
        <f t="shared" si="286"/>
        <v>71</v>
      </c>
      <c r="BB185" s="3">
        <f t="shared" ref="BB185:BL185" si="293">RANK(BB77,BB$7:BB$106,0)</f>
        <v>61</v>
      </c>
      <c r="BC185" s="3">
        <f t="shared" si="293"/>
        <v>73</v>
      </c>
      <c r="BD185" s="3">
        <f t="shared" si="293"/>
        <v>73</v>
      </c>
      <c r="BE185" s="3">
        <f t="shared" si="293"/>
        <v>62</v>
      </c>
      <c r="BF185" s="29">
        <f t="shared" si="293"/>
        <v>41</v>
      </c>
      <c r="BG185" s="3">
        <f t="shared" si="293"/>
        <v>63</v>
      </c>
      <c r="BH185" s="3">
        <f t="shared" si="293"/>
        <v>64</v>
      </c>
      <c r="BI185" s="3">
        <f t="shared" si="293"/>
        <v>41</v>
      </c>
      <c r="BJ185" s="3">
        <f t="shared" si="293"/>
        <v>26</v>
      </c>
      <c r="BK185" s="29">
        <f t="shared" si="293"/>
        <v>80</v>
      </c>
      <c r="BL185" s="3">
        <f t="shared" si="293"/>
        <v>26</v>
      </c>
      <c r="BM185" s="3">
        <f t="shared" ref="BM185:BP194" si="294">RANK(BM77,BM$7:BM$106,0)</f>
        <v>25</v>
      </c>
      <c r="BN185" s="3">
        <f t="shared" si="294"/>
        <v>20</v>
      </c>
      <c r="BO185" s="3">
        <f t="shared" si="294"/>
        <v>70</v>
      </c>
      <c r="BP185" s="29">
        <f t="shared" si="294"/>
        <v>39</v>
      </c>
      <c r="BQ185" s="3"/>
    </row>
    <row r="186" spans="53:69" x14ac:dyDescent="0.3">
      <c r="BA186" s="24">
        <f t="shared" si="286"/>
        <v>72</v>
      </c>
      <c r="BB186" s="3">
        <f t="shared" ref="BB186:BL186" si="295">RANK(BB78,BB$7:BB$106,0)</f>
        <v>73</v>
      </c>
      <c r="BC186" s="3">
        <f t="shared" si="295"/>
        <v>75</v>
      </c>
      <c r="BD186" s="3">
        <f t="shared" si="295"/>
        <v>82</v>
      </c>
      <c r="BE186" s="3">
        <f t="shared" si="295"/>
        <v>92</v>
      </c>
      <c r="BF186" s="29">
        <f t="shared" si="295"/>
        <v>98</v>
      </c>
      <c r="BG186" s="3">
        <f t="shared" si="295"/>
        <v>78</v>
      </c>
      <c r="BH186" s="3">
        <f t="shared" si="295"/>
        <v>57</v>
      </c>
      <c r="BI186" s="3">
        <f t="shared" si="295"/>
        <v>88</v>
      </c>
      <c r="BJ186" s="3">
        <f t="shared" si="295"/>
        <v>66</v>
      </c>
      <c r="BK186" s="29">
        <f t="shared" si="295"/>
        <v>91</v>
      </c>
      <c r="BL186" s="3">
        <f t="shared" si="295"/>
        <v>99</v>
      </c>
      <c r="BM186" s="3">
        <f t="shared" si="294"/>
        <v>98</v>
      </c>
      <c r="BN186" s="3">
        <f t="shared" si="294"/>
        <v>86</v>
      </c>
      <c r="BO186" s="3">
        <f t="shared" si="294"/>
        <v>70</v>
      </c>
      <c r="BP186" s="29">
        <f t="shared" si="294"/>
        <v>39</v>
      </c>
      <c r="BQ186" s="3"/>
    </row>
    <row r="187" spans="53:69" x14ac:dyDescent="0.3">
      <c r="BA187" s="24">
        <f t="shared" si="286"/>
        <v>73</v>
      </c>
      <c r="BB187" s="3">
        <f t="shared" ref="BB187:BL187" si="296">RANK(BB79,BB$7:BB$106,0)</f>
        <v>53</v>
      </c>
      <c r="BC187" s="3">
        <f t="shared" si="296"/>
        <v>40</v>
      </c>
      <c r="BD187" s="3">
        <f t="shared" si="296"/>
        <v>79</v>
      </c>
      <c r="BE187" s="3">
        <f t="shared" si="296"/>
        <v>85</v>
      </c>
      <c r="BF187" s="29">
        <f t="shared" si="296"/>
        <v>16</v>
      </c>
      <c r="BG187" s="3">
        <f t="shared" si="296"/>
        <v>93</v>
      </c>
      <c r="BH187" s="3">
        <f t="shared" si="296"/>
        <v>62</v>
      </c>
      <c r="BI187" s="3">
        <f t="shared" si="296"/>
        <v>27</v>
      </c>
      <c r="BJ187" s="3">
        <f t="shared" si="296"/>
        <v>88</v>
      </c>
      <c r="BK187" s="29">
        <f t="shared" si="296"/>
        <v>73</v>
      </c>
      <c r="BL187" s="3">
        <f t="shared" si="296"/>
        <v>15</v>
      </c>
      <c r="BM187" s="3">
        <f t="shared" si="294"/>
        <v>4</v>
      </c>
      <c r="BN187" s="3">
        <f t="shared" si="294"/>
        <v>5</v>
      </c>
      <c r="BO187" s="3">
        <f t="shared" si="294"/>
        <v>6</v>
      </c>
      <c r="BP187" s="29">
        <f t="shared" si="294"/>
        <v>39</v>
      </c>
      <c r="BQ187" s="3"/>
    </row>
    <row r="188" spans="53:69" x14ac:dyDescent="0.3">
      <c r="BA188" s="24">
        <f t="shared" si="286"/>
        <v>74</v>
      </c>
      <c r="BB188" s="3">
        <f t="shared" ref="BB188:BL188" si="297">RANK(BB80,BB$7:BB$106,0)</f>
        <v>59</v>
      </c>
      <c r="BC188" s="3">
        <f t="shared" si="297"/>
        <v>15</v>
      </c>
      <c r="BD188" s="3">
        <f t="shared" si="297"/>
        <v>58</v>
      </c>
      <c r="BE188" s="3">
        <f t="shared" si="297"/>
        <v>35</v>
      </c>
      <c r="BF188" s="29">
        <f t="shared" si="297"/>
        <v>32</v>
      </c>
      <c r="BG188" s="3">
        <f t="shared" si="297"/>
        <v>32</v>
      </c>
      <c r="BH188" s="3">
        <f t="shared" si="297"/>
        <v>44</v>
      </c>
      <c r="BI188" s="3">
        <f t="shared" si="297"/>
        <v>52</v>
      </c>
      <c r="BJ188" s="3">
        <f t="shared" si="297"/>
        <v>56</v>
      </c>
      <c r="BK188" s="29">
        <f t="shared" si="297"/>
        <v>56</v>
      </c>
      <c r="BL188" s="3">
        <f t="shared" si="297"/>
        <v>35</v>
      </c>
      <c r="BM188" s="3">
        <f t="shared" si="294"/>
        <v>40</v>
      </c>
      <c r="BN188" s="3">
        <f t="shared" si="294"/>
        <v>56</v>
      </c>
      <c r="BO188" s="3">
        <f t="shared" si="294"/>
        <v>27</v>
      </c>
      <c r="BP188" s="29">
        <f t="shared" si="294"/>
        <v>12</v>
      </c>
      <c r="BQ188" s="3"/>
    </row>
    <row r="189" spans="53:69" x14ac:dyDescent="0.3">
      <c r="BA189" s="24">
        <f t="shared" si="286"/>
        <v>75</v>
      </c>
      <c r="BB189" s="3">
        <f t="shared" ref="BB189:BL189" si="298">RANK(BB81,BB$7:BB$106,0)</f>
        <v>81</v>
      </c>
      <c r="BC189" s="3">
        <f t="shared" si="298"/>
        <v>17</v>
      </c>
      <c r="BD189" s="3">
        <f t="shared" si="298"/>
        <v>28</v>
      </c>
      <c r="BE189" s="3">
        <f t="shared" si="298"/>
        <v>20</v>
      </c>
      <c r="BF189" s="29">
        <f t="shared" si="298"/>
        <v>6</v>
      </c>
      <c r="BG189" s="3">
        <f t="shared" si="298"/>
        <v>5</v>
      </c>
      <c r="BH189" s="3">
        <f t="shared" si="298"/>
        <v>14</v>
      </c>
      <c r="BI189" s="3">
        <f t="shared" si="298"/>
        <v>36</v>
      </c>
      <c r="BJ189" s="3">
        <f t="shared" si="298"/>
        <v>21</v>
      </c>
      <c r="BK189" s="29">
        <f t="shared" si="298"/>
        <v>11</v>
      </c>
      <c r="BL189" s="3">
        <f t="shared" si="298"/>
        <v>70</v>
      </c>
      <c r="BM189" s="3">
        <f t="shared" si="294"/>
        <v>1</v>
      </c>
      <c r="BN189" s="3">
        <f t="shared" si="294"/>
        <v>3</v>
      </c>
      <c r="BO189" s="3">
        <f t="shared" si="294"/>
        <v>1</v>
      </c>
      <c r="BP189" s="29">
        <f t="shared" si="294"/>
        <v>39</v>
      </c>
      <c r="BQ189" s="3"/>
    </row>
    <row r="190" spans="53:69" x14ac:dyDescent="0.3">
      <c r="BA190" s="24">
        <f t="shared" si="286"/>
        <v>76</v>
      </c>
      <c r="BB190" s="3">
        <f t="shared" ref="BB190:BL190" si="299">RANK(BB82,BB$7:BB$106,0)</f>
        <v>34</v>
      </c>
      <c r="BC190" s="3">
        <f t="shared" si="299"/>
        <v>32</v>
      </c>
      <c r="BD190" s="3">
        <f t="shared" si="299"/>
        <v>31</v>
      </c>
      <c r="BE190" s="3">
        <f t="shared" si="299"/>
        <v>26</v>
      </c>
      <c r="BF190" s="29">
        <f t="shared" si="299"/>
        <v>22</v>
      </c>
      <c r="BG190" s="3">
        <f t="shared" si="299"/>
        <v>40</v>
      </c>
      <c r="BH190" s="3">
        <f t="shared" si="299"/>
        <v>28</v>
      </c>
      <c r="BI190" s="3">
        <f t="shared" si="299"/>
        <v>38</v>
      </c>
      <c r="BJ190" s="3">
        <f t="shared" si="299"/>
        <v>89</v>
      </c>
      <c r="BK190" s="29">
        <f t="shared" si="299"/>
        <v>84</v>
      </c>
      <c r="BL190" s="3">
        <f t="shared" si="299"/>
        <v>81</v>
      </c>
      <c r="BM190" s="3">
        <f t="shared" si="294"/>
        <v>96</v>
      </c>
      <c r="BN190" s="3">
        <f t="shared" si="294"/>
        <v>93</v>
      </c>
      <c r="BO190" s="3">
        <f t="shared" si="294"/>
        <v>70</v>
      </c>
      <c r="BP190" s="29">
        <f t="shared" si="294"/>
        <v>39</v>
      </c>
      <c r="BQ190" s="3"/>
    </row>
    <row r="191" spans="53:69" x14ac:dyDescent="0.3">
      <c r="BA191" s="24">
        <f t="shared" si="286"/>
        <v>77</v>
      </c>
      <c r="BB191" s="3">
        <f t="shared" ref="BB191:BL191" si="300">RANK(BB83,BB$7:BB$106,0)</f>
        <v>28</v>
      </c>
      <c r="BC191" s="3">
        <f t="shared" si="300"/>
        <v>7</v>
      </c>
      <c r="BD191" s="3">
        <f t="shared" si="300"/>
        <v>87</v>
      </c>
      <c r="BE191" s="3">
        <f t="shared" si="300"/>
        <v>2</v>
      </c>
      <c r="BF191" s="29">
        <f t="shared" si="300"/>
        <v>86</v>
      </c>
      <c r="BG191" s="3">
        <f t="shared" si="300"/>
        <v>80</v>
      </c>
      <c r="BH191" s="3">
        <f t="shared" si="300"/>
        <v>66</v>
      </c>
      <c r="BI191" s="3">
        <f t="shared" si="300"/>
        <v>4</v>
      </c>
      <c r="BJ191" s="3">
        <f t="shared" si="300"/>
        <v>30</v>
      </c>
      <c r="BK191" s="29">
        <f t="shared" si="300"/>
        <v>38</v>
      </c>
      <c r="BL191" s="3">
        <f t="shared" si="300"/>
        <v>60</v>
      </c>
      <c r="BM191" s="3">
        <f t="shared" si="294"/>
        <v>99</v>
      </c>
      <c r="BN191" s="3">
        <f t="shared" si="294"/>
        <v>95</v>
      </c>
      <c r="BO191" s="3">
        <f t="shared" si="294"/>
        <v>70</v>
      </c>
      <c r="BP191" s="29">
        <f t="shared" si="294"/>
        <v>39</v>
      </c>
      <c r="BQ191" s="3"/>
    </row>
    <row r="192" spans="53:69" x14ac:dyDescent="0.3">
      <c r="BA192" s="24">
        <f t="shared" si="286"/>
        <v>78</v>
      </c>
      <c r="BB192" s="3">
        <f t="shared" ref="BB192:BL192" si="301">RANK(BB84,BB$7:BB$106,0)</f>
        <v>46</v>
      </c>
      <c r="BC192" s="3">
        <f t="shared" si="301"/>
        <v>61</v>
      </c>
      <c r="BD192" s="3">
        <f t="shared" si="301"/>
        <v>77</v>
      </c>
      <c r="BE192" s="3">
        <f t="shared" si="301"/>
        <v>69</v>
      </c>
      <c r="BF192" s="29">
        <f t="shared" si="301"/>
        <v>39</v>
      </c>
      <c r="BG192" s="3">
        <f t="shared" si="301"/>
        <v>53</v>
      </c>
      <c r="BH192" s="3">
        <f t="shared" si="301"/>
        <v>59</v>
      </c>
      <c r="BI192" s="3">
        <f t="shared" si="301"/>
        <v>26</v>
      </c>
      <c r="BJ192" s="3">
        <f t="shared" si="301"/>
        <v>27</v>
      </c>
      <c r="BK192" s="29">
        <f t="shared" si="301"/>
        <v>37</v>
      </c>
      <c r="BL192" s="3">
        <f t="shared" si="301"/>
        <v>10</v>
      </c>
      <c r="BM192" s="3">
        <f t="shared" si="294"/>
        <v>34</v>
      </c>
      <c r="BN192" s="3">
        <f t="shared" si="294"/>
        <v>18</v>
      </c>
      <c r="BO192" s="3">
        <f t="shared" si="294"/>
        <v>70</v>
      </c>
      <c r="BP192" s="29">
        <f t="shared" si="294"/>
        <v>39</v>
      </c>
      <c r="BQ192" s="3"/>
    </row>
    <row r="193" spans="53:69" x14ac:dyDescent="0.3">
      <c r="BA193" s="24">
        <f t="shared" si="286"/>
        <v>79</v>
      </c>
      <c r="BB193" s="3">
        <f t="shared" ref="BB193:BL193" si="302">RANK(BB85,BB$7:BB$106,0)</f>
        <v>80</v>
      </c>
      <c r="BC193" s="3">
        <f t="shared" si="302"/>
        <v>79</v>
      </c>
      <c r="BD193" s="3">
        <f t="shared" si="302"/>
        <v>85</v>
      </c>
      <c r="BE193" s="3">
        <f t="shared" si="302"/>
        <v>75</v>
      </c>
      <c r="BF193" s="29">
        <f t="shared" si="302"/>
        <v>82</v>
      </c>
      <c r="BG193" s="3">
        <f t="shared" si="302"/>
        <v>96</v>
      </c>
      <c r="BH193" s="3">
        <f t="shared" si="302"/>
        <v>81</v>
      </c>
      <c r="BI193" s="3">
        <f t="shared" si="302"/>
        <v>71</v>
      </c>
      <c r="BJ193" s="3">
        <f t="shared" si="302"/>
        <v>97</v>
      </c>
      <c r="BK193" s="29">
        <f t="shared" si="302"/>
        <v>83</v>
      </c>
      <c r="BL193" s="3">
        <f t="shared" si="302"/>
        <v>75</v>
      </c>
      <c r="BM193" s="3">
        <f t="shared" si="294"/>
        <v>77</v>
      </c>
      <c r="BN193" s="3">
        <f t="shared" si="294"/>
        <v>72</v>
      </c>
      <c r="BO193" s="3">
        <f t="shared" si="294"/>
        <v>70</v>
      </c>
      <c r="BP193" s="29">
        <f t="shared" si="294"/>
        <v>39</v>
      </c>
      <c r="BQ193" s="3"/>
    </row>
    <row r="194" spans="53:69" x14ac:dyDescent="0.3">
      <c r="BA194" s="24">
        <f t="shared" si="286"/>
        <v>80</v>
      </c>
      <c r="BB194" s="3">
        <f t="shared" ref="BB194:BL194" si="303">RANK(BB86,BB$7:BB$106,0)</f>
        <v>9</v>
      </c>
      <c r="BC194" s="3">
        <f t="shared" si="303"/>
        <v>33</v>
      </c>
      <c r="BD194" s="3">
        <f t="shared" si="303"/>
        <v>29</v>
      </c>
      <c r="BE194" s="3">
        <f t="shared" si="303"/>
        <v>24</v>
      </c>
      <c r="BF194" s="29">
        <f t="shared" si="303"/>
        <v>12</v>
      </c>
      <c r="BG194" s="3">
        <f t="shared" si="303"/>
        <v>16</v>
      </c>
      <c r="BH194" s="3">
        <f t="shared" si="303"/>
        <v>4</v>
      </c>
      <c r="BI194" s="3">
        <f t="shared" si="303"/>
        <v>13</v>
      </c>
      <c r="BJ194" s="3">
        <f t="shared" si="303"/>
        <v>6</v>
      </c>
      <c r="BK194" s="29">
        <f t="shared" si="303"/>
        <v>5</v>
      </c>
      <c r="BL194" s="3">
        <f t="shared" si="303"/>
        <v>4</v>
      </c>
      <c r="BM194" s="3">
        <f t="shared" si="294"/>
        <v>10</v>
      </c>
      <c r="BN194" s="3">
        <f t="shared" si="294"/>
        <v>10</v>
      </c>
      <c r="BO194" s="3">
        <f t="shared" si="294"/>
        <v>70</v>
      </c>
      <c r="BP194" s="29">
        <f t="shared" si="294"/>
        <v>39</v>
      </c>
      <c r="BQ194" s="3"/>
    </row>
    <row r="195" spans="53:69" x14ac:dyDescent="0.3">
      <c r="BA195" s="24">
        <f t="shared" si="286"/>
        <v>81</v>
      </c>
      <c r="BB195" s="3">
        <f t="shared" ref="BB195:BL195" si="304">RANK(BB87,BB$7:BB$106,0)</f>
        <v>43</v>
      </c>
      <c r="BC195" s="3">
        <f t="shared" si="304"/>
        <v>24</v>
      </c>
      <c r="BD195" s="3">
        <f t="shared" si="304"/>
        <v>9</v>
      </c>
      <c r="BE195" s="3">
        <f t="shared" si="304"/>
        <v>45</v>
      </c>
      <c r="BF195" s="29">
        <f t="shared" si="304"/>
        <v>37</v>
      </c>
      <c r="BG195" s="3">
        <f t="shared" si="304"/>
        <v>71</v>
      </c>
      <c r="BH195" s="3">
        <f t="shared" si="304"/>
        <v>83</v>
      </c>
      <c r="BI195" s="3">
        <f t="shared" si="304"/>
        <v>74</v>
      </c>
      <c r="BJ195" s="3">
        <f t="shared" si="304"/>
        <v>34</v>
      </c>
      <c r="BK195" s="29">
        <f t="shared" si="304"/>
        <v>43</v>
      </c>
      <c r="BL195" s="3">
        <f t="shared" si="304"/>
        <v>31</v>
      </c>
      <c r="BM195" s="3">
        <f t="shared" ref="BM195:BP204" si="305">RANK(BM87,BM$7:BM$106,0)</f>
        <v>30</v>
      </c>
      <c r="BN195" s="3">
        <f t="shared" si="305"/>
        <v>27</v>
      </c>
      <c r="BO195" s="3">
        <f t="shared" si="305"/>
        <v>30</v>
      </c>
      <c r="BP195" s="29">
        <f t="shared" si="305"/>
        <v>39</v>
      </c>
      <c r="BQ195" s="3"/>
    </row>
    <row r="196" spans="53:69" x14ac:dyDescent="0.3">
      <c r="BA196" s="24">
        <f t="shared" si="286"/>
        <v>82</v>
      </c>
      <c r="BB196" s="3">
        <f t="shared" ref="BB196:BL196" si="306">RANK(BB88,BB$7:BB$106,0)</f>
        <v>41</v>
      </c>
      <c r="BC196" s="3">
        <f t="shared" si="306"/>
        <v>23</v>
      </c>
      <c r="BD196" s="3">
        <f t="shared" si="306"/>
        <v>7</v>
      </c>
      <c r="BE196" s="3">
        <f t="shared" si="306"/>
        <v>46</v>
      </c>
      <c r="BF196" s="29">
        <f t="shared" si="306"/>
        <v>65</v>
      </c>
      <c r="BG196" s="3">
        <f t="shared" si="306"/>
        <v>67</v>
      </c>
      <c r="BH196" s="3">
        <f t="shared" si="306"/>
        <v>94</v>
      </c>
      <c r="BI196" s="3">
        <f t="shared" si="306"/>
        <v>51</v>
      </c>
      <c r="BJ196" s="3">
        <f t="shared" si="306"/>
        <v>31</v>
      </c>
      <c r="BK196" s="29">
        <f t="shared" si="306"/>
        <v>45</v>
      </c>
      <c r="BL196" s="3">
        <f t="shared" si="306"/>
        <v>27</v>
      </c>
      <c r="BM196" s="3">
        <f t="shared" si="305"/>
        <v>37</v>
      </c>
      <c r="BN196" s="3">
        <f t="shared" si="305"/>
        <v>34</v>
      </c>
      <c r="BO196" s="3">
        <f t="shared" si="305"/>
        <v>14</v>
      </c>
      <c r="BP196" s="29">
        <f t="shared" si="305"/>
        <v>39</v>
      </c>
      <c r="BQ196" s="3"/>
    </row>
    <row r="197" spans="53:69" x14ac:dyDescent="0.3">
      <c r="BA197" s="24">
        <f t="shared" si="286"/>
        <v>83</v>
      </c>
      <c r="BB197" s="3">
        <f t="shared" ref="BB197:BL197" si="307">RANK(BB89,BB$7:BB$106,0)</f>
        <v>20</v>
      </c>
      <c r="BC197" s="3">
        <f t="shared" si="307"/>
        <v>34</v>
      </c>
      <c r="BD197" s="3">
        <f t="shared" si="307"/>
        <v>52</v>
      </c>
      <c r="BE197" s="3">
        <f t="shared" si="307"/>
        <v>53</v>
      </c>
      <c r="BF197" s="29">
        <f t="shared" si="307"/>
        <v>26</v>
      </c>
      <c r="BG197" s="3">
        <f t="shared" si="307"/>
        <v>25</v>
      </c>
      <c r="BH197" s="3">
        <f t="shared" si="307"/>
        <v>32</v>
      </c>
      <c r="BI197" s="3">
        <f t="shared" si="307"/>
        <v>29</v>
      </c>
      <c r="BJ197" s="3">
        <f t="shared" si="307"/>
        <v>8</v>
      </c>
      <c r="BK197" s="29">
        <f t="shared" si="307"/>
        <v>22</v>
      </c>
      <c r="BL197" s="3">
        <f t="shared" si="307"/>
        <v>20</v>
      </c>
      <c r="BM197" s="3">
        <f t="shared" si="305"/>
        <v>14</v>
      </c>
      <c r="BN197" s="3">
        <f t="shared" si="305"/>
        <v>13</v>
      </c>
      <c r="BO197" s="3">
        <f t="shared" si="305"/>
        <v>70</v>
      </c>
      <c r="BP197" s="29">
        <f t="shared" si="305"/>
        <v>39</v>
      </c>
      <c r="BQ197" s="3"/>
    </row>
    <row r="198" spans="53:69" x14ac:dyDescent="0.3">
      <c r="BA198" s="24">
        <f t="shared" si="286"/>
        <v>84</v>
      </c>
      <c r="BB198" s="3">
        <f t="shared" ref="BB198:BL198" si="308">RANK(BB90,BB$7:BB$106,0)</f>
        <v>89</v>
      </c>
      <c r="BC198" s="3">
        <f t="shared" si="308"/>
        <v>100</v>
      </c>
      <c r="BD198" s="3">
        <f t="shared" si="308"/>
        <v>78</v>
      </c>
      <c r="BE198" s="3">
        <f t="shared" si="308"/>
        <v>16</v>
      </c>
      <c r="BF198" s="29">
        <f t="shared" si="308"/>
        <v>38</v>
      </c>
      <c r="BG198" s="3">
        <f t="shared" si="308"/>
        <v>15</v>
      </c>
      <c r="BH198" s="3">
        <f t="shared" si="308"/>
        <v>12</v>
      </c>
      <c r="BI198" s="3">
        <f t="shared" si="308"/>
        <v>15</v>
      </c>
      <c r="BJ198" s="3">
        <f t="shared" si="308"/>
        <v>16</v>
      </c>
      <c r="BK198" s="29">
        <f t="shared" si="308"/>
        <v>42</v>
      </c>
      <c r="BL198" s="3">
        <f t="shared" si="308"/>
        <v>41</v>
      </c>
      <c r="BM198" s="3">
        <f t="shared" si="305"/>
        <v>15</v>
      </c>
      <c r="BN198" s="3">
        <f t="shared" si="305"/>
        <v>19</v>
      </c>
      <c r="BO198" s="3">
        <f t="shared" si="305"/>
        <v>9</v>
      </c>
      <c r="BP198" s="29">
        <f t="shared" si="305"/>
        <v>39</v>
      </c>
      <c r="BQ198" s="3"/>
    </row>
    <row r="199" spans="53:69" x14ac:dyDescent="0.3">
      <c r="BA199" s="24">
        <f t="shared" si="286"/>
        <v>85</v>
      </c>
      <c r="BB199" s="3">
        <f t="shared" ref="BB199:BL199" si="309">RANK(BB91,BB$7:BB$106,0)</f>
        <v>86</v>
      </c>
      <c r="BC199" s="3">
        <f t="shared" si="309"/>
        <v>86</v>
      </c>
      <c r="BD199" s="3">
        <f t="shared" si="309"/>
        <v>93</v>
      </c>
      <c r="BE199" s="3">
        <f t="shared" si="309"/>
        <v>81</v>
      </c>
      <c r="BF199" s="29">
        <f t="shared" si="309"/>
        <v>78</v>
      </c>
      <c r="BG199" s="3">
        <f t="shared" si="309"/>
        <v>86</v>
      </c>
      <c r="BH199" s="3">
        <f t="shared" si="309"/>
        <v>84</v>
      </c>
      <c r="BI199" s="3">
        <f t="shared" si="309"/>
        <v>79</v>
      </c>
      <c r="BJ199" s="3">
        <f t="shared" si="309"/>
        <v>76</v>
      </c>
      <c r="BK199" s="29">
        <f t="shared" si="309"/>
        <v>68</v>
      </c>
      <c r="BL199" s="3">
        <f t="shared" si="309"/>
        <v>89</v>
      </c>
      <c r="BM199" s="3">
        <f t="shared" si="305"/>
        <v>91</v>
      </c>
      <c r="BN199" s="3">
        <f t="shared" si="305"/>
        <v>94</v>
      </c>
      <c r="BO199" s="3">
        <f t="shared" si="305"/>
        <v>70</v>
      </c>
      <c r="BP199" s="29">
        <f t="shared" si="305"/>
        <v>39</v>
      </c>
      <c r="BQ199" s="3"/>
    </row>
    <row r="200" spans="53:69" x14ac:dyDescent="0.3">
      <c r="BA200" s="24">
        <f t="shared" si="286"/>
        <v>86</v>
      </c>
      <c r="BB200" s="3">
        <f t="shared" ref="BB200:BL200" si="310">RANK(BB92,BB$7:BB$106,0)</f>
        <v>50</v>
      </c>
      <c r="BC200" s="3">
        <f t="shared" si="310"/>
        <v>80</v>
      </c>
      <c r="BD200" s="3">
        <f t="shared" si="310"/>
        <v>66</v>
      </c>
      <c r="BE200" s="3">
        <f t="shared" si="310"/>
        <v>40</v>
      </c>
      <c r="BF200" s="29">
        <f t="shared" si="310"/>
        <v>42</v>
      </c>
      <c r="BG200" s="3">
        <f t="shared" si="310"/>
        <v>72</v>
      </c>
      <c r="BH200" s="3">
        <f t="shared" si="310"/>
        <v>56</v>
      </c>
      <c r="BI200" s="3">
        <f t="shared" si="310"/>
        <v>44</v>
      </c>
      <c r="BJ200" s="3">
        <f t="shared" si="310"/>
        <v>35</v>
      </c>
      <c r="BK200" s="29">
        <f t="shared" si="310"/>
        <v>44</v>
      </c>
      <c r="BL200" s="3">
        <f t="shared" si="310"/>
        <v>28</v>
      </c>
      <c r="BM200" s="3">
        <f t="shared" si="305"/>
        <v>49</v>
      </c>
      <c r="BN200" s="3">
        <f t="shared" si="305"/>
        <v>40</v>
      </c>
      <c r="BO200" s="3">
        <f t="shared" si="305"/>
        <v>70</v>
      </c>
      <c r="BP200" s="29">
        <f t="shared" si="305"/>
        <v>39</v>
      </c>
      <c r="BQ200" s="3"/>
    </row>
    <row r="201" spans="53:69" x14ac:dyDescent="0.3">
      <c r="BA201" s="24">
        <f t="shared" si="286"/>
        <v>87</v>
      </c>
      <c r="BB201" s="3">
        <f t="shared" ref="BB201:BL201" si="311">RANK(BB93,BB$7:BB$106,0)</f>
        <v>14</v>
      </c>
      <c r="BC201" s="3">
        <f t="shared" si="311"/>
        <v>36</v>
      </c>
      <c r="BD201" s="3">
        <f t="shared" si="311"/>
        <v>34</v>
      </c>
      <c r="BE201" s="3">
        <f t="shared" si="311"/>
        <v>36</v>
      </c>
      <c r="BF201" s="29">
        <f t="shared" si="311"/>
        <v>66</v>
      </c>
      <c r="BG201" s="3">
        <f t="shared" si="311"/>
        <v>91</v>
      </c>
      <c r="BH201" s="3">
        <f t="shared" si="311"/>
        <v>68</v>
      </c>
      <c r="BI201" s="3">
        <f t="shared" si="311"/>
        <v>48</v>
      </c>
      <c r="BJ201" s="3">
        <f t="shared" si="311"/>
        <v>33</v>
      </c>
      <c r="BK201" s="29">
        <f t="shared" si="311"/>
        <v>21</v>
      </c>
      <c r="BL201" s="3">
        <f t="shared" si="311"/>
        <v>55</v>
      </c>
      <c r="BM201" s="3">
        <f t="shared" si="305"/>
        <v>18</v>
      </c>
      <c r="BN201" s="3">
        <f t="shared" si="305"/>
        <v>23</v>
      </c>
      <c r="BO201" s="3">
        <f t="shared" si="305"/>
        <v>70</v>
      </c>
      <c r="BP201" s="29">
        <f t="shared" si="305"/>
        <v>39</v>
      </c>
      <c r="BQ201" s="3"/>
    </row>
    <row r="202" spans="53:69" x14ac:dyDescent="0.3">
      <c r="BA202" s="24">
        <f t="shared" si="286"/>
        <v>88</v>
      </c>
      <c r="BB202" s="3">
        <f t="shared" ref="BB202:BL202" si="312">RANK(BB94,BB$7:BB$106,0)</f>
        <v>7</v>
      </c>
      <c r="BC202" s="3">
        <f t="shared" si="312"/>
        <v>10</v>
      </c>
      <c r="BD202" s="3">
        <f t="shared" si="312"/>
        <v>13</v>
      </c>
      <c r="BE202" s="3">
        <f t="shared" si="312"/>
        <v>10</v>
      </c>
      <c r="BF202" s="29">
        <f t="shared" si="312"/>
        <v>5</v>
      </c>
      <c r="BG202" s="3">
        <f t="shared" si="312"/>
        <v>18</v>
      </c>
      <c r="BH202" s="3">
        <f t="shared" si="312"/>
        <v>19</v>
      </c>
      <c r="BI202" s="3">
        <f t="shared" si="312"/>
        <v>7</v>
      </c>
      <c r="BJ202" s="3">
        <f t="shared" si="312"/>
        <v>19</v>
      </c>
      <c r="BK202" s="29">
        <f t="shared" si="312"/>
        <v>7</v>
      </c>
      <c r="BL202" s="3">
        <f t="shared" si="312"/>
        <v>11</v>
      </c>
      <c r="BM202" s="3">
        <f t="shared" si="305"/>
        <v>9</v>
      </c>
      <c r="BN202" s="3">
        <f t="shared" si="305"/>
        <v>46</v>
      </c>
      <c r="BO202" s="3">
        <f t="shared" si="305"/>
        <v>35</v>
      </c>
      <c r="BP202" s="29">
        <f t="shared" si="305"/>
        <v>39</v>
      </c>
      <c r="BQ202" s="3"/>
    </row>
    <row r="203" spans="53:69" x14ac:dyDescent="0.3">
      <c r="BA203" s="24">
        <f t="shared" si="286"/>
        <v>89</v>
      </c>
      <c r="BB203" s="3">
        <f t="shared" ref="BB203:BL203" si="313">RANK(BB95,BB$7:BB$106,0)</f>
        <v>17</v>
      </c>
      <c r="BC203" s="3">
        <f t="shared" si="313"/>
        <v>45</v>
      </c>
      <c r="BD203" s="3">
        <f t="shared" si="313"/>
        <v>42</v>
      </c>
      <c r="BE203" s="3">
        <f t="shared" si="313"/>
        <v>74</v>
      </c>
      <c r="BF203" s="29">
        <f t="shared" si="313"/>
        <v>9</v>
      </c>
      <c r="BG203" s="3">
        <f t="shared" si="313"/>
        <v>33</v>
      </c>
      <c r="BH203" s="3">
        <f t="shared" si="313"/>
        <v>9</v>
      </c>
      <c r="BI203" s="3">
        <f t="shared" si="313"/>
        <v>42</v>
      </c>
      <c r="BJ203" s="3">
        <f t="shared" si="313"/>
        <v>54</v>
      </c>
      <c r="BK203" s="29">
        <f t="shared" si="313"/>
        <v>67</v>
      </c>
      <c r="BL203" s="3">
        <f t="shared" si="313"/>
        <v>84</v>
      </c>
      <c r="BM203" s="3">
        <f t="shared" si="305"/>
        <v>73</v>
      </c>
      <c r="BN203" s="3">
        <f t="shared" si="305"/>
        <v>76</v>
      </c>
      <c r="BO203" s="3">
        <f t="shared" si="305"/>
        <v>70</v>
      </c>
      <c r="BP203" s="29">
        <f t="shared" si="305"/>
        <v>39</v>
      </c>
      <c r="BQ203" s="3"/>
    </row>
    <row r="204" spans="53:69" x14ac:dyDescent="0.3">
      <c r="BA204" s="24">
        <f t="shared" si="286"/>
        <v>90</v>
      </c>
      <c r="BB204" s="3">
        <f t="shared" ref="BB204:BL204" si="314">RANK(BB96,BB$7:BB$106,0)</f>
        <v>35</v>
      </c>
      <c r="BC204" s="3">
        <f t="shared" si="314"/>
        <v>14</v>
      </c>
      <c r="BD204" s="3">
        <f t="shared" si="314"/>
        <v>8</v>
      </c>
      <c r="BE204" s="3">
        <f t="shared" si="314"/>
        <v>6</v>
      </c>
      <c r="BF204" s="29">
        <f t="shared" si="314"/>
        <v>10</v>
      </c>
      <c r="BG204" s="3">
        <f t="shared" si="314"/>
        <v>19</v>
      </c>
      <c r="BH204" s="3">
        <f t="shared" si="314"/>
        <v>20</v>
      </c>
      <c r="BI204" s="3">
        <f t="shared" si="314"/>
        <v>25</v>
      </c>
      <c r="BJ204" s="3">
        <f t="shared" si="314"/>
        <v>24</v>
      </c>
      <c r="BK204" s="29">
        <f t="shared" si="314"/>
        <v>4</v>
      </c>
      <c r="BL204" s="3">
        <f t="shared" si="314"/>
        <v>3</v>
      </c>
      <c r="BM204" s="3">
        <f t="shared" si="305"/>
        <v>5</v>
      </c>
      <c r="BN204" s="3">
        <f t="shared" si="305"/>
        <v>11</v>
      </c>
      <c r="BO204" s="3">
        <f t="shared" si="305"/>
        <v>70</v>
      </c>
      <c r="BP204" s="29">
        <f t="shared" si="305"/>
        <v>39</v>
      </c>
      <c r="BQ204" s="3"/>
    </row>
    <row r="205" spans="53:69" x14ac:dyDescent="0.3">
      <c r="BA205" s="24">
        <f t="shared" si="286"/>
        <v>91</v>
      </c>
      <c r="BB205" s="3">
        <f t="shared" ref="BB205:BL205" si="315">RANK(BB97,BB$7:BB$106,0)</f>
        <v>66</v>
      </c>
      <c r="BC205" s="3">
        <f t="shared" si="315"/>
        <v>70</v>
      </c>
      <c r="BD205" s="3">
        <f t="shared" si="315"/>
        <v>75</v>
      </c>
      <c r="BE205" s="3">
        <f t="shared" si="315"/>
        <v>99</v>
      </c>
      <c r="BF205" s="29">
        <f t="shared" si="315"/>
        <v>64</v>
      </c>
      <c r="BG205" s="3">
        <f t="shared" si="315"/>
        <v>77</v>
      </c>
      <c r="BH205" s="3">
        <f t="shared" si="315"/>
        <v>79</v>
      </c>
      <c r="BI205" s="3">
        <f t="shared" si="315"/>
        <v>75</v>
      </c>
      <c r="BJ205" s="3">
        <f t="shared" si="315"/>
        <v>84</v>
      </c>
      <c r="BK205" s="29">
        <f t="shared" si="315"/>
        <v>78</v>
      </c>
      <c r="BL205" s="3">
        <f t="shared" si="315"/>
        <v>58</v>
      </c>
      <c r="BM205" s="3">
        <f t="shared" ref="BM205:BP214" si="316">RANK(BM97,BM$7:BM$106,0)</f>
        <v>68</v>
      </c>
      <c r="BN205" s="3">
        <f t="shared" si="316"/>
        <v>66</v>
      </c>
      <c r="BO205" s="3">
        <f t="shared" si="316"/>
        <v>54</v>
      </c>
      <c r="BP205" s="29">
        <f t="shared" si="316"/>
        <v>39</v>
      </c>
      <c r="BQ205" s="3"/>
    </row>
    <row r="206" spans="53:69" x14ac:dyDescent="0.3">
      <c r="BA206" s="24">
        <f t="shared" si="286"/>
        <v>92</v>
      </c>
      <c r="BB206" s="3">
        <f t="shared" ref="BB206:BL206" si="317">RANK(BB98,BB$7:BB$106,0)</f>
        <v>15</v>
      </c>
      <c r="BC206" s="3">
        <f t="shared" si="317"/>
        <v>43</v>
      </c>
      <c r="BD206" s="3">
        <f t="shared" si="317"/>
        <v>41</v>
      </c>
      <c r="BE206" s="3">
        <f t="shared" si="317"/>
        <v>71</v>
      </c>
      <c r="BF206" s="29">
        <f t="shared" si="317"/>
        <v>14</v>
      </c>
      <c r="BG206" s="3">
        <f t="shared" si="317"/>
        <v>12</v>
      </c>
      <c r="BH206" s="3">
        <f t="shared" si="317"/>
        <v>86</v>
      </c>
      <c r="BI206" s="3">
        <f t="shared" si="317"/>
        <v>14</v>
      </c>
      <c r="BJ206" s="3">
        <f t="shared" si="317"/>
        <v>98</v>
      </c>
      <c r="BK206" s="29">
        <f t="shared" si="317"/>
        <v>99</v>
      </c>
      <c r="BL206" s="3">
        <f t="shared" si="317"/>
        <v>18</v>
      </c>
      <c r="BM206" s="3">
        <f t="shared" si="316"/>
        <v>21</v>
      </c>
      <c r="BN206" s="3">
        <f t="shared" si="316"/>
        <v>26</v>
      </c>
      <c r="BO206" s="3">
        <f t="shared" si="316"/>
        <v>70</v>
      </c>
      <c r="BP206" s="29">
        <f t="shared" si="316"/>
        <v>39</v>
      </c>
      <c r="BQ206" s="3"/>
    </row>
    <row r="207" spans="53:69" x14ac:dyDescent="0.3">
      <c r="BA207" s="24">
        <f t="shared" si="286"/>
        <v>93</v>
      </c>
      <c r="BB207" s="3">
        <f t="shared" ref="BB207:BL207" si="318">RANK(BB99,BB$7:BB$106,0)</f>
        <v>26</v>
      </c>
      <c r="BC207" s="3">
        <f t="shared" si="318"/>
        <v>5</v>
      </c>
      <c r="BD207" s="3">
        <f t="shared" si="318"/>
        <v>24</v>
      </c>
      <c r="BE207" s="3">
        <f t="shared" si="318"/>
        <v>34</v>
      </c>
      <c r="BF207" s="29">
        <f t="shared" si="318"/>
        <v>47</v>
      </c>
      <c r="BG207" s="3">
        <f t="shared" si="318"/>
        <v>50</v>
      </c>
      <c r="BH207" s="3">
        <f t="shared" si="318"/>
        <v>24</v>
      </c>
      <c r="BI207" s="3">
        <f t="shared" si="318"/>
        <v>23</v>
      </c>
      <c r="BJ207" s="3">
        <f t="shared" si="318"/>
        <v>17</v>
      </c>
      <c r="BK207" s="29">
        <f t="shared" si="318"/>
        <v>17</v>
      </c>
      <c r="BL207" s="3">
        <f t="shared" si="318"/>
        <v>19</v>
      </c>
      <c r="BM207" s="3">
        <f t="shared" si="316"/>
        <v>64</v>
      </c>
      <c r="BN207" s="3">
        <f t="shared" si="316"/>
        <v>30</v>
      </c>
      <c r="BO207" s="3">
        <f t="shared" si="316"/>
        <v>70</v>
      </c>
      <c r="BP207" s="29">
        <f t="shared" si="316"/>
        <v>39</v>
      </c>
      <c r="BQ207" s="3"/>
    </row>
    <row r="208" spans="53:69" x14ac:dyDescent="0.3">
      <c r="BA208" s="24">
        <f t="shared" si="286"/>
        <v>94</v>
      </c>
      <c r="BB208" s="3">
        <f t="shared" ref="BB208:BL208" si="319">RANK(BB100,BB$7:BB$106,0)</f>
        <v>4</v>
      </c>
      <c r="BC208" s="3">
        <f t="shared" si="319"/>
        <v>2</v>
      </c>
      <c r="BD208" s="3">
        <f t="shared" si="319"/>
        <v>4</v>
      </c>
      <c r="BE208" s="3">
        <f t="shared" si="319"/>
        <v>8</v>
      </c>
      <c r="BF208" s="29">
        <f t="shared" si="319"/>
        <v>95</v>
      </c>
      <c r="BG208" s="3">
        <f t="shared" si="319"/>
        <v>84</v>
      </c>
      <c r="BH208" s="3">
        <f t="shared" si="319"/>
        <v>21</v>
      </c>
      <c r="BI208" s="3">
        <f t="shared" si="319"/>
        <v>16</v>
      </c>
      <c r="BJ208" s="3">
        <f t="shared" si="319"/>
        <v>1</v>
      </c>
      <c r="BK208" s="29">
        <f t="shared" si="319"/>
        <v>3</v>
      </c>
      <c r="BL208" s="3">
        <f t="shared" si="319"/>
        <v>1</v>
      </c>
      <c r="BM208" s="3">
        <f t="shared" si="316"/>
        <v>2</v>
      </c>
      <c r="BN208" s="3">
        <f t="shared" si="316"/>
        <v>2</v>
      </c>
      <c r="BO208" s="3">
        <f t="shared" si="316"/>
        <v>70</v>
      </c>
      <c r="BP208" s="29">
        <f t="shared" si="316"/>
        <v>39</v>
      </c>
      <c r="BQ208" s="3"/>
    </row>
    <row r="209" spans="53:69" x14ac:dyDescent="0.3">
      <c r="BA209" s="24">
        <f t="shared" si="286"/>
        <v>95</v>
      </c>
      <c r="BB209" s="3">
        <f t="shared" ref="BB209:BL209" si="320">RANK(BB101,BB$7:BB$106,0)</f>
        <v>25</v>
      </c>
      <c r="BC209" s="3">
        <f t="shared" si="320"/>
        <v>51</v>
      </c>
      <c r="BD209" s="3">
        <f t="shared" si="320"/>
        <v>55</v>
      </c>
      <c r="BE209" s="3">
        <f t="shared" si="320"/>
        <v>86</v>
      </c>
      <c r="BF209" s="29">
        <f t="shared" si="320"/>
        <v>28</v>
      </c>
      <c r="BG209" s="3">
        <f t="shared" si="320"/>
        <v>64</v>
      </c>
      <c r="BH209" s="3">
        <f t="shared" si="320"/>
        <v>76</v>
      </c>
      <c r="BI209" s="3">
        <f t="shared" si="320"/>
        <v>70</v>
      </c>
      <c r="BJ209" s="3">
        <f t="shared" si="320"/>
        <v>73</v>
      </c>
      <c r="BK209" s="29">
        <f t="shared" si="320"/>
        <v>69</v>
      </c>
      <c r="BL209" s="3">
        <f t="shared" si="320"/>
        <v>85</v>
      </c>
      <c r="BM209" s="3">
        <f t="shared" si="316"/>
        <v>87</v>
      </c>
      <c r="BN209" s="3">
        <f t="shared" si="316"/>
        <v>79</v>
      </c>
      <c r="BO209" s="3">
        <f t="shared" si="316"/>
        <v>70</v>
      </c>
      <c r="BP209" s="29">
        <f t="shared" si="316"/>
        <v>39</v>
      </c>
      <c r="BQ209" s="3"/>
    </row>
    <row r="210" spans="53:69" x14ac:dyDescent="0.3">
      <c r="BA210" s="24">
        <f t="shared" si="286"/>
        <v>96</v>
      </c>
      <c r="BB210" s="3">
        <f t="shared" ref="BB210:BL210" si="321">RANK(BB102,BB$7:BB$106,0)</f>
        <v>11</v>
      </c>
      <c r="BC210" s="3">
        <f t="shared" si="321"/>
        <v>4</v>
      </c>
      <c r="BD210" s="3">
        <f t="shared" si="321"/>
        <v>11</v>
      </c>
      <c r="BE210" s="3">
        <f t="shared" si="321"/>
        <v>14</v>
      </c>
      <c r="BF210" s="29">
        <f t="shared" si="321"/>
        <v>35</v>
      </c>
      <c r="BG210" s="3">
        <f t="shared" si="321"/>
        <v>70</v>
      </c>
      <c r="BH210" s="3">
        <f t="shared" si="321"/>
        <v>37</v>
      </c>
      <c r="BI210" s="3">
        <f t="shared" si="321"/>
        <v>64</v>
      </c>
      <c r="BJ210" s="3">
        <f t="shared" si="321"/>
        <v>55</v>
      </c>
      <c r="BK210" s="29">
        <f t="shared" si="321"/>
        <v>55</v>
      </c>
      <c r="BL210" s="3">
        <f t="shared" si="321"/>
        <v>65</v>
      </c>
      <c r="BM210" s="3">
        <f t="shared" si="316"/>
        <v>81</v>
      </c>
      <c r="BN210" s="3">
        <f t="shared" si="316"/>
        <v>77</v>
      </c>
      <c r="BO210" s="3">
        <f t="shared" si="316"/>
        <v>70</v>
      </c>
      <c r="BP210" s="29">
        <f t="shared" si="316"/>
        <v>39</v>
      </c>
      <c r="BQ210" s="3"/>
    </row>
    <row r="211" spans="53:69" x14ac:dyDescent="0.3">
      <c r="BA211" s="24">
        <f>A103</f>
        <v>97</v>
      </c>
      <c r="BB211" s="3">
        <f t="shared" ref="BB211:BL211" si="322">RANK(BB103,BB$7:BB$106,0)</f>
        <v>19</v>
      </c>
      <c r="BC211" s="3">
        <f t="shared" si="322"/>
        <v>25</v>
      </c>
      <c r="BD211" s="3">
        <f t="shared" si="322"/>
        <v>26</v>
      </c>
      <c r="BE211" s="3">
        <f t="shared" si="322"/>
        <v>21</v>
      </c>
      <c r="BF211" s="29">
        <f t="shared" si="322"/>
        <v>33</v>
      </c>
      <c r="BG211" s="3">
        <f t="shared" si="322"/>
        <v>29</v>
      </c>
      <c r="BH211" s="3">
        <f t="shared" si="322"/>
        <v>96</v>
      </c>
      <c r="BI211" s="3">
        <f t="shared" si="322"/>
        <v>92</v>
      </c>
      <c r="BJ211" s="3">
        <f t="shared" si="322"/>
        <v>87</v>
      </c>
      <c r="BK211" s="29">
        <f t="shared" si="322"/>
        <v>86</v>
      </c>
      <c r="BL211" s="3">
        <f t="shared" si="322"/>
        <v>88</v>
      </c>
      <c r="BM211" s="3">
        <f t="shared" si="316"/>
        <v>85</v>
      </c>
      <c r="BN211" s="3">
        <f t="shared" si="316"/>
        <v>82</v>
      </c>
      <c r="BO211" s="3">
        <f t="shared" si="316"/>
        <v>70</v>
      </c>
      <c r="BP211" s="29">
        <f t="shared" si="316"/>
        <v>39</v>
      </c>
      <c r="BQ211" s="3"/>
    </row>
    <row r="212" spans="53:69" x14ac:dyDescent="0.3">
      <c r="BA212" s="24">
        <f>A104</f>
        <v>98</v>
      </c>
      <c r="BB212" s="3">
        <f t="shared" ref="BB212:BL212" si="323">RANK(BB104,BB$7:BB$106,0)</f>
        <v>18</v>
      </c>
      <c r="BC212" s="3">
        <f t="shared" si="323"/>
        <v>35</v>
      </c>
      <c r="BD212" s="3">
        <f t="shared" si="323"/>
        <v>49</v>
      </c>
      <c r="BE212" s="3">
        <f t="shared" si="323"/>
        <v>17</v>
      </c>
      <c r="BF212" s="29">
        <f t="shared" si="323"/>
        <v>20</v>
      </c>
      <c r="BG212" s="3">
        <f t="shared" si="323"/>
        <v>34</v>
      </c>
      <c r="BH212" s="3">
        <f t="shared" si="323"/>
        <v>46</v>
      </c>
      <c r="BI212" s="3">
        <f t="shared" si="323"/>
        <v>19</v>
      </c>
      <c r="BJ212" s="3">
        <f t="shared" si="323"/>
        <v>49</v>
      </c>
      <c r="BK212" s="29">
        <f t="shared" si="323"/>
        <v>49</v>
      </c>
      <c r="BL212" s="3">
        <f t="shared" si="323"/>
        <v>5</v>
      </c>
      <c r="BM212" s="3">
        <f t="shared" si="316"/>
        <v>13</v>
      </c>
      <c r="BN212" s="3">
        <f t="shared" si="316"/>
        <v>7</v>
      </c>
      <c r="BO212" s="3">
        <f t="shared" si="316"/>
        <v>70</v>
      </c>
      <c r="BP212" s="29">
        <f t="shared" si="316"/>
        <v>39</v>
      </c>
      <c r="BQ212" s="3"/>
    </row>
    <row r="213" spans="53:69" x14ac:dyDescent="0.3">
      <c r="BA213" s="24">
        <f>A105</f>
        <v>99</v>
      </c>
      <c r="BB213" s="3">
        <f t="shared" ref="BB213:BL213" si="324">RANK(BB105,BB$7:BB$106,0)</f>
        <v>29</v>
      </c>
      <c r="BC213" s="3">
        <f t="shared" si="324"/>
        <v>46</v>
      </c>
      <c r="BD213" s="3">
        <f t="shared" si="324"/>
        <v>50</v>
      </c>
      <c r="BE213" s="3">
        <f t="shared" si="324"/>
        <v>73</v>
      </c>
      <c r="BF213" s="29">
        <f t="shared" si="324"/>
        <v>88</v>
      </c>
      <c r="BG213" s="3">
        <f t="shared" si="324"/>
        <v>7</v>
      </c>
      <c r="BH213" s="3">
        <f t="shared" si="324"/>
        <v>27</v>
      </c>
      <c r="BI213" s="3">
        <f t="shared" si="324"/>
        <v>28</v>
      </c>
      <c r="BJ213" s="3">
        <f t="shared" si="324"/>
        <v>14</v>
      </c>
      <c r="BK213" s="29">
        <f t="shared" si="324"/>
        <v>26</v>
      </c>
      <c r="BL213" s="3">
        <f t="shared" si="324"/>
        <v>2</v>
      </c>
      <c r="BM213" s="3">
        <f t="shared" si="316"/>
        <v>17</v>
      </c>
      <c r="BN213" s="3">
        <f t="shared" si="316"/>
        <v>15</v>
      </c>
      <c r="BO213" s="3">
        <f t="shared" si="316"/>
        <v>70</v>
      </c>
      <c r="BP213" s="29">
        <f t="shared" si="316"/>
        <v>39</v>
      </c>
      <c r="BQ213" s="3"/>
    </row>
    <row r="214" spans="53:69" x14ac:dyDescent="0.3">
      <c r="BA214" s="24">
        <f>A106</f>
        <v>100</v>
      </c>
      <c r="BB214" s="84">
        <f t="shared" ref="BB214:BL214" si="325">RANK(BB106,BB$7:BB$106,0)</f>
        <v>12</v>
      </c>
      <c r="BC214" s="37">
        <f t="shared" si="325"/>
        <v>11</v>
      </c>
      <c r="BD214" s="37">
        <f t="shared" si="325"/>
        <v>12</v>
      </c>
      <c r="BE214" s="37">
        <f t="shared" si="325"/>
        <v>49</v>
      </c>
      <c r="BF214" s="137">
        <f t="shared" si="325"/>
        <v>18</v>
      </c>
      <c r="BG214" s="37">
        <f t="shared" si="325"/>
        <v>74</v>
      </c>
      <c r="BH214" s="37">
        <f t="shared" si="325"/>
        <v>29</v>
      </c>
      <c r="BI214" s="37">
        <f t="shared" si="325"/>
        <v>40</v>
      </c>
      <c r="BJ214" s="37">
        <f t="shared" si="325"/>
        <v>61</v>
      </c>
      <c r="BK214" s="137">
        <f t="shared" si="325"/>
        <v>74</v>
      </c>
      <c r="BL214" s="37">
        <f t="shared" si="325"/>
        <v>87</v>
      </c>
      <c r="BM214" s="37">
        <f t="shared" si="316"/>
        <v>80</v>
      </c>
      <c r="BN214" s="37">
        <f t="shared" si="316"/>
        <v>87</v>
      </c>
      <c r="BO214" s="37">
        <f t="shared" si="316"/>
        <v>70</v>
      </c>
      <c r="BP214" s="137">
        <f t="shared" si="316"/>
        <v>39</v>
      </c>
      <c r="BQ214" s="37"/>
    </row>
    <row r="215" spans="53:69" x14ac:dyDescent="0.3">
      <c r="BA215" s="23" t="s">
        <v>677</v>
      </c>
      <c r="BB215" s="3">
        <f>BB6</f>
        <v>1</v>
      </c>
      <c r="BC215" s="3">
        <f t="shared" ref="BC215:BQ215" si="326">BC6</f>
        <v>2</v>
      </c>
      <c r="BD215" s="3">
        <f t="shared" si="326"/>
        <v>3</v>
      </c>
      <c r="BE215" s="3">
        <f t="shared" si="326"/>
        <v>4</v>
      </c>
      <c r="BF215" s="27">
        <f t="shared" si="326"/>
        <v>5</v>
      </c>
      <c r="BG215" s="3">
        <f t="shared" si="326"/>
        <v>6</v>
      </c>
      <c r="BH215" s="3">
        <f t="shared" si="326"/>
        <v>7</v>
      </c>
      <c r="BI215" s="3">
        <f t="shared" si="326"/>
        <v>8</v>
      </c>
      <c r="BJ215" s="3">
        <f t="shared" si="326"/>
        <v>9</v>
      </c>
      <c r="BK215" s="27">
        <f t="shared" si="326"/>
        <v>10</v>
      </c>
      <c r="BL215" s="3">
        <f t="shared" si="326"/>
        <v>11</v>
      </c>
      <c r="BM215" s="3">
        <f t="shared" si="326"/>
        <v>12</v>
      </c>
      <c r="BN215" s="3">
        <f t="shared" si="326"/>
        <v>13</v>
      </c>
      <c r="BO215" s="3">
        <f t="shared" si="326"/>
        <v>14</v>
      </c>
      <c r="BP215" s="27">
        <f t="shared" si="326"/>
        <v>15</v>
      </c>
      <c r="BQ215" s="3">
        <f t="shared" si="326"/>
        <v>16</v>
      </c>
    </row>
    <row r="216" spans="53:69" x14ac:dyDescent="0.3">
      <c r="BA216" s="23" t="s">
        <v>676</v>
      </c>
      <c r="BB216" s="3">
        <f>INT(ROUND(BB110*0.1,0))</f>
        <v>10</v>
      </c>
      <c r="BC216" s="3">
        <f t="shared" ref="BC216:BQ216" si="327">INT(ROUND(BC110*0.1,0))</f>
        <v>10</v>
      </c>
      <c r="BD216" s="3">
        <f t="shared" si="327"/>
        <v>10</v>
      </c>
      <c r="BE216" s="3">
        <f t="shared" si="327"/>
        <v>10</v>
      </c>
      <c r="BF216" s="29">
        <f t="shared" si="327"/>
        <v>10</v>
      </c>
      <c r="BG216" s="3">
        <f t="shared" si="327"/>
        <v>10</v>
      </c>
      <c r="BH216" s="3">
        <f t="shared" si="327"/>
        <v>10</v>
      </c>
      <c r="BI216" s="3">
        <f t="shared" si="327"/>
        <v>10</v>
      </c>
      <c r="BJ216" s="3">
        <f t="shared" si="327"/>
        <v>10</v>
      </c>
      <c r="BK216" s="29">
        <f t="shared" si="327"/>
        <v>10</v>
      </c>
      <c r="BL216" s="3">
        <f t="shared" si="327"/>
        <v>10</v>
      </c>
      <c r="BM216" s="3">
        <f t="shared" si="327"/>
        <v>10</v>
      </c>
      <c r="BN216" s="3">
        <f t="shared" si="327"/>
        <v>10</v>
      </c>
      <c r="BO216" s="3">
        <f t="shared" si="327"/>
        <v>7</v>
      </c>
      <c r="BP216" s="29">
        <f t="shared" si="327"/>
        <v>4</v>
      </c>
      <c r="BQ216" s="3">
        <f t="shared" si="327"/>
        <v>2</v>
      </c>
    </row>
    <row r="217" spans="53:69" x14ac:dyDescent="0.3">
      <c r="BA217" s="23" t="s">
        <v>674</v>
      </c>
      <c r="BB217">
        <f>MATCH(BB216,BB$115:BB$214,0)</f>
        <v>54</v>
      </c>
      <c r="BC217">
        <f t="shared" ref="BC217:BQ217" si="328">MATCH(BC216,BC$115:BC$214,0)</f>
        <v>88</v>
      </c>
      <c r="BD217">
        <f t="shared" si="328"/>
        <v>16</v>
      </c>
      <c r="BE217">
        <f t="shared" si="328"/>
        <v>88</v>
      </c>
      <c r="BF217" s="23">
        <f t="shared" si="328"/>
        <v>90</v>
      </c>
      <c r="BG217">
        <f t="shared" si="328"/>
        <v>16</v>
      </c>
      <c r="BH217">
        <f t="shared" si="328"/>
        <v>24</v>
      </c>
      <c r="BI217">
        <f t="shared" si="328"/>
        <v>51</v>
      </c>
      <c r="BJ217">
        <f t="shared" si="328"/>
        <v>68</v>
      </c>
      <c r="BK217" s="23">
        <f t="shared" si="328"/>
        <v>62</v>
      </c>
      <c r="BL217">
        <f t="shared" si="328"/>
        <v>78</v>
      </c>
      <c r="BM217">
        <f t="shared" si="328"/>
        <v>80</v>
      </c>
      <c r="BN217">
        <f t="shared" si="328"/>
        <v>80</v>
      </c>
      <c r="BO217">
        <f t="shared" si="328"/>
        <v>18</v>
      </c>
      <c r="BP217" s="23">
        <f t="shared" si="328"/>
        <v>18</v>
      </c>
      <c r="BQ217">
        <f t="shared" si="328"/>
        <v>11</v>
      </c>
    </row>
    <row r="218" spans="53:69" x14ac:dyDescent="0.3">
      <c r="BA218" s="23" t="s">
        <v>675</v>
      </c>
      <c r="BB218" s="2">
        <f>VLOOKUP(BB217,$BA$7:$BQ$106,BB6+1)</f>
        <v>1.0857106194491977</v>
      </c>
      <c r="BC218" s="2">
        <f t="shared" ref="BC218:BQ218" si="329">VLOOKUP(BC217,$BA$7:$BQ$106,BC6+1)</f>
        <v>1.0799300291524883</v>
      </c>
      <c r="BD218" s="2">
        <f t="shared" si="329"/>
        <v>1.067349572758393</v>
      </c>
      <c r="BE218" s="2">
        <f t="shared" si="329"/>
        <v>1.047964451262418</v>
      </c>
      <c r="BF218" s="20">
        <f t="shared" si="329"/>
        <v>1.0490296572444573</v>
      </c>
      <c r="BG218" s="2">
        <f t="shared" si="329"/>
        <v>1.0337532260328532</v>
      </c>
      <c r="BH218" s="2">
        <f t="shared" si="329"/>
        <v>1.0119079402728264</v>
      </c>
      <c r="BI218" s="2">
        <f t="shared" si="329"/>
        <v>1.0401012893123309</v>
      </c>
      <c r="BJ218" s="2">
        <f t="shared" si="329"/>
        <v>1.0079746825300995</v>
      </c>
      <c r="BK218" s="20">
        <f t="shared" si="329"/>
        <v>1.0399042786278361</v>
      </c>
      <c r="BL218" s="2">
        <f t="shared" si="329"/>
        <v>1.0344376242508286</v>
      </c>
      <c r="BM218" s="2">
        <f t="shared" si="329"/>
        <v>1.023699297942676</v>
      </c>
      <c r="BN218" s="2">
        <f t="shared" si="329"/>
        <v>1.0197403666554168</v>
      </c>
      <c r="BO218" s="2">
        <f t="shared" si="329"/>
        <v>1.0178661451052344</v>
      </c>
      <c r="BP218" s="20">
        <f t="shared" si="329"/>
        <v>0.97310165517117186</v>
      </c>
      <c r="BQ218" s="2">
        <f t="shared" si="329"/>
        <v>0.88080520018748498</v>
      </c>
    </row>
    <row r="219" spans="53:69" x14ac:dyDescent="0.3">
      <c r="BA219" s="23" t="s">
        <v>995</v>
      </c>
      <c r="BB219" s="2">
        <f>BB3+1.28*BB5</f>
        <v>1.1045262073120474</v>
      </c>
      <c r="BC219" s="2">
        <f t="shared" ref="BC219:BQ219" si="330">BC3+1.28*BC5</f>
        <v>1.1546206834069934</v>
      </c>
      <c r="BD219" s="2">
        <f t="shared" si="330"/>
        <v>1.152531962358011</v>
      </c>
      <c r="BE219" s="2">
        <f t="shared" si="330"/>
        <v>1.1365818499776963</v>
      </c>
      <c r="BF219" s="2">
        <f t="shared" si="330"/>
        <v>1.1222141738309628</v>
      </c>
      <c r="BG219" s="2">
        <f t="shared" si="330"/>
        <v>1.1193765908675495</v>
      </c>
      <c r="BH219" s="2">
        <f t="shared" si="330"/>
        <v>1.0699232923850739</v>
      </c>
      <c r="BI219" s="2">
        <f t="shared" si="330"/>
        <v>1.1224865308142808</v>
      </c>
      <c r="BJ219" s="2">
        <f t="shared" si="330"/>
        <v>1.1000786946158965</v>
      </c>
      <c r="BK219" s="2">
        <f t="shared" si="330"/>
        <v>1.0981391379099248</v>
      </c>
      <c r="BL219" s="2">
        <f t="shared" si="330"/>
        <v>1.0745022746720019</v>
      </c>
      <c r="BM219" s="2">
        <f t="shared" si="330"/>
        <v>1.082953661157243</v>
      </c>
      <c r="BN219" s="2">
        <f t="shared" si="330"/>
        <v>1.0579608390786852</v>
      </c>
      <c r="BO219" s="2">
        <f t="shared" si="330"/>
        <v>1.047048952612682</v>
      </c>
      <c r="BP219" s="2">
        <f t="shared" si="330"/>
        <v>0.94152103853780922</v>
      </c>
      <c r="BQ219" s="2">
        <f t="shared" si="330"/>
        <v>0.87803508992112933</v>
      </c>
    </row>
  </sheetData>
  <sortState xmlns:xlrd2="http://schemas.microsoft.com/office/spreadsheetml/2017/richdata2" ref="DJ9:DN18">
    <sortCondition ref="DJ9:DJ18"/>
  </sortState>
  <conditionalFormatting sqref="CC7:CC106">
    <cfRule type="top10" dxfId="11" priority="12" percent="1" bottom="1" rank="10"/>
    <cfRule type="top10" dxfId="10" priority="13" percent="1" rank="10"/>
    <cfRule type="top10" dxfId="9" priority="14" percent="1" rank="10"/>
    <cfRule type="top10" dxfId="8" priority="15" percent="1" bottom="1" rank="10"/>
    <cfRule type="top10" dxfId="7" priority="16" percent="1" rank="10"/>
  </conditionalFormatting>
  <dataValidations count="3">
    <dataValidation type="list" showInputMessage="1" showErrorMessage="1" sqref="I7:I106" xr:uid="{165A0E1F-2EA3-4206-9238-B6B9E304C390}">
      <formula1>$C$3:$C$4</formula1>
    </dataValidation>
    <dataValidation type="list" showInputMessage="1" showErrorMessage="1" sqref="G7:G106" xr:uid="{26198223-1AC7-44A6-ADB1-8980075956AB}">
      <formula1>$DP$7:$DP$11</formula1>
    </dataValidation>
    <dataValidation type="list" showInputMessage="1" showErrorMessage="1" sqref="H7:H106" xr:uid="{4D4FB01F-005B-4E60-A5F4-BE90BEE5A48E}">
      <formula1>$DJ$7:$DJ$18</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A591-5BAC-427F-BE91-6B2312E93E5F}">
  <dimension ref="A1:EK68"/>
  <sheetViews>
    <sheetView zoomScaleNormal="100" workbookViewId="0">
      <selection activeCell="K4" sqref="K4"/>
    </sheetView>
  </sheetViews>
  <sheetFormatPr defaultRowHeight="14.4" x14ac:dyDescent="0.3"/>
  <cols>
    <col min="3" max="3" width="26.6640625" customWidth="1"/>
    <col min="6" max="8" width="14.5546875" customWidth="1"/>
    <col min="10" max="10" width="10" customWidth="1"/>
    <col min="12" max="12" width="9.5546875" bestFit="1" customWidth="1"/>
    <col min="13" max="13" width="10.21875" bestFit="1" customWidth="1"/>
    <col min="16" max="16" width="10.5546875" bestFit="1" customWidth="1"/>
    <col min="17" max="20" width="13.5546875" customWidth="1"/>
    <col min="21" max="21" width="9.44140625" customWidth="1"/>
    <col min="22" max="22" width="9.5546875" customWidth="1"/>
    <col min="23" max="23" width="9.6640625" customWidth="1"/>
    <col min="24" max="26" width="7.21875" customWidth="1"/>
    <col min="28" max="28" width="11" bestFit="1" customWidth="1"/>
    <col min="81" max="81" width="9.77734375" customWidth="1"/>
    <col min="84" max="84" width="9.21875" bestFit="1" customWidth="1"/>
    <col min="85" max="85" width="9.5546875" bestFit="1" customWidth="1"/>
    <col min="87" max="87" width="12.6640625" customWidth="1"/>
    <col min="103" max="103" width="23" customWidth="1"/>
    <col min="124" max="124" width="10.109375" bestFit="1" customWidth="1"/>
    <col min="125" max="125" width="9" bestFit="1" customWidth="1"/>
    <col min="126" max="126" width="10" bestFit="1" customWidth="1"/>
    <col min="127" max="127" width="9" bestFit="1" customWidth="1"/>
    <col min="128" max="128" width="10" bestFit="1" customWidth="1"/>
    <col min="129" max="130" width="9" bestFit="1" customWidth="1"/>
    <col min="135" max="135" width="8.44140625" customWidth="1"/>
  </cols>
  <sheetData>
    <row r="1" spans="1:141" ht="15.6" x14ac:dyDescent="0.3">
      <c r="A1" s="36" t="s">
        <v>744</v>
      </c>
      <c r="N1" s="72">
        <f>MAX(N7:N31)</f>
        <v>71.400000000000006</v>
      </c>
      <c r="R1" s="72">
        <f>AVERAGE(R7:R31)</f>
        <v>12.295999999999999</v>
      </c>
      <c r="X1" s="7" t="s">
        <v>979</v>
      </c>
      <c r="Y1" s="59">
        <f>MAX(Y7:Y31)</f>
        <v>8.7488180920530734E-2</v>
      </c>
      <c r="AJ1" t="s">
        <v>623</v>
      </c>
      <c r="AT1" s="75" t="s">
        <v>36</v>
      </c>
      <c r="AU1" s="76" t="s">
        <v>35</v>
      </c>
      <c r="AX1" s="1">
        <f t="array" ref="AX1:AY1">LOGEST(BB2:BH2,BB6:BH6)</f>
        <v>0.92225330777770875</v>
      </c>
      <c r="AY1" s="1">
        <v>0.81580177838761525</v>
      </c>
      <c r="AZ1" s="1">
        <f t="array" ref="AZ1:BA1">LOGEST(BB4:BH4,BB6:BH6,TRUE,FALSE)</f>
        <v>0.99835617397171372</v>
      </c>
      <c r="BA1" s="2">
        <v>0.92076421804824871</v>
      </c>
      <c r="BB1" t="s">
        <v>48</v>
      </c>
      <c r="BO1" s="11"/>
      <c r="BP1" s="11"/>
      <c r="BQ1" s="77" t="s">
        <v>657</v>
      </c>
      <c r="BR1" s="130">
        <f>BS1/(BT1+BS1*4)</f>
        <v>-1.6215110121526521E-3</v>
      </c>
      <c r="BS1" s="78" cm="1">
        <f t="array" ref="BS1:BT1">LINEST(BB4:BH4,BB6:BH6,TRUE,FALSE)</f>
        <v>-1.4834726288453146E-3</v>
      </c>
      <c r="BT1" s="79">
        <v>0.92080441419805226</v>
      </c>
      <c r="CA1" s="42" t="s">
        <v>180</v>
      </c>
      <c r="CB1" s="43">
        <f>MIN($CB$7:$CB$31)</f>
        <v>0.5755860030060963</v>
      </c>
      <c r="CC1" s="44" t="s">
        <v>181</v>
      </c>
      <c r="CD1" s="45">
        <f>$CB$36</f>
        <v>0.86742565840355768</v>
      </c>
      <c r="CO1" t="s">
        <v>954</v>
      </c>
      <c r="ED1" s="59">
        <f>MAX(ED7:ED31)</f>
        <v>5.0999999999999997E-2</v>
      </c>
    </row>
    <row r="2" spans="1:141" ht="15.6" x14ac:dyDescent="0.3">
      <c r="A2" s="125" t="s">
        <v>618</v>
      </c>
      <c r="B2" s="126" t="s">
        <v>619</v>
      </c>
      <c r="C2" s="127" t="s">
        <v>620</v>
      </c>
      <c r="N2" s="26" t="s">
        <v>5</v>
      </c>
      <c r="O2" s="27">
        <f>SUM(N$7:N$31)</f>
        <v>168.60000000000005</v>
      </c>
      <c r="Q2" s="26" t="s">
        <v>611</v>
      </c>
      <c r="R2" s="34"/>
      <c r="S2" s="215"/>
      <c r="T2" s="122"/>
      <c r="U2" s="122"/>
      <c r="V2" s="122"/>
      <c r="W2" s="122"/>
      <c r="X2" s="208" t="s">
        <v>916</v>
      </c>
      <c r="Y2" s="211">
        <f>AVERAGE(Y7:Y31)</f>
        <v>2.6100018563282115E-2</v>
      </c>
      <c r="Z2" s="210">
        <f>AVERAGE(Z7:Z31)</f>
        <v>0.74726653826121181</v>
      </c>
      <c r="AA2" s="73"/>
      <c r="AB2" s="11" t="s">
        <v>173</v>
      </c>
      <c r="AC2" s="40" t="s">
        <v>170</v>
      </c>
      <c r="AD2" s="40" t="s">
        <v>622</v>
      </c>
      <c r="AF2" s="42" t="s">
        <v>174</v>
      </c>
      <c r="AG2" s="112">
        <f>MIN($N$7:$N$31)</f>
        <v>1.2</v>
      </c>
      <c r="AH2" s="34" t="s">
        <v>5</v>
      </c>
      <c r="AJ2" s="42" t="s">
        <v>24</v>
      </c>
      <c r="AK2" s="52">
        <f>COUNTIF($K$7:$K$31,AJ2)/100</f>
        <v>0.02</v>
      </c>
      <c r="AL2" s="44" t="s">
        <v>86</v>
      </c>
      <c r="AM2" s="52">
        <f>COUNTIF($K$7:$K$31,AL2)/100</f>
        <v>0.02</v>
      </c>
      <c r="AN2" s="44" t="s">
        <v>109</v>
      </c>
      <c r="AO2" s="52">
        <f>COUNTIF($K$7:$K31,AN2)/100</f>
        <v>0.01</v>
      </c>
      <c r="AP2" s="44" t="s">
        <v>64</v>
      </c>
      <c r="AQ2" s="74">
        <f>COUNTIF($K$7:$K$31,AP2)/100</f>
        <v>0.02</v>
      </c>
      <c r="AR2" s="7"/>
      <c r="AS2" s="38"/>
      <c r="AT2" s="26" t="s">
        <v>189</v>
      </c>
      <c r="AU2" s="34" t="s">
        <v>189</v>
      </c>
      <c r="AW2" s="11"/>
      <c r="AX2" s="39"/>
      <c r="AY2" s="77" t="s">
        <v>757</v>
      </c>
      <c r="AZ2" s="91">
        <f>AX1-1</f>
        <v>-7.7746692222291247E-2</v>
      </c>
      <c r="BA2" s="2" t="s">
        <v>992</v>
      </c>
      <c r="BB2" s="2">
        <f>BB3-1.28*BB5</f>
        <v>0.7345886225237015</v>
      </c>
      <c r="BC2" s="2">
        <f t="shared" ref="BC2:BH2" si="0">BC3-1.28*BC5</f>
        <v>0.76989563653126347</v>
      </c>
      <c r="BD2" s="2">
        <f t="shared" si="0"/>
        <v>0.58364342919699563</v>
      </c>
      <c r="BE2" s="2">
        <f t="shared" si="0"/>
        <v>0.56012708261187827</v>
      </c>
      <c r="BF2" s="2">
        <f t="shared" si="0"/>
        <v>0.61847177175886947</v>
      </c>
      <c r="BG2" s="2">
        <f t="shared" si="0"/>
        <v>0.45120681482414465</v>
      </c>
      <c r="BH2" s="2">
        <f t="shared" si="0"/>
        <v>0.48338478526147138</v>
      </c>
      <c r="BI2" s="2"/>
      <c r="BJ2" s="2"/>
      <c r="BK2" s="2"/>
      <c r="BL2" s="2"/>
      <c r="BM2" s="2"/>
      <c r="BN2" s="2"/>
      <c r="BO2" s="11"/>
      <c r="BP2" s="11"/>
      <c r="BQ2" s="77" t="s">
        <v>994</v>
      </c>
      <c r="BR2" s="130">
        <f>BS2/(BT2+BS2*4)</f>
        <v>-8.0698531185549732E-2</v>
      </c>
      <c r="BS2" s="78" cm="1">
        <f t="array" ref="BS2:BT2">LINEST(BB2:BH2,BB6:BH6)</f>
        <v>-4.8434314737109081E-2</v>
      </c>
      <c r="BT2" s="79">
        <v>0.79392556504962541</v>
      </c>
      <c r="BU2" s="2"/>
      <c r="BV2" s="2"/>
      <c r="BW2" s="2"/>
      <c r="BX2" s="2"/>
      <c r="CA2" s="46" t="s">
        <v>182</v>
      </c>
      <c r="CB2" s="47">
        <f>MEDIAN($CB$7:$CB$31)</f>
        <v>0.88746463558037436</v>
      </c>
      <c r="CC2" t="s">
        <v>536</v>
      </c>
      <c r="CD2" s="48">
        <f>CD1-1.28*$CB$37</f>
        <v>0.70333179346706398</v>
      </c>
      <c r="CE2" s="59">
        <f>AVERAGE(CE7:CE31)</f>
        <v>-3.402521712728921E-2</v>
      </c>
      <c r="CF2" t="s">
        <v>578</v>
      </c>
      <c r="CO2" t="s">
        <v>957</v>
      </c>
      <c r="EC2" t="s">
        <v>152</v>
      </c>
      <c r="ED2" t="s">
        <v>152</v>
      </c>
      <c r="EE2" t="s">
        <v>152</v>
      </c>
    </row>
    <row r="3" spans="1:141" x14ac:dyDescent="0.3">
      <c r="B3" s="7" t="s">
        <v>615</v>
      </c>
      <c r="C3" s="8" t="s">
        <v>35</v>
      </c>
      <c r="D3" s="9">
        <v>0.8</v>
      </c>
      <c r="F3" s="11" t="s">
        <v>672</v>
      </c>
      <c r="G3" s="39"/>
      <c r="H3" s="163">
        <f>$BR$1</f>
        <v>-1.6215110121526521E-3</v>
      </c>
      <c r="J3" s="26" t="s">
        <v>662</v>
      </c>
      <c r="K3" s="123">
        <v>5.0000000000000001E-3</v>
      </c>
      <c r="N3" s="28" t="s">
        <v>165</v>
      </c>
      <c r="O3" s="29">
        <f>SUM(O$7:O$31)</f>
        <v>134.5</v>
      </c>
      <c r="P3" s="128">
        <f>MEDIAN(P7:P31)</f>
        <v>1716.675</v>
      </c>
      <c r="Q3" s="88">
        <f>SUM(AB7:AX31)</f>
        <v>1624279</v>
      </c>
      <c r="R3" s="23" t="s">
        <v>167</v>
      </c>
      <c r="S3" s="3">
        <f>MEDIAN(S7:S31)</f>
        <v>36.736999999999995</v>
      </c>
      <c r="T3" s="3" t="s">
        <v>883</v>
      </c>
      <c r="U3" s="3"/>
      <c r="V3" s="3"/>
      <c r="W3" s="3"/>
      <c r="X3" s="209" t="s">
        <v>577</v>
      </c>
      <c r="Y3" s="58">
        <f>MEDIAN(Y7:Y31)</f>
        <v>2.2925496674157331E-2</v>
      </c>
      <c r="Z3" s="4">
        <f>MEDIAN(Z7:Z31)</f>
        <v>0.74227798971693959</v>
      </c>
      <c r="AB3" s="117">
        <f>SUM(AB7:AX31)</f>
        <v>1624279</v>
      </c>
      <c r="AD3" s="41">
        <f>AB3/AB4</f>
        <v>0.88827584342635468</v>
      </c>
      <c r="AF3" s="46" t="s">
        <v>175</v>
      </c>
      <c r="AG3" s="72">
        <f>AVERAGE($N$7:$N$31)</f>
        <v>6.7440000000000024</v>
      </c>
      <c r="AH3" s="23" t="s">
        <v>5</v>
      </c>
      <c r="AJ3" s="46" t="s">
        <v>52</v>
      </c>
      <c r="AK3" s="38">
        <f>COUNTIF($K$7:$K$31,AJ3)/100</f>
        <v>0.01</v>
      </c>
      <c r="AL3" s="7" t="s">
        <v>83</v>
      </c>
      <c r="AM3" s="38">
        <f>COUNTIF($K$7:$K$31,AL3)/100</f>
        <v>0</v>
      </c>
      <c r="AN3" s="7" t="s">
        <v>144</v>
      </c>
      <c r="AO3" s="38">
        <f>COUNTIF($K$7:$K31,AN3)/100</f>
        <v>0.01</v>
      </c>
      <c r="AP3" s="7" t="s">
        <v>73</v>
      </c>
      <c r="AQ3" s="86">
        <f>COUNTIF($K$7:$K$31,AP3)/100</f>
        <v>0</v>
      </c>
      <c r="AR3" s="7"/>
      <c r="AS3" s="38"/>
      <c r="AT3" s="55">
        <f>COUNTIF($I$7:$I$31,"Tracker")/25</f>
        <v>0.32</v>
      </c>
      <c r="AU3" s="56">
        <f>COUNTIF($I$7:$I$31,"Fixed")/25</f>
        <v>0.68</v>
      </c>
      <c r="BA3" t="s">
        <v>79</v>
      </c>
      <c r="BB3" s="2">
        <f t="shared" ref="BB3:BI3" si="1">AVERAGE(BB$7:BB$31)</f>
        <v>0.89471946363030141</v>
      </c>
      <c r="BC3" s="2">
        <f t="shared" si="1"/>
        <v>0.907396050210868</v>
      </c>
      <c r="BD3" s="2">
        <f t="shared" si="1"/>
        <v>0.85561057641979699</v>
      </c>
      <c r="BE3" s="2">
        <f t="shared" si="1"/>
        <v>0.84543429986711172</v>
      </c>
      <c r="BF3" s="2">
        <f t="shared" si="1"/>
        <v>0.85863870757347205</v>
      </c>
      <c r="BG3" s="2">
        <f t="shared" si="1"/>
        <v>0.81473952491331159</v>
      </c>
      <c r="BH3" s="2">
        <f t="shared" si="1"/>
        <v>0.82415303550201935</v>
      </c>
      <c r="BI3" s="2">
        <f t="shared" si="1"/>
        <v>0.91561033677384951</v>
      </c>
      <c r="BJ3" s="2"/>
      <c r="BK3" s="2"/>
      <c r="BL3" s="2"/>
      <c r="BM3" s="2"/>
      <c r="BN3" s="2"/>
      <c r="BO3" s="2"/>
      <c r="BP3" s="2"/>
      <c r="BQ3" s="2"/>
      <c r="BR3" s="2"/>
      <c r="BS3" s="2"/>
      <c r="BT3" s="2"/>
      <c r="BU3" s="2"/>
      <c r="BV3" s="2"/>
      <c r="BW3" s="2"/>
      <c r="BX3" s="2"/>
      <c r="CA3" s="49" t="s">
        <v>183</v>
      </c>
      <c r="CB3" s="50">
        <f>MAX($CB$7:$CB$31)</f>
        <v>1.0851671682870663</v>
      </c>
      <c r="CC3" s="33" t="s">
        <v>533</v>
      </c>
      <c r="CD3" s="83">
        <f>VLOOKUP(MATCH(90,$CC$7:$CC$31,0),$BY$7:$CB$31,4)</f>
        <v>0.70342443001727684</v>
      </c>
      <c r="CE3" s="59">
        <f>MEDIAN(CE7:CE31)</f>
        <v>-4.669138557256404E-3</v>
      </c>
      <c r="CF3" t="s">
        <v>579</v>
      </c>
      <c r="CH3" s="1">
        <f>MAX(CH7:CH31)</f>
        <v>1.048850312011929</v>
      </c>
      <c r="CO3" t="s">
        <v>955</v>
      </c>
      <c r="DD3">
        <f>MODE($DD$7:$DD$31)</f>
        <v>1</v>
      </c>
      <c r="DE3" t="s">
        <v>591</v>
      </c>
      <c r="DG3" t="s">
        <v>588</v>
      </c>
      <c r="DH3" s="107">
        <f>COUNTIF($DD$7:$DD$31,1)</f>
        <v>18</v>
      </c>
      <c r="EC3" s="161">
        <f>MEDIAN(EC7:EC31)</f>
        <v>6.2359190486441882E-2</v>
      </c>
      <c r="ED3" s="59">
        <f>MEDIAN(ED7:ED31)</f>
        <v>3.2000000000000001E-2</v>
      </c>
      <c r="EE3" s="161">
        <f>MEDIAN(EE7:EE31)</f>
        <v>0.51571291668726726</v>
      </c>
      <c r="EH3">
        <f>COUNT(EH7:EH106)</f>
        <v>1</v>
      </c>
      <c r="EI3">
        <f>COUNT(EI7:EI106)</f>
        <v>1</v>
      </c>
      <c r="EJ3">
        <f>COUNT(EJ7:EJ106)</f>
        <v>18</v>
      </c>
      <c r="EK3">
        <f>COUNT(EK7:EK106)</f>
        <v>18</v>
      </c>
    </row>
    <row r="4" spans="1:141" ht="15.6" x14ac:dyDescent="0.3">
      <c r="B4" s="7" t="s">
        <v>616</v>
      </c>
      <c r="C4" s="8" t="s">
        <v>36</v>
      </c>
      <c r="D4" s="9">
        <v>0.76</v>
      </c>
      <c r="J4" s="8" t="s">
        <v>613</v>
      </c>
      <c r="K4" s="229">
        <f>$CB$2</f>
        <v>0.88746463558037436</v>
      </c>
      <c r="L4" s="124" t="s">
        <v>614</v>
      </c>
      <c r="N4" s="30" t="s">
        <v>166</v>
      </c>
      <c r="O4" s="22">
        <f>O2/O3</f>
        <v>1.2535315985130115</v>
      </c>
      <c r="P4" s="70">
        <f>STDEV(P7:P31)/P5</f>
        <v>0.17329971956753404</v>
      </c>
      <c r="Q4" s="88">
        <f>SUM(BZ7:BZ31)</f>
        <v>1802808.8970230939</v>
      </c>
      <c r="R4" s="23" t="s">
        <v>168</v>
      </c>
      <c r="S4" s="72">
        <f>AVERAGE(S7:S31)</f>
        <v>37.515461700560003</v>
      </c>
      <c r="T4" s="3" t="s">
        <v>926</v>
      </c>
      <c r="U4" s="214">
        <f>STDEV(S7:S31)</f>
        <v>6.027326024778656</v>
      </c>
      <c r="V4" s="128"/>
      <c r="W4" s="128"/>
      <c r="X4" s="158">
        <f>AVERAGE(X7:X31)</f>
        <v>0.42414361235775394</v>
      </c>
      <c r="Y4" s="128" t="s">
        <v>695</v>
      </c>
      <c r="Z4" s="128" t="s">
        <v>698</v>
      </c>
      <c r="AB4" s="118">
        <f>SUMPRODUCT(AA7:AA31,AY7:AY31)</f>
        <v>1828574.9995571799</v>
      </c>
      <c r="AC4" s="37">
        <f>$BZ$35</f>
        <v>1802808.8970230939</v>
      </c>
      <c r="AD4" s="113">
        <f>AB3/AC4</f>
        <v>0.90097125806407263</v>
      </c>
      <c r="AF4" s="49" t="s">
        <v>176</v>
      </c>
      <c r="AG4" s="71">
        <f>MAX($N$7:$N$31)</f>
        <v>71.400000000000006</v>
      </c>
      <c r="AH4" s="35" t="s">
        <v>5</v>
      </c>
      <c r="AJ4" s="49" t="s">
        <v>51</v>
      </c>
      <c r="AK4" s="53">
        <f>COUNTIF($K$7:$K$31,AJ4)/100</f>
        <v>0.01</v>
      </c>
      <c r="AL4" s="54" t="s">
        <v>23</v>
      </c>
      <c r="AM4" s="53">
        <f>COUNTIF($K$7:$K$31,AL4)/100</f>
        <v>0.01</v>
      </c>
      <c r="AN4" s="54" t="s">
        <v>47</v>
      </c>
      <c r="AO4" s="53">
        <f>COUNTIF($K$7:$K31,AN4)/100</f>
        <v>0</v>
      </c>
      <c r="AP4" s="54" t="s">
        <v>138</v>
      </c>
      <c r="AQ4" s="87">
        <f>COUNTIF($K$7:$K$31,AP4)/100</f>
        <v>0.01</v>
      </c>
      <c r="AR4" s="7"/>
      <c r="AS4" s="38"/>
      <c r="AT4" s="19">
        <f>AVERAGEIF($CD$7:$CD$31,"Tracker",$CB$7:$CB$31)</f>
        <v>0.91261550973793881</v>
      </c>
      <c r="AU4" s="20">
        <f>AVERAGEIF($CD$7:$CD$31,"Fixed",$CB$7:$CB$31)</f>
        <v>0.84615984601090755</v>
      </c>
      <c r="AW4" s="11"/>
      <c r="AX4" s="39"/>
      <c r="AY4" s="77" t="s">
        <v>758</v>
      </c>
      <c r="AZ4" s="91">
        <f>AZ1-1</f>
        <v>-1.6438260282862771E-3</v>
      </c>
      <c r="BA4" t="s">
        <v>991</v>
      </c>
      <c r="BB4" s="2">
        <f t="shared" ref="BB4:BI4" si="2">MEDIAN(BB$7:BB$31)</f>
        <v>0.89649755286773325</v>
      </c>
      <c r="BC4" s="2">
        <f t="shared" si="2"/>
        <v>0.92732281906261838</v>
      </c>
      <c r="BD4" s="2">
        <f t="shared" si="2"/>
        <v>0.9167828757282569</v>
      </c>
      <c r="BE4" s="2">
        <f t="shared" si="2"/>
        <v>0.93104947177741926</v>
      </c>
      <c r="BF4" s="2">
        <f t="shared" si="2"/>
        <v>0.93528148733135053</v>
      </c>
      <c r="BG4" s="2">
        <f t="shared" si="2"/>
        <v>0.90737592551628365</v>
      </c>
      <c r="BH4" s="2">
        <f t="shared" si="2"/>
        <v>0.88978353349503558</v>
      </c>
      <c r="BI4" s="2">
        <f t="shared" si="2"/>
        <v>0.91561033677384951</v>
      </c>
      <c r="BJ4" s="2"/>
      <c r="BK4" s="2"/>
      <c r="BL4" s="2"/>
      <c r="BM4" s="2"/>
      <c r="BN4" s="2"/>
      <c r="BO4" s="2"/>
      <c r="BP4" s="2"/>
      <c r="BQ4" s="2"/>
      <c r="BR4" s="2"/>
      <c r="BS4" s="2"/>
      <c r="BT4" s="2"/>
      <c r="BU4" s="2"/>
      <c r="BV4" s="2"/>
      <c r="BW4" s="2"/>
      <c r="BX4" s="2"/>
      <c r="BZ4" t="s">
        <v>171</v>
      </c>
      <c r="CH4" s="1">
        <f>MIN(CH7:CH31)</f>
        <v>0.97404631201192893</v>
      </c>
      <c r="CI4" t="s">
        <v>917</v>
      </c>
      <c r="CO4" t="s">
        <v>606</v>
      </c>
      <c r="CT4" t="s">
        <v>540</v>
      </c>
      <c r="CY4" t="s">
        <v>543</v>
      </c>
      <c r="DD4" t="s">
        <v>649</v>
      </c>
      <c r="DH4" s="107"/>
      <c r="DJ4" t="s">
        <v>624</v>
      </c>
      <c r="DP4" t="s">
        <v>633</v>
      </c>
      <c r="DT4" t="s">
        <v>834</v>
      </c>
      <c r="ED4" t="s">
        <v>731</v>
      </c>
      <c r="EH4" t="s">
        <v>802</v>
      </c>
      <c r="EI4" t="s">
        <v>803</v>
      </c>
      <c r="EJ4" t="s">
        <v>802</v>
      </c>
      <c r="EK4" t="s">
        <v>803</v>
      </c>
    </row>
    <row r="5" spans="1:141" x14ac:dyDescent="0.3">
      <c r="D5">
        <f>MODE(D7:D31)</f>
        <v>2019</v>
      </c>
      <c r="E5">
        <f>COUNTIF(D7:D31,D5)</f>
        <v>18</v>
      </c>
      <c r="N5" s="72">
        <f>MEDIAN(N7:N31)</f>
        <v>2.7</v>
      </c>
      <c r="P5" s="128">
        <f>AVERAGE(P7:P31)</f>
        <v>1888.7890984799999</v>
      </c>
      <c r="Q5" s="119">
        <f>Q3/Q4</f>
        <v>0.90097125806407263</v>
      </c>
      <c r="R5" s="120" t="s">
        <v>612</v>
      </c>
      <c r="S5" s="38" t="s">
        <v>925</v>
      </c>
      <c r="T5" s="128" t="s">
        <v>607</v>
      </c>
      <c r="U5" s="128">
        <f>AVERAGE(U7:U31)</f>
        <v>1571.96</v>
      </c>
      <c r="V5" s="128"/>
      <c r="W5" s="128"/>
      <c r="X5" s="158">
        <f>MEDIAN(X7:X31)</f>
        <v>0.4473314606741573</v>
      </c>
      <c r="Y5" s="128" t="s">
        <v>696</v>
      </c>
      <c r="Z5" s="128" t="s">
        <v>697</v>
      </c>
      <c r="AB5" t="s">
        <v>169</v>
      </c>
      <c r="AT5" s="57">
        <f>AVERAGEIF($CD$7:$CD$31,"Tracker",$N$7:$N$31)</f>
        <v>14.962500000000002</v>
      </c>
      <c r="AU5" s="31">
        <f>AVERAGEIF($CD$7:$CD$31,"Fixed",$N$7:$N$31)</f>
        <v>2.8764705882352941</v>
      </c>
      <c r="AY5" s="51" t="s">
        <v>762</v>
      </c>
      <c r="AZ5" s="51" t="s">
        <v>958</v>
      </c>
      <c r="BA5" t="s">
        <v>80</v>
      </c>
      <c r="BB5" s="2">
        <f t="shared" ref="BB5:BH5" si="3">STDEV(BB$7:BB$31)</f>
        <v>0.12510221961453122</v>
      </c>
      <c r="BC5" s="2">
        <f t="shared" si="3"/>
        <v>0.10742219818719108</v>
      </c>
      <c r="BD5" s="2">
        <f t="shared" si="3"/>
        <v>0.21247433376781349</v>
      </c>
      <c r="BE5" s="2">
        <f t="shared" si="3"/>
        <v>0.22289626348065111</v>
      </c>
      <c r="BF5" s="2">
        <f t="shared" si="3"/>
        <v>0.18763041860515825</v>
      </c>
      <c r="BG5" s="2">
        <f t="shared" si="3"/>
        <v>0.28400992975716166</v>
      </c>
      <c r="BH5" s="2">
        <f t="shared" si="3"/>
        <v>0.26622519550042811</v>
      </c>
      <c r="BI5" s="2"/>
      <c r="BJ5" s="2"/>
      <c r="BK5" s="2"/>
      <c r="BL5" s="2"/>
      <c r="BM5" s="2"/>
      <c r="BN5" s="2"/>
      <c r="BO5" s="2"/>
      <c r="BP5" s="2"/>
      <c r="BQ5" s="2"/>
      <c r="BR5" s="2"/>
      <c r="BS5" s="2"/>
      <c r="BT5" s="2"/>
      <c r="BU5" s="2"/>
      <c r="BV5" s="2"/>
      <c r="BW5" s="2"/>
      <c r="BX5" s="2"/>
      <c r="BZ5" t="s">
        <v>172</v>
      </c>
      <c r="CH5" t="s">
        <v>961</v>
      </c>
      <c r="CI5" t="s">
        <v>193</v>
      </c>
      <c r="CO5" t="s">
        <v>582</v>
      </c>
      <c r="CY5" t="s">
        <v>820</v>
      </c>
      <c r="DC5" s="2">
        <f>MEDIAN(DC7:DC31)</f>
        <v>1.3333333333333333</v>
      </c>
      <c r="DD5">
        <f>AVERAGE($DD$7:$DD$31)</f>
        <v>1.04</v>
      </c>
      <c r="DE5" t="s">
        <v>175</v>
      </c>
      <c r="DF5">
        <f>MIN($DD$7:$DD$31)</f>
        <v>0</v>
      </c>
      <c r="DG5" t="s">
        <v>589</v>
      </c>
      <c r="DH5" s="107">
        <f>COUNTIF($DD$7:$DD$31,$DF$5)</f>
        <v>3</v>
      </c>
      <c r="DP5" t="s">
        <v>650</v>
      </c>
      <c r="DT5" t="s">
        <v>821</v>
      </c>
      <c r="ED5" t="s">
        <v>732</v>
      </c>
      <c r="EH5" s="2">
        <f>MEDIAN(EH7:EH106)</f>
        <v>0.92456425541434972</v>
      </c>
      <c r="EI5" s="58">
        <f>MEDIAN(EI7:EI106)</f>
        <v>-4.669138557256404E-3</v>
      </c>
      <c r="EJ5" s="2">
        <f>MEDIAN(EJ7:EJ106)</f>
        <v>0.88346884529484648</v>
      </c>
      <c r="EK5" s="58">
        <f>MEDIAN(EK7:EK106)</f>
        <v>-1.9775091143250322E-3</v>
      </c>
    </row>
    <row r="6" spans="1:141" s="10" customFormat="1" ht="15" thickBot="1" x14ac:dyDescent="0.35">
      <c r="A6" s="10" t="s">
        <v>68</v>
      </c>
      <c r="B6" s="10" t="s">
        <v>0</v>
      </c>
      <c r="C6" s="10" t="s">
        <v>1</v>
      </c>
      <c r="D6" s="10" t="s">
        <v>544</v>
      </c>
      <c r="E6" s="10" t="s">
        <v>545</v>
      </c>
      <c r="F6" s="10" t="s">
        <v>548</v>
      </c>
      <c r="G6" s="61" t="s">
        <v>632</v>
      </c>
      <c r="H6" s="61" t="s">
        <v>643</v>
      </c>
      <c r="I6" s="10" t="s">
        <v>34</v>
      </c>
      <c r="J6" s="10" t="s">
        <v>61</v>
      </c>
      <c r="K6" s="10" t="s">
        <v>2</v>
      </c>
      <c r="L6" s="10" t="s">
        <v>3</v>
      </c>
      <c r="M6" s="10" t="s">
        <v>4</v>
      </c>
      <c r="N6" s="10" t="s">
        <v>5</v>
      </c>
      <c r="O6" s="10" t="s">
        <v>6</v>
      </c>
      <c r="P6" s="10" t="s">
        <v>617</v>
      </c>
      <c r="Q6" s="10" t="s">
        <v>502</v>
      </c>
      <c r="R6" s="10" t="s">
        <v>604</v>
      </c>
      <c r="S6" s="61" t="s">
        <v>605</v>
      </c>
      <c r="T6" s="61" t="s">
        <v>621</v>
      </c>
      <c r="U6" s="61" t="s">
        <v>691</v>
      </c>
      <c r="V6" s="61" t="s">
        <v>692</v>
      </c>
      <c r="W6" s="61" t="s">
        <v>693</v>
      </c>
      <c r="X6" s="61" t="s">
        <v>690</v>
      </c>
      <c r="Y6" s="61" t="s">
        <v>694</v>
      </c>
      <c r="Z6" s="61" t="s">
        <v>918</v>
      </c>
      <c r="AA6" s="10" t="s">
        <v>60</v>
      </c>
      <c r="AB6" s="10">
        <v>1</v>
      </c>
      <c r="AC6" s="10">
        <f t="shared" ref="AC6:AX6" si="4">AB6+1</f>
        <v>2</v>
      </c>
      <c r="AD6" s="10">
        <f t="shared" si="4"/>
        <v>3</v>
      </c>
      <c r="AE6" s="10">
        <f t="shared" si="4"/>
        <v>4</v>
      </c>
      <c r="AF6" s="10">
        <f t="shared" si="4"/>
        <v>5</v>
      </c>
      <c r="AG6" s="10">
        <f t="shared" si="4"/>
        <v>6</v>
      </c>
      <c r="AH6" s="10">
        <f t="shared" si="4"/>
        <v>7</v>
      </c>
      <c r="AI6" s="10">
        <f t="shared" si="4"/>
        <v>8</v>
      </c>
      <c r="AJ6" s="10">
        <f t="shared" si="4"/>
        <v>9</v>
      </c>
      <c r="AK6" s="10">
        <f t="shared" si="4"/>
        <v>10</v>
      </c>
      <c r="AL6" s="10">
        <f t="shared" si="4"/>
        <v>11</v>
      </c>
      <c r="AM6" s="10">
        <f t="shared" si="4"/>
        <v>12</v>
      </c>
      <c r="AN6" s="10">
        <f t="shared" si="4"/>
        <v>13</v>
      </c>
      <c r="AO6" s="10">
        <f t="shared" si="4"/>
        <v>14</v>
      </c>
      <c r="AP6" s="10">
        <f t="shared" si="4"/>
        <v>15</v>
      </c>
      <c r="AQ6" s="10">
        <f t="shared" si="4"/>
        <v>16</v>
      </c>
      <c r="AR6" s="10">
        <f t="shared" si="4"/>
        <v>17</v>
      </c>
      <c r="AS6" s="10">
        <f t="shared" si="4"/>
        <v>18</v>
      </c>
      <c r="AT6" s="10">
        <f t="shared" si="4"/>
        <v>19</v>
      </c>
      <c r="AU6" s="10">
        <f t="shared" si="4"/>
        <v>20</v>
      </c>
      <c r="AV6" s="10">
        <f t="shared" si="4"/>
        <v>21</v>
      </c>
      <c r="AW6" s="10">
        <f t="shared" si="4"/>
        <v>22</v>
      </c>
      <c r="AX6" s="10">
        <f t="shared" si="4"/>
        <v>23</v>
      </c>
      <c r="AY6" s="207">
        <f>MEDIAN($AY$7:$AY$31)</f>
        <v>6</v>
      </c>
      <c r="AZ6" s="61" t="s">
        <v>894</v>
      </c>
      <c r="BA6" s="10" t="s">
        <v>160</v>
      </c>
      <c r="BB6" s="10">
        <f>AB6</f>
        <v>1</v>
      </c>
      <c r="BC6" s="10">
        <f t="shared" ref="BC6:BX6" si="5">AC6</f>
        <v>2</v>
      </c>
      <c r="BD6" s="10">
        <f t="shared" si="5"/>
        <v>3</v>
      </c>
      <c r="BE6" s="10">
        <f t="shared" si="5"/>
        <v>4</v>
      </c>
      <c r="BF6" s="10">
        <f t="shared" si="5"/>
        <v>5</v>
      </c>
      <c r="BG6" s="10">
        <f t="shared" si="5"/>
        <v>6</v>
      </c>
      <c r="BH6" s="10">
        <f t="shared" si="5"/>
        <v>7</v>
      </c>
      <c r="BI6" s="10">
        <f t="shared" si="5"/>
        <v>8</v>
      </c>
      <c r="BJ6" s="10">
        <f t="shared" si="5"/>
        <v>9</v>
      </c>
      <c r="BK6" s="10">
        <f t="shared" si="5"/>
        <v>10</v>
      </c>
      <c r="BL6" s="10">
        <f t="shared" si="5"/>
        <v>11</v>
      </c>
      <c r="BM6" s="10">
        <f t="shared" si="5"/>
        <v>12</v>
      </c>
      <c r="BN6" s="10">
        <f t="shared" si="5"/>
        <v>13</v>
      </c>
      <c r="BO6" s="10">
        <f t="shared" si="5"/>
        <v>14</v>
      </c>
      <c r="BP6" s="10">
        <f t="shared" si="5"/>
        <v>15</v>
      </c>
      <c r="BQ6" s="10">
        <f t="shared" si="5"/>
        <v>16</v>
      </c>
      <c r="BR6" s="10">
        <f t="shared" si="5"/>
        <v>17</v>
      </c>
      <c r="BS6" s="10">
        <f t="shared" si="5"/>
        <v>18</v>
      </c>
      <c r="BT6" s="10">
        <f t="shared" si="5"/>
        <v>19</v>
      </c>
      <c r="BU6" s="10">
        <f t="shared" si="5"/>
        <v>20</v>
      </c>
      <c r="BV6" s="10">
        <f t="shared" si="5"/>
        <v>21</v>
      </c>
      <c r="BW6" s="10">
        <f t="shared" si="5"/>
        <v>22</v>
      </c>
      <c r="BX6" s="10">
        <f t="shared" si="5"/>
        <v>23</v>
      </c>
      <c r="BY6" s="10" t="str">
        <f>BA6</f>
        <v>Line #</v>
      </c>
      <c r="BZ6" s="10" t="s">
        <v>177</v>
      </c>
      <c r="CA6" s="10" t="s">
        <v>178</v>
      </c>
      <c r="CB6" s="10" t="s">
        <v>179</v>
      </c>
      <c r="CC6" s="10" t="s">
        <v>184</v>
      </c>
      <c r="CD6" s="10" t="s">
        <v>185</v>
      </c>
      <c r="CE6" s="10" t="s">
        <v>603</v>
      </c>
      <c r="CF6" s="10" t="s">
        <v>190</v>
      </c>
      <c r="CG6" s="10" t="s">
        <v>191</v>
      </c>
      <c r="CH6" s="10" t="s">
        <v>960</v>
      </c>
      <c r="CI6" s="61" t="s">
        <v>2</v>
      </c>
      <c r="CJ6" s="61" t="s">
        <v>194</v>
      </c>
      <c r="CK6" s="61" t="s">
        <v>188</v>
      </c>
      <c r="CL6" s="61" t="s">
        <v>37</v>
      </c>
      <c r="CN6" s="10" t="s">
        <v>950</v>
      </c>
      <c r="CO6" s="10" t="s">
        <v>185</v>
      </c>
      <c r="CP6" s="61" t="s">
        <v>194</v>
      </c>
      <c r="CQ6" s="61" t="s">
        <v>188</v>
      </c>
      <c r="CR6" s="61" t="s">
        <v>539</v>
      </c>
      <c r="CT6" s="10" t="s">
        <v>581</v>
      </c>
      <c r="CU6" s="10" t="s">
        <v>188</v>
      </c>
      <c r="CV6" s="10" t="s">
        <v>542</v>
      </c>
      <c r="CW6" s="10" t="s">
        <v>819</v>
      </c>
      <c r="CY6" s="10" t="s">
        <v>185</v>
      </c>
      <c r="CZ6" s="10" t="s">
        <v>188</v>
      </c>
      <c r="DA6" s="10" t="s">
        <v>542</v>
      </c>
      <c r="DB6" s="10" t="s">
        <v>194</v>
      </c>
      <c r="DC6" s="61" t="s">
        <v>166</v>
      </c>
      <c r="DD6" s="105">
        <f>STDEV($DD$7:$DD$31)</f>
        <v>0.53851648071345048</v>
      </c>
      <c r="DE6" s="10" t="s">
        <v>80</v>
      </c>
      <c r="DF6" s="109">
        <f>MAX($DD$7:$DD$31)</f>
        <v>2</v>
      </c>
      <c r="DG6" s="10" t="s">
        <v>590</v>
      </c>
      <c r="DH6" s="108">
        <f>COUNTIF($DD$7:$DD$31,$DF$6)</f>
        <v>4</v>
      </c>
      <c r="DJ6" s="10" t="s">
        <v>1</v>
      </c>
      <c r="DK6" s="10" t="s">
        <v>610</v>
      </c>
      <c r="DL6" s="10" t="s">
        <v>5</v>
      </c>
      <c r="DM6" s="10" t="s">
        <v>626</v>
      </c>
      <c r="DN6" s="10" t="s">
        <v>627</v>
      </c>
      <c r="DP6" s="10" t="s">
        <v>651</v>
      </c>
      <c r="DT6" s="10">
        <v>1</v>
      </c>
      <c r="DU6" s="10">
        <f>DT6+1</f>
        <v>2</v>
      </c>
      <c r="DV6" s="10">
        <f t="shared" ref="DV6:EA6" si="6">DU6+1</f>
        <v>3</v>
      </c>
      <c r="DW6" s="10">
        <f t="shared" si="6"/>
        <v>4</v>
      </c>
      <c r="DX6" s="10">
        <f t="shared" si="6"/>
        <v>5</v>
      </c>
      <c r="DY6" s="10">
        <f t="shared" si="6"/>
        <v>6</v>
      </c>
      <c r="DZ6" s="10">
        <f t="shared" si="6"/>
        <v>7</v>
      </c>
      <c r="EA6" s="10">
        <f t="shared" si="6"/>
        <v>8</v>
      </c>
      <c r="EC6" s="10" t="s">
        <v>728</v>
      </c>
      <c r="ED6" s="10" t="s">
        <v>729</v>
      </c>
      <c r="EE6" s="10" t="s">
        <v>730</v>
      </c>
      <c r="EH6" s="61" t="s">
        <v>800</v>
      </c>
      <c r="EI6" s="61" t="s">
        <v>800</v>
      </c>
      <c r="EJ6" s="61" t="s">
        <v>801</v>
      </c>
      <c r="EK6" s="61" t="s">
        <v>801</v>
      </c>
    </row>
    <row r="7" spans="1:141" x14ac:dyDescent="0.3">
      <c r="A7">
        <v>1</v>
      </c>
      <c r="B7" s="6">
        <v>61345</v>
      </c>
      <c r="C7" s="6" t="s">
        <v>725</v>
      </c>
      <c r="D7" s="6">
        <v>2019</v>
      </c>
      <c r="E7" s="6">
        <v>2018</v>
      </c>
      <c r="F7" s="6" t="s">
        <v>252</v>
      </c>
      <c r="G7" s="17" t="s">
        <v>636</v>
      </c>
      <c r="H7" s="17" t="s">
        <v>726</v>
      </c>
      <c r="I7" s="6" t="s">
        <v>36</v>
      </c>
      <c r="J7" s="17">
        <v>0</v>
      </c>
      <c r="K7" s="6" t="s">
        <v>370</v>
      </c>
      <c r="L7" s="12">
        <v>45.584600000000002</v>
      </c>
      <c r="M7" s="12">
        <v>-120.59990000000001</v>
      </c>
      <c r="N7" s="14">
        <v>13</v>
      </c>
      <c r="O7" s="6">
        <v>10</v>
      </c>
      <c r="P7" s="94">
        <f>365.25*4.136*1.313</f>
        <v>1983.514962</v>
      </c>
      <c r="Q7" s="6" t="s">
        <v>727</v>
      </c>
      <c r="R7" s="14">
        <v>11.4</v>
      </c>
      <c r="S7" s="3">
        <f>R7+11.448+2.715*IF($I7="Tracker",P7*0.95,P7)/365.25</f>
        <v>36.854792513999996</v>
      </c>
      <c r="T7" s="128" t="str">
        <f>IF(S7&gt;=50,"H",IF(S7&gt;=40,"M","C"))</f>
        <v>C</v>
      </c>
      <c r="U7" s="154">
        <v>1510</v>
      </c>
      <c r="V7" s="154">
        <v>526</v>
      </c>
      <c r="W7" s="156">
        <v>0.56200000000000006</v>
      </c>
      <c r="X7" s="1">
        <f>V7/U7</f>
        <v>0.34834437086092718</v>
      </c>
      <c r="Y7" s="162">
        <f>MAX(0,IF($I7="Tracker",P7*0.95,P7)*(N7/O7)*0.0000994+0.3284*X7-0.358)</f>
        <v>0</v>
      </c>
      <c r="Z7" s="1">
        <f>EXP(-13*Y7)</f>
        <v>1</v>
      </c>
      <c r="AA7" s="3">
        <f>N7*P7*INDEX($C$3:$D$4,MATCH(I7,$C$3:$C$4,0),2)*CH7</f>
        <v>19957.306218776073</v>
      </c>
      <c r="AB7" s="6">
        <v>18826</v>
      </c>
      <c r="AC7" s="6">
        <v>21768</v>
      </c>
      <c r="AD7" s="6">
        <v>22800</v>
      </c>
      <c r="AE7" s="6">
        <v>18385</v>
      </c>
      <c r="AF7" s="159">
        <v>19550</v>
      </c>
      <c r="AG7" s="6">
        <v>21091</v>
      </c>
      <c r="AK7" s="23"/>
      <c r="AP7" s="23"/>
      <c r="AU7" s="23"/>
      <c r="AY7" s="32">
        <v>6</v>
      </c>
      <c r="AZ7" s="1">
        <f>SUM(AB7:AX7)/AY7/N7/P7</f>
        <v>0.79126561158109354</v>
      </c>
      <c r="BA7" s="24">
        <f t="shared" ref="BA7:BA31" si="7">A7</f>
        <v>1</v>
      </c>
      <c r="BB7" s="2">
        <f t="shared" ref="BB7:BX7" si="8">IF(ISNUMBER(AB7),MIN(1.15,AB7/($AA7*(1-$K$3)^(BB$6-1))),"")</f>
        <v>0.94331368139695493</v>
      </c>
      <c r="BC7" s="2">
        <f t="shared" si="8"/>
        <v>1.0962094129763293</v>
      </c>
      <c r="BD7" s="2">
        <f t="shared" si="8"/>
        <v>1.1499999999999999</v>
      </c>
      <c r="BE7" s="2">
        <f t="shared" si="8"/>
        <v>0.93517410116527078</v>
      </c>
      <c r="BF7" s="20">
        <f t="shared" si="8"/>
        <v>0.99943031326231635</v>
      </c>
      <c r="BG7" s="2">
        <f t="shared" si="8"/>
        <v>1.0836270733213644</v>
      </c>
      <c r="BH7" s="2" t="str">
        <f t="shared" si="8"/>
        <v/>
      </c>
      <c r="BI7" s="2" t="str">
        <f t="shared" si="8"/>
        <v/>
      </c>
      <c r="BJ7" s="2" t="str">
        <f t="shared" si="8"/>
        <v/>
      </c>
      <c r="BK7" s="20" t="str">
        <f t="shared" si="8"/>
        <v/>
      </c>
      <c r="BL7" s="2" t="str">
        <f t="shared" si="8"/>
        <v/>
      </c>
      <c r="BM7" s="2" t="str">
        <f t="shared" si="8"/>
        <v/>
      </c>
      <c r="BN7" s="2" t="str">
        <f t="shared" si="8"/>
        <v/>
      </c>
      <c r="BO7" s="2" t="str">
        <f t="shared" si="8"/>
        <v/>
      </c>
      <c r="BP7" s="20" t="str">
        <f t="shared" si="8"/>
        <v/>
      </c>
      <c r="BQ7" s="2" t="str">
        <f t="shared" si="8"/>
        <v/>
      </c>
      <c r="BR7" s="2" t="str">
        <f t="shared" si="8"/>
        <v/>
      </c>
      <c r="BS7" s="2" t="str">
        <f t="shared" si="8"/>
        <v/>
      </c>
      <c r="BT7" s="2" t="str">
        <f t="shared" si="8"/>
        <v/>
      </c>
      <c r="BU7" s="20" t="str">
        <f t="shared" si="8"/>
        <v/>
      </c>
      <c r="BV7" s="2" t="str">
        <f t="shared" si="8"/>
        <v/>
      </c>
      <c r="BW7" s="2" t="str">
        <f t="shared" si="8"/>
        <v/>
      </c>
      <c r="BX7" s="2" t="str">
        <f t="shared" si="8"/>
        <v/>
      </c>
      <c r="BY7" s="25">
        <f t="shared" ref="BY7:BY31" si="9">A7</f>
        <v>1</v>
      </c>
      <c r="BZ7" s="3">
        <f t="shared" ref="BZ7:BZ31" si="10">$AA7*IF($K$3=0,$AY7,((1-$K$3)^$AY7-1)/-$K$3)</f>
        <v>118256.98065418557</v>
      </c>
      <c r="CA7" s="3">
        <f>SUM(AB7:AX7)</f>
        <v>122420</v>
      </c>
      <c r="CB7" s="2">
        <f>CA7/BZ7</f>
        <v>1.0352031594480515</v>
      </c>
      <c r="CC7" s="85">
        <f>ROUND(RANK(CB7,$CB$7:$CB$31,0),0)*(100/25)-0.5*(100/25)</f>
        <v>6</v>
      </c>
      <c r="CD7" s="3" t="str">
        <f t="shared" ref="CD7:CD31" si="11">I7</f>
        <v>Tracker</v>
      </c>
      <c r="CE7" s="58">
        <f>CF7/(CG7+CF7*(1+AY7)*0.5)</f>
        <v>3.5848484141246954E-4</v>
      </c>
      <c r="CF7" s="2">
        <f t="array" ref="CF7:CG7">LINEST(AB7:AG7,AB$6:AG$6,TRUE,FALSE)</f>
        <v>7.3142857142857531</v>
      </c>
      <c r="CG7" s="2">
        <v>20377.733333333334</v>
      </c>
      <c r="CH7" s="1">
        <f>1+IF(G7="CdSCdTe",-0.0025,-0.004)*(S7-PlantData!$S$4)</f>
        <v>1.0183791419559289</v>
      </c>
      <c r="CI7" s="128" t="s">
        <v>24</v>
      </c>
      <c r="CJ7">
        <f t="shared" ref="CJ7:CJ31" si="12">COUNTIF($K$7:$K$31,$CI7)</f>
        <v>2</v>
      </c>
      <c r="CK7" s="2">
        <f>IF(CJ7&gt;0,AVERAGEIF($K$7:$K$31,$CI7,$CB$7:$CB$31),"")</f>
        <v>0.84501043961117117</v>
      </c>
      <c r="CL7" s="58">
        <f>IF(CJ7&gt;0,AVERAGEIF($K$7:$K$31,$CI7,$CE$7:$CE$31),"")</f>
        <v>-0.19059017214006529</v>
      </c>
      <c r="CN7" s="4">
        <f>CP7/$CP$10</f>
        <v>0.04</v>
      </c>
      <c r="CO7" s="133" t="s">
        <v>195</v>
      </c>
      <c r="CP7" s="3">
        <f>COUNTIF($T$7:$T$31,$CO7)</f>
        <v>1</v>
      </c>
      <c r="CQ7" s="2">
        <f>AVERAGEIFS($CB$7:$CB$31,$T$7:$T$31,$CO7)</f>
        <v>0.92456425541434972</v>
      </c>
      <c r="CR7" s="89">
        <f>AVERAGEIFS($CE$7:$CE$31,$T$7:$T$31,$CO7)</f>
        <v>-4.669138557256404E-3</v>
      </c>
      <c r="CS7" s="3"/>
      <c r="CT7" s="3" t="s">
        <v>541</v>
      </c>
      <c r="CU7" s="2">
        <f>AVERAGEIFS($CB$7:$CB$31,$O$7:$O$31,"&gt;5")</f>
        <v>0.91912739286768497</v>
      </c>
      <c r="CV7" s="69">
        <f>AVERAGEIFS($CE$7:$CE$31,$O$7:$O$31,"&gt;5")</f>
        <v>-3.3266269595374947E-3</v>
      </c>
      <c r="CW7" s="98">
        <f>COUNTIF($O$7:$O$31,"&gt;5")*(100/25)</f>
        <v>16</v>
      </c>
      <c r="CY7" s="25" t="s">
        <v>261</v>
      </c>
      <c r="CZ7" s="2" t="e">
        <f>AVERAGEIF($F$7:$F$31,$CY7,$CB$7:$CB$31)</f>
        <v>#DIV/0!</v>
      </c>
      <c r="DA7" s="58" t="e">
        <f>AVERAGEIF($F$7:$F$31,$CY7,$CE$7:$CE$31)</f>
        <v>#DIV/0!</v>
      </c>
      <c r="DB7" s="3">
        <f>COUNTIF($F$7:$F$31,$CY7)</f>
        <v>0</v>
      </c>
      <c r="DC7" s="2">
        <f>N7/O7</f>
        <v>1.3</v>
      </c>
      <c r="DD7">
        <f t="shared" ref="DD7:DD31" si="13">D7-E7</f>
        <v>1</v>
      </c>
      <c r="DJ7" s="6" t="s">
        <v>726</v>
      </c>
      <c r="DK7">
        <f t="shared" ref="DK7:DK17" si="14">COUNTIF($H$7:$H$31,$DJ7)</f>
        <v>1</v>
      </c>
      <c r="DL7" s="72">
        <f t="shared" ref="DL7:DL17" si="15">SUMIF($H$7:$H$31,$DJ7,$N$7:$N$31)</f>
        <v>13</v>
      </c>
      <c r="DM7" s="2">
        <f>IF($DK7&gt;0,AVERAGEIF($H$7:$H$31,$DJ7,$CB$7:$CB$31),"")</f>
        <v>1.0352031594480515</v>
      </c>
      <c r="DN7" s="2">
        <f>IF($DK7&gt;0,AVERAGEIF($H$7:$H$31,$DJ7,$CE$7:$CE$31),"")</f>
        <v>3.5848484141246954E-4</v>
      </c>
      <c r="DP7" s="6" t="s">
        <v>634</v>
      </c>
      <c r="DQ7">
        <f>COUNTIF($G$7:$G$31,$DP7)</f>
        <v>1</v>
      </c>
      <c r="DT7" s="3">
        <f t="shared" ref="DT7:DT31" si="16">($CG7+$CF7*DT$6-AB7)^2</f>
        <v>2430629.4784580478</v>
      </c>
      <c r="DU7" s="3">
        <f t="shared" ref="DU7:DY9" si="17">($CG7+$CF7*DU$6-AC7)^2</f>
        <v>1892380.1690702892</v>
      </c>
      <c r="DV7" s="3">
        <f t="shared" si="17"/>
        <v>5761554.3905668883</v>
      </c>
      <c r="DW7" s="3">
        <f t="shared" si="17"/>
        <v>4088445.485804989</v>
      </c>
      <c r="DX7" s="3">
        <f t="shared" si="17"/>
        <v>747022.72145124583</v>
      </c>
      <c r="DY7" s="3">
        <f t="shared" si="17"/>
        <v>448070.85941042827</v>
      </c>
      <c r="DZ7" s="3"/>
      <c r="EA7" s="3"/>
      <c r="EC7" s="4">
        <f>SQRT(AVERAGE(DT7:DY7))/AVERAGE(AB7:AG7)</f>
        <v>7.8439241025654E-2</v>
      </c>
      <c r="ED7" s="160">
        <v>3.9E-2</v>
      </c>
      <c r="EE7" s="161">
        <f t="shared" ref="EE7:EE31" si="18">ED7/EC7</f>
        <v>0.49720011935409764</v>
      </c>
      <c r="EH7" s="2" t="str">
        <f>IF($T7="H",$CB7," ")</f>
        <v xml:space="preserve"> </v>
      </c>
      <c r="EI7" s="58" t="str">
        <f>IF($T7="H",$CE7," ")</f>
        <v xml:space="preserve"> </v>
      </c>
      <c r="EJ7" s="2">
        <f>IF($T7="c",$CB7," ")</f>
        <v>1.0352031594480515</v>
      </c>
      <c r="EK7" s="58">
        <f>IF($T7="c",$CE7," ")</f>
        <v>3.5848484141246954E-4</v>
      </c>
    </row>
    <row r="8" spans="1:141" x14ac:dyDescent="0.3">
      <c r="A8">
        <f t="shared" ref="A8:A31" si="19">A7+1</f>
        <v>2</v>
      </c>
      <c r="B8" s="6">
        <v>61656</v>
      </c>
      <c r="C8" s="6" t="s">
        <v>700</v>
      </c>
      <c r="D8" s="6">
        <v>2019</v>
      </c>
      <c r="E8" s="6">
        <v>2018</v>
      </c>
      <c r="F8" s="6" t="s">
        <v>248</v>
      </c>
      <c r="G8" s="17" t="s">
        <v>634</v>
      </c>
      <c r="H8" s="17" t="s">
        <v>644</v>
      </c>
      <c r="I8" s="6" t="s">
        <v>36</v>
      </c>
      <c r="J8" s="17">
        <v>0</v>
      </c>
      <c r="K8" s="6" t="s">
        <v>109</v>
      </c>
      <c r="L8" s="12">
        <v>27.681280000000001</v>
      </c>
      <c r="M8" s="12">
        <v>-82.204999999999998</v>
      </c>
      <c r="N8" s="14">
        <v>71.400000000000006</v>
      </c>
      <c r="O8" s="6">
        <v>61.1</v>
      </c>
      <c r="P8" s="94">
        <f>365.25*6.3</f>
        <v>2301.0749999999998</v>
      </c>
      <c r="Q8" s="15" t="s">
        <v>555</v>
      </c>
      <c r="R8" s="14">
        <v>22.4</v>
      </c>
      <c r="S8" s="3">
        <f t="shared" ref="S8:S31" si="20">R8+11.448+2.715*IF($I8="Tracker",P8*0.95,P8)/365.25</f>
        <v>50.097274999999996</v>
      </c>
      <c r="T8" s="128" t="str">
        <f t="shared" ref="T8:T31" si="21">IF(S8&gt;=50,"H",IF(S8&gt;=40,"M","C"))</f>
        <v>H</v>
      </c>
      <c r="U8" s="154">
        <v>1790</v>
      </c>
      <c r="V8" s="154">
        <v>745</v>
      </c>
      <c r="W8" s="156">
        <v>0.54500000000000004</v>
      </c>
      <c r="X8" s="1">
        <f>V8/U8</f>
        <v>0.41620111731843573</v>
      </c>
      <c r="Y8" s="162">
        <f t="shared" ref="Y8:Y31" si="22">MAX(0,IF($I8="Tracker",P8*0.95,P8)*(N8/O8)*0.0000994+0.3284*X8-0.358)</f>
        <v>3.2600947330811314E-2</v>
      </c>
      <c r="Z8" s="1">
        <f t="shared" ref="Z8:Z31" si="23">EXP(-13*Y8)</f>
        <v>0.65454671878538995</v>
      </c>
      <c r="AA8" s="3">
        <f t="shared" ref="AA8:AA31" si="24">N8*P8*INDEX($C$3:$D$4,MATCH(I8,$C$3:$C$4,0),2)*CH8</f>
        <v>122166.03554581681</v>
      </c>
      <c r="AB8" s="6">
        <v>105555</v>
      </c>
      <c r="AC8" s="6">
        <v>118872</v>
      </c>
      <c r="AD8" s="6">
        <v>122960</v>
      </c>
      <c r="AE8" s="6">
        <v>112045</v>
      </c>
      <c r="AF8" s="93">
        <v>95572</v>
      </c>
      <c r="AG8" s="6">
        <v>104411</v>
      </c>
      <c r="AH8" s="6">
        <v>119476</v>
      </c>
      <c r="AK8" s="23"/>
      <c r="AP8" s="23"/>
      <c r="AU8" s="23"/>
      <c r="AY8" s="32">
        <v>7</v>
      </c>
      <c r="AZ8" s="1">
        <f t="shared" ref="AZ8:AZ31" si="25">SUM(AB8:AX8)/AY8/N8/P8</f>
        <v>0.67725100752685496</v>
      </c>
      <c r="BA8" s="24">
        <f t="shared" si="7"/>
        <v>2</v>
      </c>
      <c r="BB8" s="2">
        <f t="shared" ref="BB8:BK9" si="26">IF(ISNUMBER(AB8),MIN(1.15,AB8/($AA8*(1-$K$3)^(BB$6-1))),"")</f>
        <v>0.86402902024608097</v>
      </c>
      <c r="BC8" s="2">
        <f t="shared" si="26"/>
        <v>0.97792603484184359</v>
      </c>
      <c r="BD8" s="2">
        <f t="shared" si="26"/>
        <v>1.0166400449328636</v>
      </c>
      <c r="BE8" s="2">
        <f t="shared" si="26"/>
        <v>0.93104947177741926</v>
      </c>
      <c r="BF8" s="20">
        <f t="shared" si="26"/>
        <v>0.79815616183206639</v>
      </c>
      <c r="BG8" s="2">
        <f t="shared" si="26"/>
        <v>0.87635560943132651</v>
      </c>
      <c r="BH8" s="2">
        <f t="shared" si="26"/>
        <v>1.0078402739811936</v>
      </c>
      <c r="BI8" s="2" t="str">
        <f t="shared" si="26"/>
        <v/>
      </c>
      <c r="BJ8" s="2" t="str">
        <f t="shared" si="26"/>
        <v/>
      </c>
      <c r="BK8" s="20" t="str">
        <f t="shared" si="26"/>
        <v/>
      </c>
      <c r="BL8" s="2" t="str">
        <f t="shared" ref="BL8:BR9" si="27">IF(ISNUMBER(AL8),MIN(1.15,AL8/($AA8*(1-$K$3)^(BL$6-1))),"")</f>
        <v/>
      </c>
      <c r="BM8" s="2" t="str">
        <f t="shared" si="27"/>
        <v/>
      </c>
      <c r="BN8" s="2" t="str">
        <f t="shared" si="27"/>
        <v/>
      </c>
      <c r="BO8" s="2" t="str">
        <f t="shared" si="27"/>
        <v/>
      </c>
      <c r="BP8" s="20" t="str">
        <f t="shared" si="27"/>
        <v/>
      </c>
      <c r="BQ8" s="2" t="str">
        <f t="shared" si="27"/>
        <v/>
      </c>
      <c r="BR8" s="2" t="str">
        <f t="shared" si="27"/>
        <v/>
      </c>
      <c r="BU8" s="23"/>
      <c r="BY8" s="25">
        <f t="shared" si="9"/>
        <v>2</v>
      </c>
      <c r="BZ8" s="3">
        <f t="shared" si="10"/>
        <v>842441.17749386141</v>
      </c>
      <c r="CA8" s="3">
        <f t="shared" ref="CA8:CA31" si="28">SUM(AB8:AX8)</f>
        <v>778891</v>
      </c>
      <c r="CB8" s="2">
        <f t="shared" ref="CB8:CB31" si="29">CA8/BZ8</f>
        <v>0.92456425541434972</v>
      </c>
      <c r="CC8" s="85">
        <f t="shared" ref="CC8:CC31" si="30">ROUND(RANK(CB8,$CB$7:$CB$31,0),0)*(100/25)-0.5*(100/25)</f>
        <v>42</v>
      </c>
      <c r="CD8" s="3" t="str">
        <f t="shared" si="11"/>
        <v>Tracker</v>
      </c>
      <c r="CE8" s="58">
        <f t="shared" ref="CE8:CE31" si="31">CF8/(CG8+CF8*(1+AY8)*0.5)</f>
        <v>-4.669138557256404E-3</v>
      </c>
      <c r="CF8" s="2">
        <f t="array" ref="CF8:CG8">LINEST(AB8:AH8,AB$6:AH$6,TRUE,FALSE)</f>
        <v>-519.53571428571399</v>
      </c>
      <c r="CG8" s="2">
        <v>113348.28571428571</v>
      </c>
      <c r="CH8" s="1">
        <f>1+IF(G8="CdSCdTe",-0.0025,-0.004)*(S8-PlantData!$S$4)</f>
        <v>0.97838075750745557</v>
      </c>
      <c r="CI8" s="128" t="s">
        <v>52</v>
      </c>
      <c r="CJ8">
        <f t="shared" si="12"/>
        <v>1</v>
      </c>
      <c r="CK8" s="2">
        <f t="shared" ref="CK8:CK31" si="32">IF(CJ8&gt;0,AVERAGEIF($K$7:$K$31,$CI8,$CB$7:$CB$31),"")</f>
        <v>0.5755860030060963</v>
      </c>
      <c r="CL8" s="58">
        <f t="shared" ref="CL8:CL31" si="33">IF(CJ8&gt;0,AVERAGEIF($K$7:$K$31,$CI8,$CE$7:$CE$31),"")</f>
        <v>-0.22930565225647195</v>
      </c>
      <c r="CN8" s="4">
        <f t="shared" ref="CN8:CN9" si="34">CP8/$CP$10</f>
        <v>0.24</v>
      </c>
      <c r="CO8" s="132" t="s">
        <v>197</v>
      </c>
      <c r="CP8" s="3">
        <f>COUNTIF($T$7:$T$31,$CO8)</f>
        <v>6</v>
      </c>
      <c r="CQ8" s="2">
        <f>AVERAGEIFS($CB$7:$CB$31,$T$7:$T$31,$CO8)</f>
        <v>0.86551095668838263</v>
      </c>
      <c r="CR8" s="89">
        <f>AVERAGEIFS($CE$7:$CE$31,$T$7:$T$31,$CO8)</f>
        <v>-1.4121099828896052E-2</v>
      </c>
      <c r="CS8" s="3"/>
      <c r="CT8" s="37" t="s">
        <v>580</v>
      </c>
      <c r="CU8" s="21">
        <f>AVERAGEIFS($CB$7:$CB$31,$O$7:$O$31,"&lt;=5")</f>
        <v>0.85757770898181906</v>
      </c>
      <c r="CV8" s="60">
        <f>AVERAGEIFS($CE$7:$CE$31,$O$7:$O$31,"&lt;=5")</f>
        <v>-3.9872567635432399E-2</v>
      </c>
      <c r="CW8" s="99">
        <f>COUNTIF($O$7:$O$31,"&lt;=5")*(100/25)</f>
        <v>84</v>
      </c>
      <c r="CY8" s="68" t="s">
        <v>278</v>
      </c>
      <c r="CZ8" s="21" t="e">
        <f>AVERAGEIF($F$7:$F$31,$CY8,$CB$7:$CB$31)</f>
        <v>#DIV/0!</v>
      </c>
      <c r="DA8" s="60" t="e">
        <f>AVERAGEIF($F$7:$F$31,$CY8,$CE$7:$CE$31)</f>
        <v>#DIV/0!</v>
      </c>
      <c r="DB8" s="37">
        <f>COUNTIF($F$7:$F$31,$CY8)</f>
        <v>0</v>
      </c>
      <c r="DC8" s="2">
        <f t="shared" ref="DC8:DC31" si="35">N8/O8</f>
        <v>1.1685761047463177</v>
      </c>
      <c r="DD8">
        <f t="shared" si="13"/>
        <v>1</v>
      </c>
      <c r="DJ8" s="6" t="s">
        <v>639</v>
      </c>
      <c r="DK8">
        <f t="shared" si="14"/>
        <v>0</v>
      </c>
      <c r="DL8" s="72">
        <f t="shared" si="15"/>
        <v>0</v>
      </c>
      <c r="DM8" s="2" t="str">
        <f t="shared" ref="DM8:DM17" si="36">IF($DK8&gt;0,AVERAGEIF($H$7:$H$31,$DJ8,$CB$7:$CB$31),"")</f>
        <v/>
      </c>
      <c r="DN8" s="2" t="str">
        <f t="shared" ref="DN8:DN17" si="37">IF($DK8&gt;0,AVERAGEIF($H$7:$H$31,$DJ8,$CE$7:$CE$31),"")</f>
        <v/>
      </c>
      <c r="DP8" s="6" t="s">
        <v>636</v>
      </c>
      <c r="DQ8">
        <f>COUNTIF($G$7:$G$31,$DP8)</f>
        <v>23</v>
      </c>
      <c r="DT8" s="3">
        <f t="shared" si="16"/>
        <v>52907439.0625</v>
      </c>
      <c r="DU8" s="3">
        <f t="shared" si="17"/>
        <v>43070156.331632793</v>
      </c>
      <c r="DV8" s="3">
        <f t="shared" si="17"/>
        <v>124776080.81760219</v>
      </c>
      <c r="DW8" s="3">
        <f t="shared" si="17"/>
        <v>600403.59183673793</v>
      </c>
      <c r="DX8" s="3">
        <f t="shared" si="17"/>
        <v>230390114.79719394</v>
      </c>
      <c r="DY8" s="3">
        <f t="shared" si="17"/>
        <v>33873231.433673374</v>
      </c>
      <c r="DZ8" s="3">
        <f>($CG8+$CF8*DZ$6-AH8)^2</f>
        <v>95344762.786989883</v>
      </c>
      <c r="EA8" s="3"/>
      <c r="EC8" s="4">
        <f>SQRT(AVERAGE(DT8:DZ8))/AVERAGE(AB8:AH8)</f>
        <v>8.1874048951944292E-2</v>
      </c>
      <c r="ED8" s="160">
        <v>4.8000000000000001E-2</v>
      </c>
      <c r="EE8" s="161">
        <f t="shared" si="18"/>
        <v>0.58626635196915011</v>
      </c>
      <c r="EH8" s="2">
        <f t="shared" ref="EH8:EH31" si="38">IF($T8="H",$CB8," ")</f>
        <v>0.92456425541434972</v>
      </c>
      <c r="EI8" s="58">
        <f t="shared" ref="EI8:EI31" si="39">IF($T8="H",$CE8," ")</f>
        <v>-4.669138557256404E-3</v>
      </c>
      <c r="EJ8" s="2" t="str">
        <f t="shared" ref="EJ8:EJ31" si="40">IF($T8="c",$CB8," ")</f>
        <v xml:space="preserve"> </v>
      </c>
      <c r="EK8" s="58" t="str">
        <f t="shared" ref="EK8:EK31" si="41">IF($T8="c",$CE8," ")</f>
        <v xml:space="preserve"> </v>
      </c>
    </row>
    <row r="9" spans="1:141" x14ac:dyDescent="0.3">
      <c r="A9">
        <f t="shared" si="19"/>
        <v>3</v>
      </c>
      <c r="B9" s="6">
        <v>61333</v>
      </c>
      <c r="C9" s="6" t="s">
        <v>701</v>
      </c>
      <c r="D9" s="6">
        <v>2019</v>
      </c>
      <c r="E9" s="6">
        <v>2018</v>
      </c>
      <c r="F9" s="6" t="s">
        <v>248</v>
      </c>
      <c r="G9" s="17" t="s">
        <v>636</v>
      </c>
      <c r="H9" s="17" t="s">
        <v>644</v>
      </c>
      <c r="I9" s="6" t="s">
        <v>35</v>
      </c>
      <c r="J9" s="17">
        <v>25</v>
      </c>
      <c r="K9" s="6" t="s">
        <v>722</v>
      </c>
      <c r="L9" s="12">
        <v>37.99</v>
      </c>
      <c r="M9" s="12">
        <v>-87.53</v>
      </c>
      <c r="N9" s="14">
        <v>2.7</v>
      </c>
      <c r="O9" s="6">
        <v>2</v>
      </c>
      <c r="P9" s="94">
        <f>365.25*4.7</f>
        <v>1716.675</v>
      </c>
      <c r="Q9" s="15" t="s">
        <v>733</v>
      </c>
      <c r="R9" s="14">
        <v>13.2</v>
      </c>
      <c r="S9" s="3">
        <f t="shared" si="20"/>
        <v>37.408499999999997</v>
      </c>
      <c r="T9" s="128" t="str">
        <f t="shared" si="21"/>
        <v>C</v>
      </c>
      <c r="U9" s="154">
        <v>1534</v>
      </c>
      <c r="V9" s="154">
        <v>703</v>
      </c>
      <c r="W9" s="156">
        <v>0.51600000000000001</v>
      </c>
      <c r="X9" s="1">
        <f t="shared" ref="X9:X31" si="42">V9/U9</f>
        <v>0.45827900912646674</v>
      </c>
      <c r="Y9" s="162">
        <f t="shared" si="22"/>
        <v>2.2859444847131705E-2</v>
      </c>
      <c r="Z9" s="1">
        <f t="shared" si="23"/>
        <v>0.74291563806967409</v>
      </c>
      <c r="AA9" s="3">
        <f t="shared" si="24"/>
        <v>3767.9555598978491</v>
      </c>
      <c r="AB9" s="6">
        <v>3625</v>
      </c>
      <c r="AC9" s="6">
        <v>3422</v>
      </c>
      <c r="AD9" s="6">
        <v>3491</v>
      </c>
      <c r="AE9" s="6">
        <v>3589</v>
      </c>
      <c r="AF9" s="93">
        <v>3368</v>
      </c>
      <c r="AG9" s="6">
        <v>3336</v>
      </c>
      <c r="AK9" s="23"/>
      <c r="AP9" s="23"/>
      <c r="AU9" s="23"/>
      <c r="AY9" s="32">
        <v>6</v>
      </c>
      <c r="AZ9" s="1">
        <f t="shared" si="25"/>
        <v>0.74904346922443921</v>
      </c>
      <c r="BA9" s="24">
        <f t="shared" si="7"/>
        <v>3</v>
      </c>
      <c r="BB9" s="2">
        <f t="shared" si="26"/>
        <v>0.96206017888870099</v>
      </c>
      <c r="BC9" s="2">
        <f t="shared" si="26"/>
        <v>0.91274855162907909</v>
      </c>
      <c r="BD9" s="2">
        <f t="shared" si="26"/>
        <v>0.93583205147218118</v>
      </c>
      <c r="BE9" s="2">
        <f t="shared" si="26"/>
        <v>0.96693759048282324</v>
      </c>
      <c r="BF9" s="20">
        <f t="shared" si="26"/>
        <v>0.91195621594910992</v>
      </c>
      <c r="BG9" s="2">
        <f t="shared" si="26"/>
        <v>0.90783070232583063</v>
      </c>
      <c r="BH9" s="2" t="str">
        <f t="shared" si="26"/>
        <v/>
      </c>
      <c r="BI9" s="2" t="str">
        <f t="shared" si="26"/>
        <v/>
      </c>
      <c r="BJ9" s="2" t="str">
        <f t="shared" si="26"/>
        <v/>
      </c>
      <c r="BK9" s="20" t="str">
        <f t="shared" si="26"/>
        <v/>
      </c>
      <c r="BL9" s="2" t="str">
        <f t="shared" si="27"/>
        <v/>
      </c>
      <c r="BM9" s="2" t="str">
        <f t="shared" si="27"/>
        <v/>
      </c>
      <c r="BN9" s="2" t="str">
        <f t="shared" si="27"/>
        <v/>
      </c>
      <c r="BO9" s="2" t="str">
        <f t="shared" si="27"/>
        <v/>
      </c>
      <c r="BP9" s="20" t="str">
        <f t="shared" si="27"/>
        <v/>
      </c>
      <c r="BQ9" s="2" t="str">
        <f t="shared" si="27"/>
        <v/>
      </c>
      <c r="BR9" s="2" t="str">
        <f t="shared" si="27"/>
        <v/>
      </c>
      <c r="BU9" s="23"/>
      <c r="BY9" s="25">
        <f t="shared" si="9"/>
        <v>3</v>
      </c>
      <c r="BZ9" s="3">
        <f t="shared" si="10"/>
        <v>22327.013619376008</v>
      </c>
      <c r="CA9" s="3">
        <f t="shared" si="28"/>
        <v>20831</v>
      </c>
      <c r="CB9" s="2">
        <f t="shared" si="29"/>
        <v>0.9329953550940765</v>
      </c>
      <c r="CC9" s="85">
        <f t="shared" si="30"/>
        <v>38</v>
      </c>
      <c r="CD9" s="3" t="str">
        <f t="shared" si="11"/>
        <v>Fixed</v>
      </c>
      <c r="CE9" s="58">
        <f t="shared" si="31"/>
        <v>-1.2418305135889507E-2</v>
      </c>
      <c r="CF9" s="2">
        <f t="array" ref="CF9:CG9">LINEST(AB9:AG9,AB$6:AG$6,TRUE,FALSE)</f>
        <v>-43.114285714285721</v>
      </c>
      <c r="CG9" s="2">
        <v>3622.7333333333336</v>
      </c>
      <c r="CH9" s="1">
        <f>1+IF(G9="CdSCdTe",-0.0025,-0.004)*(S9-PlantData!$S$4)</f>
        <v>1.016164312011929</v>
      </c>
      <c r="CI9" s="128" t="s">
        <v>51</v>
      </c>
      <c r="CJ9">
        <f t="shared" si="12"/>
        <v>1</v>
      </c>
      <c r="CK9" s="2">
        <f t="shared" si="32"/>
        <v>0.96209210643922649</v>
      </c>
      <c r="CL9" s="58">
        <f t="shared" si="33"/>
        <v>-6.2731012592144005E-3</v>
      </c>
      <c r="CN9" s="4">
        <f t="shared" si="34"/>
        <v>0.72</v>
      </c>
      <c r="CO9" s="131" t="s">
        <v>196</v>
      </c>
      <c r="CP9" s="37">
        <f>COUNTIF($T$7:$T$31,$CO9)</f>
        <v>18</v>
      </c>
      <c r="CQ9" s="21">
        <f>AVERAGEIFS($CB$7:$CB$31,$T$7:$T$31,$CO9)</f>
        <v>0.86488952580801637</v>
      </c>
      <c r="CR9" s="90">
        <f>AVERAGEIFS($CE$7:$CE$31,$T$7:$T$31,$CO9)</f>
        <v>-4.2290816147310978E-2</v>
      </c>
      <c r="CS9" s="3"/>
      <c r="CT9" s="3" t="s">
        <v>586</v>
      </c>
      <c r="CU9" s="2">
        <f>AVERAGE($CB$7:$CB$31)</f>
        <v>0.86742565840355768</v>
      </c>
      <c r="CV9" s="69">
        <f>AVERAGE($CE$7:$CE$31)</f>
        <v>-3.402521712728921E-2</v>
      </c>
      <c r="CW9" s="3">
        <f>SUM(CW7:CW8)</f>
        <v>100</v>
      </c>
      <c r="CY9" s="106" t="s">
        <v>587</v>
      </c>
      <c r="CZ9" s="2" t="e">
        <f>SUMPRODUCT(CZ7:CZ8,$DB7:$DB8)/$DB9</f>
        <v>#DIV/0!</v>
      </c>
      <c r="DA9" s="58" t="e">
        <f>SUMPRODUCT(DA7:DA8,$DB7:$DB8)/$DB9</f>
        <v>#DIV/0!</v>
      </c>
      <c r="DB9" s="3">
        <f>SUM(DB7:DB8)</f>
        <v>0</v>
      </c>
      <c r="DC9" s="2">
        <f t="shared" si="35"/>
        <v>1.35</v>
      </c>
      <c r="DD9">
        <f t="shared" si="13"/>
        <v>1</v>
      </c>
      <c r="DJ9" s="6" t="s">
        <v>630</v>
      </c>
      <c r="DK9">
        <f t="shared" si="14"/>
        <v>0</v>
      </c>
      <c r="DL9" s="72">
        <f t="shared" si="15"/>
        <v>0</v>
      </c>
      <c r="DM9" s="2" t="str">
        <f t="shared" si="36"/>
        <v/>
      </c>
      <c r="DN9" s="2" t="str">
        <f t="shared" si="37"/>
        <v/>
      </c>
      <c r="DP9" s="6" t="s">
        <v>635</v>
      </c>
      <c r="DQ9">
        <f>COUNTIF($G$7:$G$31,$DP9)</f>
        <v>0</v>
      </c>
      <c r="DT9" s="3">
        <f t="shared" si="16"/>
        <v>2059.4308390022597</v>
      </c>
      <c r="DU9" s="3">
        <f t="shared" si="17"/>
        <v>13111.340498866301</v>
      </c>
      <c r="DV9" s="3">
        <f t="shared" si="17"/>
        <v>5.7143764172346572</v>
      </c>
      <c r="DW9" s="3">
        <f t="shared" si="17"/>
        <v>19244.295328798165</v>
      </c>
      <c r="DX9" s="3">
        <f t="shared" si="17"/>
        <v>1533.654784580528</v>
      </c>
      <c r="DY9" s="3">
        <f t="shared" si="17"/>
        <v>786.66893424037494</v>
      </c>
      <c r="DZ9" s="3"/>
      <c r="EA9" s="3"/>
      <c r="EC9" s="4">
        <f>SQRT(AVERAGE(DT9:DY9))/AVERAGE(AB9:AG9)</f>
        <v>2.2539361636219411E-2</v>
      </c>
      <c r="ED9" s="160">
        <v>3.6999999999999998E-2</v>
      </c>
      <c r="EE9" s="161">
        <f t="shared" si="18"/>
        <v>1.6415726672818987</v>
      </c>
      <c r="EH9" s="2" t="str">
        <f t="shared" si="38"/>
        <v xml:space="preserve"> </v>
      </c>
      <c r="EI9" s="58" t="str">
        <f t="shared" si="39"/>
        <v xml:space="preserve"> </v>
      </c>
      <c r="EJ9" s="2">
        <f t="shared" si="40"/>
        <v>0.9329953550940765</v>
      </c>
      <c r="EK9" s="58">
        <f t="shared" si="41"/>
        <v>-1.2418305135889507E-2</v>
      </c>
    </row>
    <row r="10" spans="1:141" x14ac:dyDescent="0.3">
      <c r="A10">
        <f t="shared" si="19"/>
        <v>4</v>
      </c>
      <c r="B10" s="6">
        <v>62558</v>
      </c>
      <c r="C10" s="6" t="s">
        <v>702</v>
      </c>
      <c r="D10" s="6">
        <v>2019</v>
      </c>
      <c r="E10" s="6">
        <v>2018</v>
      </c>
      <c r="F10" s="6" t="s">
        <v>252</v>
      </c>
      <c r="G10" s="17" t="s">
        <v>636</v>
      </c>
      <c r="H10" s="17" t="s">
        <v>638</v>
      </c>
      <c r="I10" s="6" t="s">
        <v>35</v>
      </c>
      <c r="J10" s="17">
        <v>25</v>
      </c>
      <c r="K10" s="6" t="s">
        <v>723</v>
      </c>
      <c r="L10" s="12">
        <v>41.498280000000001</v>
      </c>
      <c r="M10" s="12">
        <v>-71.533410000000003</v>
      </c>
      <c r="N10" s="14">
        <v>4.5999999999999996</v>
      </c>
      <c r="O10" s="6">
        <v>3.1</v>
      </c>
      <c r="P10" s="94">
        <f>365.25*4.5</f>
        <v>1643.625</v>
      </c>
      <c r="Q10" s="15" t="s">
        <v>734</v>
      </c>
      <c r="R10" s="14">
        <v>10.199999999999999</v>
      </c>
      <c r="S10" s="3">
        <f t="shared" si="20"/>
        <v>33.865499999999997</v>
      </c>
      <c r="T10" s="128" t="str">
        <f t="shared" si="21"/>
        <v>C</v>
      </c>
      <c r="U10" s="154">
        <v>1424</v>
      </c>
      <c r="V10" s="154">
        <v>674</v>
      </c>
      <c r="W10" s="156">
        <v>0.502</v>
      </c>
      <c r="X10" s="1">
        <f t="shared" si="42"/>
        <v>0.47331460674157305</v>
      </c>
      <c r="Y10" s="162">
        <f t="shared" si="22"/>
        <v>3.9865902337803627E-2</v>
      </c>
      <c r="Z10" s="1">
        <f t="shared" si="23"/>
        <v>0.59555786146898082</v>
      </c>
      <c r="AA10" s="3">
        <f t="shared" si="24"/>
        <v>6232.0303966566325</v>
      </c>
      <c r="AB10" s="6">
        <v>5587</v>
      </c>
      <c r="AC10" s="6">
        <v>6046</v>
      </c>
      <c r="AD10" s="6">
        <v>5820</v>
      </c>
      <c r="AE10" s="6">
        <v>5805</v>
      </c>
      <c r="AF10" s="93">
        <v>5713</v>
      </c>
      <c r="AG10" s="6">
        <v>5704</v>
      </c>
      <c r="AK10" s="23"/>
      <c r="AP10" s="23"/>
      <c r="AU10" s="23"/>
      <c r="AY10" s="32">
        <v>6</v>
      </c>
      <c r="AZ10" s="1">
        <f t="shared" si="25"/>
        <v>0.76437178779231574</v>
      </c>
      <c r="BA10" s="24">
        <f t="shared" si="7"/>
        <v>4</v>
      </c>
      <c r="BB10" s="2">
        <f t="shared" ref="BB10:BQ13" si="43">IF(ISNUMBER(AB10),MIN(1.15,AB10/($AA10*(1-$K$3)^(BB$6-1))),"")</f>
        <v>0.89649755286773325</v>
      </c>
      <c r="BC10" s="2">
        <f t="shared" si="43"/>
        <v>0.97502443390000204</v>
      </c>
      <c r="BD10" s="2">
        <f t="shared" si="43"/>
        <v>0.94329440874534964</v>
      </c>
      <c r="BE10" s="2">
        <f t="shared" si="43"/>
        <v>0.9455911935565724</v>
      </c>
      <c r="BF10" s="20">
        <f t="shared" si="43"/>
        <v>0.93528148733135053</v>
      </c>
      <c r="BG10" s="2">
        <f t="shared" si="43"/>
        <v>0.93850059042596556</v>
      </c>
      <c r="BH10" s="2" t="str">
        <f t="shared" si="43"/>
        <v/>
      </c>
      <c r="BI10" s="2" t="str">
        <f t="shared" si="43"/>
        <v/>
      </c>
      <c r="BJ10" s="2" t="str">
        <f t="shared" si="43"/>
        <v/>
      </c>
      <c r="BK10" s="20" t="str">
        <f t="shared" si="43"/>
        <v/>
      </c>
      <c r="BL10" s="2" t="str">
        <f t="shared" si="43"/>
        <v/>
      </c>
      <c r="BM10" s="2" t="str">
        <f t="shared" si="43"/>
        <v/>
      </c>
      <c r="BN10" s="2" t="str">
        <f t="shared" si="43"/>
        <v/>
      </c>
      <c r="BO10" s="2" t="str">
        <f t="shared" si="43"/>
        <v/>
      </c>
      <c r="BP10" s="20" t="str">
        <f t="shared" si="43"/>
        <v/>
      </c>
      <c r="BQ10" s="2" t="str">
        <f t="shared" si="43"/>
        <v/>
      </c>
      <c r="BU10" s="23"/>
      <c r="BY10" s="25">
        <f t="shared" si="9"/>
        <v>4</v>
      </c>
      <c r="BZ10" s="3">
        <f t="shared" si="10"/>
        <v>36927.884453682389</v>
      </c>
      <c r="CA10" s="3">
        <f t="shared" si="28"/>
        <v>34675</v>
      </c>
      <c r="CB10" s="2">
        <f t="shared" si="29"/>
        <v>0.93899232282022227</v>
      </c>
      <c r="CC10" s="85">
        <f t="shared" si="30"/>
        <v>34</v>
      </c>
      <c r="CD10" s="3" t="str">
        <f t="shared" si="11"/>
        <v>Fixed</v>
      </c>
      <c r="CE10" s="58">
        <f t="shared" si="31"/>
        <v>-2.1209187351941441E-3</v>
      </c>
      <c r="CF10" s="2">
        <f t="array" ref="CF10:CG10">LINEST(AB10:AG10,AB$6:AG$6,TRUE,FALSE)</f>
        <v>-12.257142857142824</v>
      </c>
      <c r="CG10" s="2">
        <v>5822.0666666666666</v>
      </c>
      <c r="CH10" s="1">
        <f>1+IF(G10="CdSCdTe",-0.0025,-0.004)*(S10-PlantData!$S$4)</f>
        <v>1.0303363120119289</v>
      </c>
      <c r="CI10" s="128" t="s">
        <v>86</v>
      </c>
      <c r="CJ10">
        <f t="shared" si="12"/>
        <v>2</v>
      </c>
      <c r="CK10" s="2">
        <f t="shared" si="32"/>
        <v>0.87165066274164071</v>
      </c>
      <c r="CL10" s="58">
        <f t="shared" si="33"/>
        <v>-3.7984742712119739E-3</v>
      </c>
      <c r="CN10" s="3"/>
      <c r="CO10" s="84" t="s">
        <v>586</v>
      </c>
      <c r="CP10" s="37">
        <f>SUM(CP7:CP9)</f>
        <v>25</v>
      </c>
      <c r="CQ10" s="21">
        <f>AVERAGE($CB$7:$CB$31)</f>
        <v>0.86742565840355768</v>
      </c>
      <c r="CR10" s="90">
        <f>AVERAGE($CE$7:$CE$31)</f>
        <v>-3.402521712728921E-2</v>
      </c>
      <c r="CS10" s="3"/>
      <c r="CT10" s="3"/>
      <c r="CU10" s="3"/>
      <c r="CV10" s="3"/>
      <c r="CY10" t="s">
        <v>248</v>
      </c>
      <c r="CZ10" s="2">
        <f>AVERAGEIF($F$7:$F$31,$CY10,$CB$7:$CB$31)</f>
        <v>0.90228826472211987</v>
      </c>
      <c r="DA10" s="58">
        <f>AVERAGEIF($F$7:$F$31,$CY10,$CE$7:$CE$31)</f>
        <v>-5.8167053208246127E-3</v>
      </c>
      <c r="DB10">
        <f>COUNTIF($F$7:$F$31,$CY10)</f>
        <v>3</v>
      </c>
      <c r="DC10" s="2">
        <f t="shared" si="35"/>
        <v>1.4838709677419353</v>
      </c>
      <c r="DD10">
        <f t="shared" si="13"/>
        <v>1</v>
      </c>
      <c r="DJ10" s="6" t="s">
        <v>629</v>
      </c>
      <c r="DK10">
        <f t="shared" si="14"/>
        <v>0</v>
      </c>
      <c r="DL10" s="72">
        <f t="shared" si="15"/>
        <v>0</v>
      </c>
      <c r="DM10" s="2" t="str">
        <f t="shared" si="36"/>
        <v/>
      </c>
      <c r="DN10" s="2" t="str">
        <f t="shared" si="37"/>
        <v/>
      </c>
      <c r="DP10" s="6" t="s">
        <v>982</v>
      </c>
      <c r="DQ10">
        <f>COUNTIF($G$7:$G$31,$DP10)</f>
        <v>0</v>
      </c>
      <c r="DT10" s="3">
        <f t="shared" si="16"/>
        <v>49644.083900226775</v>
      </c>
      <c r="DU10" s="3">
        <f t="shared" ref="DU10:DY14" si="44">($CG10+$CF10*DU$6-AC10)^2</f>
        <v>61726.219410430764</v>
      </c>
      <c r="DV10" s="3">
        <f t="shared" si="44"/>
        <v>1204.4204988661957</v>
      </c>
      <c r="DW10" s="3">
        <f t="shared" si="44"/>
        <v>1021.5633560090475</v>
      </c>
      <c r="DX10" s="3">
        <f t="shared" si="44"/>
        <v>2283.019410430883</v>
      </c>
      <c r="DY10" s="3">
        <f t="shared" si="44"/>
        <v>1982.3696145125218</v>
      </c>
      <c r="DZ10" s="3"/>
      <c r="EA10" s="3"/>
      <c r="EC10" s="4">
        <f>SQRT(AVERAGE(DT10:DY10))/AVERAGE(AB10:AG10)</f>
        <v>2.4251882870101601E-2</v>
      </c>
      <c r="ED10" s="160">
        <v>3.7999999999999999E-2</v>
      </c>
      <c r="EE10" s="161">
        <f t="shared" si="18"/>
        <v>1.566888649575636</v>
      </c>
      <c r="EH10" s="2" t="str">
        <f t="shared" si="38"/>
        <v xml:space="preserve"> </v>
      </c>
      <c r="EI10" s="58" t="str">
        <f t="shared" si="39"/>
        <v xml:space="preserve"> </v>
      </c>
      <c r="EJ10" s="2">
        <f t="shared" si="40"/>
        <v>0.93899232282022227</v>
      </c>
      <c r="EK10" s="58">
        <f t="shared" si="41"/>
        <v>-2.1209187351941441E-3</v>
      </c>
    </row>
    <row r="11" spans="1:141" x14ac:dyDescent="0.3">
      <c r="A11">
        <f t="shared" si="19"/>
        <v>5</v>
      </c>
      <c r="B11" s="6">
        <v>61557</v>
      </c>
      <c r="C11" s="6" t="s">
        <v>703</v>
      </c>
      <c r="D11" s="6">
        <v>2018</v>
      </c>
      <c r="E11" s="6">
        <v>2018</v>
      </c>
      <c r="F11" s="6" t="s">
        <v>252</v>
      </c>
      <c r="G11" s="17" t="s">
        <v>636</v>
      </c>
      <c r="H11" s="17" t="s">
        <v>638</v>
      </c>
      <c r="I11" s="6" t="s">
        <v>36</v>
      </c>
      <c r="J11" s="17">
        <v>0</v>
      </c>
      <c r="K11" s="6" t="s">
        <v>144</v>
      </c>
      <c r="L11" s="12">
        <v>35.08</v>
      </c>
      <c r="M11" s="12">
        <v>-108.86499999999999</v>
      </c>
      <c r="N11" s="14">
        <v>12.5</v>
      </c>
      <c r="O11" s="6">
        <v>10</v>
      </c>
      <c r="P11" s="94">
        <f>365.25*7.8</f>
        <v>2848.95</v>
      </c>
      <c r="Q11" s="15" t="s">
        <v>505</v>
      </c>
      <c r="R11" s="14">
        <v>13.4</v>
      </c>
      <c r="S11" s="3">
        <f t="shared" si="20"/>
        <v>44.966149999999999</v>
      </c>
      <c r="T11" s="128" t="str">
        <f t="shared" si="21"/>
        <v>M</v>
      </c>
      <c r="U11" s="154">
        <v>2034</v>
      </c>
      <c r="V11" s="154">
        <v>528</v>
      </c>
      <c r="W11" s="156">
        <v>0.66200000000000003</v>
      </c>
      <c r="X11" s="1">
        <f t="shared" si="42"/>
        <v>0.25958702064896755</v>
      </c>
      <c r="Y11" s="162">
        <f t="shared" si="22"/>
        <v>6.3531313206120932E-2</v>
      </c>
      <c r="Z11" s="1">
        <f t="shared" si="23"/>
        <v>0.43783766214507003</v>
      </c>
      <c r="AA11" s="3">
        <f t="shared" si="24"/>
        <v>26684.320563945657</v>
      </c>
      <c r="AB11" s="6">
        <v>24949</v>
      </c>
      <c r="AC11" s="6">
        <v>24181</v>
      </c>
      <c r="AD11" s="6">
        <v>25896</v>
      </c>
      <c r="AE11" s="6">
        <v>27675</v>
      </c>
      <c r="AF11" s="93">
        <v>27823</v>
      </c>
      <c r="AG11" s="6">
        <v>27059</v>
      </c>
      <c r="AH11" s="6">
        <v>28052</v>
      </c>
      <c r="AK11" s="23"/>
      <c r="AP11" s="23"/>
      <c r="AU11" s="23"/>
      <c r="AY11" s="32">
        <v>7</v>
      </c>
      <c r="AZ11" s="1">
        <f t="shared" si="25"/>
        <v>0.7446753565850075</v>
      </c>
      <c r="BA11" s="24">
        <f t="shared" si="7"/>
        <v>5</v>
      </c>
      <c r="BB11" s="2">
        <f t="shared" si="43"/>
        <v>0.9349685310597593</v>
      </c>
      <c r="BC11" s="2">
        <f t="shared" si="43"/>
        <v>0.91074129111049018</v>
      </c>
      <c r="BD11" s="2">
        <f t="shared" si="43"/>
        <v>0.98023538454845049</v>
      </c>
      <c r="BE11" s="2">
        <f t="shared" si="43"/>
        <v>1.0528396643154905</v>
      </c>
      <c r="BF11" s="20">
        <f t="shared" si="43"/>
        <v>1.0637889712428406</v>
      </c>
      <c r="BG11" s="2">
        <f t="shared" si="43"/>
        <v>1.0397769595148956</v>
      </c>
      <c r="BH11" s="2">
        <f t="shared" si="43"/>
        <v>1.0833510197913643</v>
      </c>
      <c r="BI11" s="2" t="str">
        <f t="shared" si="43"/>
        <v/>
      </c>
      <c r="BJ11" s="2" t="str">
        <f t="shared" si="43"/>
        <v/>
      </c>
      <c r="BK11" s="20" t="str">
        <f t="shared" si="43"/>
        <v/>
      </c>
      <c r="BL11" s="2" t="str">
        <f t="shared" si="43"/>
        <v/>
      </c>
      <c r="BM11" s="2" t="str">
        <f t="shared" si="43"/>
        <v/>
      </c>
      <c r="BN11" s="2" t="str">
        <f t="shared" si="43"/>
        <v/>
      </c>
      <c r="BO11" s="2" t="str">
        <f t="shared" si="43"/>
        <v/>
      </c>
      <c r="BP11" s="20" t="str">
        <f t="shared" si="43"/>
        <v/>
      </c>
      <c r="BQ11" s="2" t="str">
        <f t="shared" si="43"/>
        <v/>
      </c>
      <c r="BU11" s="23"/>
      <c r="BY11" s="25">
        <f t="shared" si="9"/>
        <v>5</v>
      </c>
      <c r="BZ11" s="3">
        <f t="shared" si="10"/>
        <v>184011.6226746444</v>
      </c>
      <c r="CA11" s="3">
        <f t="shared" si="28"/>
        <v>185635</v>
      </c>
      <c r="CB11" s="2">
        <f t="shared" si="29"/>
        <v>1.0088221455892812</v>
      </c>
      <c r="CC11" s="85">
        <f t="shared" si="30"/>
        <v>10</v>
      </c>
      <c r="CD11" s="3" t="str">
        <f t="shared" si="11"/>
        <v>Tracker</v>
      </c>
      <c r="CE11" s="58">
        <f t="shared" si="31"/>
        <v>2.2883615697470834E-2</v>
      </c>
      <c r="CF11" s="2">
        <f t="array" ref="CF11:CG11">LINEST(AB11:AH11,AB$6:AH$6,TRUE,FALSE)</f>
        <v>606.85714285714266</v>
      </c>
      <c r="CG11" s="2">
        <v>24091.857142857145</v>
      </c>
      <c r="CH11" s="1">
        <f>1+IF(G11="CdSCdTe",-0.0025,-0.004)*(S11-PlantData!$S$4)</f>
        <v>0.98593371201192892</v>
      </c>
      <c r="CI11" s="128" t="s">
        <v>83</v>
      </c>
      <c r="CJ11">
        <f t="shared" si="12"/>
        <v>0</v>
      </c>
      <c r="CK11" s="2" t="str">
        <f t="shared" si="32"/>
        <v/>
      </c>
      <c r="CL11" s="58" t="str">
        <f t="shared" si="33"/>
        <v/>
      </c>
      <c r="CN11" s="3"/>
      <c r="CO11" s="3"/>
      <c r="CP11" s="3"/>
      <c r="CQ11" s="3"/>
      <c r="CR11" s="3"/>
      <c r="CS11" s="3"/>
      <c r="CT11" s="3"/>
      <c r="CU11" s="3"/>
      <c r="CV11" s="3"/>
      <c r="CY11" t="s">
        <v>297</v>
      </c>
      <c r="CZ11" s="2" t="e">
        <f>AVERAGEIF($F$7:$F$31,$CY11,$CB$7:$CB$31)</f>
        <v>#DIV/0!</v>
      </c>
      <c r="DA11" s="58" t="e">
        <f>AVERAGEIF($F$7:$F$31,$CY11,$CE$7:$CE$31)</f>
        <v>#DIV/0!</v>
      </c>
      <c r="DB11">
        <f>COUNTIF($F$7:$F$31,$CY11)</f>
        <v>0</v>
      </c>
      <c r="DC11" s="2">
        <f t="shared" si="35"/>
        <v>1.25</v>
      </c>
      <c r="DD11">
        <f t="shared" si="13"/>
        <v>0</v>
      </c>
      <c r="DJ11" s="6" t="s">
        <v>641</v>
      </c>
      <c r="DK11">
        <f t="shared" si="14"/>
        <v>0</v>
      </c>
      <c r="DL11" s="72">
        <f t="shared" si="15"/>
        <v>0</v>
      </c>
      <c r="DM11" s="2" t="str">
        <f t="shared" si="36"/>
        <v/>
      </c>
      <c r="DN11" s="2" t="str">
        <f t="shared" si="37"/>
        <v/>
      </c>
      <c r="DP11" s="6" t="s">
        <v>638</v>
      </c>
      <c r="DQ11" s="33">
        <f>COUNTIF($G$7:$G$31,$DP11)</f>
        <v>1</v>
      </c>
      <c r="DT11" s="3">
        <f t="shared" si="16"/>
        <v>62642.938775509945</v>
      </c>
      <c r="DU11" s="3">
        <f t="shared" si="44"/>
        <v>1264660.8979591895</v>
      </c>
      <c r="DV11" s="3">
        <f t="shared" si="44"/>
        <v>269.8979591837076</v>
      </c>
      <c r="DW11" s="3">
        <f t="shared" si="44"/>
        <v>1335675.5102040744</v>
      </c>
      <c r="DX11" s="3">
        <f t="shared" si="44"/>
        <v>485609.87755101826</v>
      </c>
      <c r="DY11" s="3">
        <f t="shared" si="44"/>
        <v>454276</v>
      </c>
      <c r="DZ11" s="3">
        <f>($CG11+$CF11*DZ$6-AH11)^2</f>
        <v>82861.734693878752</v>
      </c>
      <c r="EA11" s="3"/>
      <c r="EC11" s="4">
        <f>SQRT(AVERAGE(DT11:DZ11))/AVERAGE(AB11:AH11)</f>
        <v>2.7363184448693338E-2</v>
      </c>
      <c r="ED11" s="160">
        <v>4.2999999999999997E-2</v>
      </c>
      <c r="EE11" s="161">
        <f t="shared" si="18"/>
        <v>1.5714545242578064</v>
      </c>
      <c r="EH11" s="2" t="str">
        <f t="shared" si="38"/>
        <v xml:space="preserve"> </v>
      </c>
      <c r="EI11" s="58" t="str">
        <f t="shared" si="39"/>
        <v xml:space="preserve"> </v>
      </c>
      <c r="EJ11" s="2" t="str">
        <f t="shared" si="40"/>
        <v xml:space="preserve"> </v>
      </c>
      <c r="EK11" s="58" t="str">
        <f t="shared" si="41"/>
        <v xml:space="preserve"> </v>
      </c>
    </row>
    <row r="12" spans="1:141" x14ac:dyDescent="0.3">
      <c r="A12">
        <f t="shared" si="19"/>
        <v>6</v>
      </c>
      <c r="B12" s="6">
        <v>62075</v>
      </c>
      <c r="C12" s="6" t="s">
        <v>704</v>
      </c>
      <c r="D12" s="6">
        <v>2018</v>
      </c>
      <c r="E12" s="6">
        <v>2018</v>
      </c>
      <c r="F12" s="6" t="s">
        <v>252</v>
      </c>
      <c r="G12" s="17" t="s">
        <v>636</v>
      </c>
      <c r="H12" s="17" t="s">
        <v>638</v>
      </c>
      <c r="I12" s="6" t="s">
        <v>35</v>
      </c>
      <c r="J12" s="17">
        <v>5</v>
      </c>
      <c r="K12" s="6" t="s">
        <v>23</v>
      </c>
      <c r="L12" s="12">
        <v>32.166499999999999</v>
      </c>
      <c r="M12" s="12">
        <v>-110.8167</v>
      </c>
      <c r="N12" s="14">
        <v>1.4</v>
      </c>
      <c r="O12" s="6">
        <v>1.1000000000000001</v>
      </c>
      <c r="P12" s="94">
        <f>365.25*6</f>
        <v>2191.5</v>
      </c>
      <c r="Q12" s="15" t="s">
        <v>571</v>
      </c>
      <c r="R12" s="14">
        <v>20.2</v>
      </c>
      <c r="S12" s="3">
        <f t="shared" si="20"/>
        <v>47.938000000000002</v>
      </c>
      <c r="T12" s="128" t="str">
        <f t="shared" si="21"/>
        <v>M</v>
      </c>
      <c r="U12" s="154">
        <v>2082</v>
      </c>
      <c r="V12" s="154">
        <v>544</v>
      </c>
      <c r="W12" s="156">
        <v>0.65800000000000003</v>
      </c>
      <c r="X12" s="1">
        <f t="shared" si="42"/>
        <v>0.26128722382324687</v>
      </c>
      <c r="Y12" s="162">
        <f t="shared" si="22"/>
        <v>5.0513970308269651E-3</v>
      </c>
      <c r="Z12" s="1">
        <f t="shared" si="23"/>
        <v>0.93644156019393499</v>
      </c>
      <c r="AA12" s="3">
        <f t="shared" si="24"/>
        <v>2390.7771919070392</v>
      </c>
      <c r="AB12" s="6">
        <v>2798</v>
      </c>
      <c r="AC12" s="6">
        <v>1702</v>
      </c>
      <c r="AD12" s="6">
        <v>1192</v>
      </c>
      <c r="AE12" s="6">
        <v>1201</v>
      </c>
      <c r="AF12" s="93">
        <v>1512</v>
      </c>
      <c r="AG12" s="6">
        <v>2404</v>
      </c>
      <c r="AH12" s="6">
        <v>788</v>
      </c>
      <c r="AK12" s="23"/>
      <c r="AP12" s="23"/>
      <c r="AU12" s="23"/>
      <c r="AY12" s="32">
        <v>7</v>
      </c>
      <c r="AZ12" s="1">
        <f t="shared" si="25"/>
        <v>0.53998053704712556</v>
      </c>
      <c r="BA12" s="24">
        <f t="shared" si="7"/>
        <v>6</v>
      </c>
      <c r="BB12" s="2">
        <f t="shared" si="43"/>
        <v>1.1499999999999999</v>
      </c>
      <c r="BC12" s="2">
        <f t="shared" si="43"/>
        <v>0.71547979025793174</v>
      </c>
      <c r="BD12" s="2">
        <f t="shared" si="43"/>
        <v>0.50360610926988325</v>
      </c>
      <c r="BE12" s="2">
        <f t="shared" si="43"/>
        <v>0.50995829586955732</v>
      </c>
      <c r="BF12" s="20">
        <f t="shared" si="43"/>
        <v>0.64523863560497796</v>
      </c>
      <c r="BG12" s="2">
        <f t="shared" si="43"/>
        <v>1.0310505437201662</v>
      </c>
      <c r="BH12" s="2">
        <f t="shared" si="43"/>
        <v>0.33966330339362832</v>
      </c>
      <c r="BI12" s="2" t="str">
        <f t="shared" si="43"/>
        <v/>
      </c>
      <c r="BJ12" s="2" t="str">
        <f t="shared" si="43"/>
        <v/>
      </c>
      <c r="BK12" s="20" t="str">
        <f t="shared" si="43"/>
        <v/>
      </c>
      <c r="BL12" s="2" t="str">
        <f t="shared" si="43"/>
        <v/>
      </c>
      <c r="BM12" s="2" t="str">
        <f t="shared" si="43"/>
        <v/>
      </c>
      <c r="BN12" s="2" t="str">
        <f t="shared" si="43"/>
        <v/>
      </c>
      <c r="BO12" s="2" t="str">
        <f t="shared" si="43"/>
        <v/>
      </c>
      <c r="BP12" s="20" t="str">
        <f t="shared" si="43"/>
        <v/>
      </c>
      <c r="BQ12" s="2" t="str">
        <f t="shared" si="43"/>
        <v/>
      </c>
      <c r="BU12" s="23"/>
      <c r="BY12" s="25">
        <f t="shared" si="9"/>
        <v>6</v>
      </c>
      <c r="BZ12" s="3">
        <f t="shared" si="10"/>
        <v>16486.490239918403</v>
      </c>
      <c r="CA12" s="3">
        <f t="shared" si="28"/>
        <v>11597</v>
      </c>
      <c r="CB12" s="2">
        <f t="shared" si="29"/>
        <v>0.70342443001727684</v>
      </c>
      <c r="CC12" s="85">
        <f t="shared" si="30"/>
        <v>90</v>
      </c>
      <c r="CD12" s="3" t="str">
        <f t="shared" si="11"/>
        <v>Fixed</v>
      </c>
      <c r="CE12" s="58">
        <f t="shared" si="31"/>
        <v>-9.2825730792446298E-2</v>
      </c>
      <c r="CF12" s="2">
        <f t="array" ref="CF12:CG12">LINEST(AB12:AH12,AB$6:AH$6,TRUE,FALSE)</f>
        <v>-153.78571428571428</v>
      </c>
      <c r="CG12" s="2">
        <v>2271.8571428571431</v>
      </c>
      <c r="CH12" s="1">
        <f>1+IF(G12="CdSCdTe",-0.0025,-0.004)*(S12-PlantData!$S$4)</f>
        <v>0.97404631201192893</v>
      </c>
      <c r="CI12" s="128" t="s">
        <v>23</v>
      </c>
      <c r="CJ12">
        <f t="shared" si="12"/>
        <v>1</v>
      </c>
      <c r="CK12" s="2">
        <f t="shared" si="32"/>
        <v>0.70342443001727684</v>
      </c>
      <c r="CL12" s="58">
        <f t="shared" si="33"/>
        <v>-9.2825730792446298E-2</v>
      </c>
      <c r="CN12" s="4">
        <f>CN9</f>
        <v>0.72</v>
      </c>
      <c r="CO12" s="3" t="s">
        <v>801</v>
      </c>
      <c r="CP12" s="3">
        <f>CP9</f>
        <v>18</v>
      </c>
      <c r="CQ12" s="3"/>
      <c r="CR12" s="3"/>
      <c r="CS12" s="3"/>
      <c r="CT12" s="3"/>
      <c r="CU12" s="3"/>
      <c r="CV12" s="3"/>
      <c r="CY12" s="33" t="s">
        <v>252</v>
      </c>
      <c r="CZ12" s="21">
        <f>AVERAGEIF($F$7:$F$31,$CY12,$CB$7:$CB$31)</f>
        <v>0.86267166663284456</v>
      </c>
      <c r="DA12" s="60">
        <f>AVERAGEIF($F$7:$F$31,$CY12,$CE$7:$CE$31)</f>
        <v>-3.7871832373625292E-2</v>
      </c>
      <c r="DB12" s="33">
        <f>COUNTIF($F$7:$F$31,$CY12)</f>
        <v>22</v>
      </c>
      <c r="DC12" s="2">
        <f t="shared" si="35"/>
        <v>1.2727272727272725</v>
      </c>
      <c r="DD12">
        <f t="shared" si="13"/>
        <v>0</v>
      </c>
      <c r="DJ12" s="6" t="s">
        <v>640</v>
      </c>
      <c r="DK12">
        <f t="shared" si="14"/>
        <v>0</v>
      </c>
      <c r="DL12" s="72">
        <f t="shared" si="15"/>
        <v>0</v>
      </c>
      <c r="DM12" s="2" t="str">
        <f t="shared" si="36"/>
        <v/>
      </c>
      <c r="DN12" s="2" t="str">
        <f t="shared" si="37"/>
        <v/>
      </c>
      <c r="DQ12">
        <f>SUM(DQ7:DQ11)</f>
        <v>25</v>
      </c>
      <c r="DT12" s="3">
        <f t="shared" si="16"/>
        <v>462302.86224489752</v>
      </c>
      <c r="DU12" s="3">
        <f t="shared" si="44"/>
        <v>68793.795918367556</v>
      </c>
      <c r="DV12" s="3">
        <f t="shared" si="44"/>
        <v>382542.25000000029</v>
      </c>
      <c r="DW12" s="3">
        <f t="shared" si="44"/>
        <v>207675.51020408189</v>
      </c>
      <c r="DX12" s="3">
        <f t="shared" si="44"/>
        <v>82.290816326524123</v>
      </c>
      <c r="DY12" s="3">
        <f t="shared" si="44"/>
        <v>1112723.5918367342</v>
      </c>
      <c r="DZ12" s="3">
        <f>($CG12+$CF12*DZ$6-AH12)^2</f>
        <v>165939.84183673491</v>
      </c>
      <c r="EA12" s="3"/>
      <c r="EC12" s="4">
        <f>SQRT(AVERAGE(DT12:DZ12))/AVERAGE(AB12:AH12)</f>
        <v>0.35343896376678779</v>
      </c>
      <c r="ED12" s="160">
        <v>0.02</v>
      </c>
      <c r="EE12" s="161">
        <f t="shared" si="18"/>
        <v>5.6586856714521003E-2</v>
      </c>
      <c r="EH12" s="2" t="str">
        <f t="shared" si="38"/>
        <v xml:space="preserve"> </v>
      </c>
      <c r="EI12" s="58" t="str">
        <f t="shared" si="39"/>
        <v xml:space="preserve"> </v>
      </c>
      <c r="EJ12" s="2" t="str">
        <f t="shared" si="40"/>
        <v xml:space="preserve"> </v>
      </c>
      <c r="EK12" s="58" t="str">
        <f t="shared" si="41"/>
        <v xml:space="preserve"> </v>
      </c>
    </row>
    <row r="13" spans="1:141" x14ac:dyDescent="0.3">
      <c r="A13">
        <f t="shared" si="19"/>
        <v>7</v>
      </c>
      <c r="B13" s="6">
        <v>61983</v>
      </c>
      <c r="C13" s="6" t="s">
        <v>705</v>
      </c>
      <c r="D13" s="6">
        <v>2019</v>
      </c>
      <c r="E13" s="6">
        <v>2018</v>
      </c>
      <c r="F13" s="6" t="s">
        <v>252</v>
      </c>
      <c r="G13" s="17" t="s">
        <v>636</v>
      </c>
      <c r="H13" s="17" t="s">
        <v>638</v>
      </c>
      <c r="I13" s="6" t="s">
        <v>35</v>
      </c>
      <c r="J13" s="17">
        <v>25</v>
      </c>
      <c r="K13" s="6" t="s">
        <v>687</v>
      </c>
      <c r="L13" s="12">
        <v>44.790700000000001</v>
      </c>
      <c r="M13" s="12">
        <v>-92.872699999999995</v>
      </c>
      <c r="N13" s="14">
        <v>6.4</v>
      </c>
      <c r="O13" s="6">
        <v>4.9000000000000004</v>
      </c>
      <c r="P13" s="94">
        <f>365.25*4.6</f>
        <v>1680.1499999999999</v>
      </c>
      <c r="Q13" s="15" t="s">
        <v>735</v>
      </c>
      <c r="R13" s="14">
        <v>7.2</v>
      </c>
      <c r="S13" s="3">
        <f t="shared" si="20"/>
        <v>31.136999999999997</v>
      </c>
      <c r="T13" s="128" t="str">
        <f t="shared" si="21"/>
        <v>C</v>
      </c>
      <c r="U13" s="154">
        <v>1424</v>
      </c>
      <c r="V13" s="154">
        <v>637</v>
      </c>
      <c r="W13" s="156">
        <v>0.52500000000000002</v>
      </c>
      <c r="X13" s="1">
        <f t="shared" si="42"/>
        <v>0.4473314606741573</v>
      </c>
      <c r="Y13" s="162">
        <f t="shared" si="22"/>
        <v>7.0351259711075587E-3</v>
      </c>
      <c r="Z13" s="1">
        <f t="shared" si="23"/>
        <v>0.91260088783651672</v>
      </c>
      <c r="AA13" s="3">
        <f t="shared" si="24"/>
        <v>8957.2183640414332</v>
      </c>
      <c r="AB13" s="6">
        <v>6682</v>
      </c>
      <c r="AC13" s="6">
        <v>7217</v>
      </c>
      <c r="AD13" s="6">
        <v>6364</v>
      </c>
      <c r="AE13" s="6">
        <v>6234</v>
      </c>
      <c r="AF13" s="93">
        <v>7051</v>
      </c>
      <c r="AG13" s="6">
        <v>6932</v>
      </c>
      <c r="AK13" s="23"/>
      <c r="AP13" s="23"/>
      <c r="AU13" s="23"/>
      <c r="AY13" s="32">
        <v>6</v>
      </c>
      <c r="AZ13" s="1">
        <f t="shared" si="25"/>
        <v>0.62742413871777336</v>
      </c>
      <c r="BA13" s="24">
        <f t="shared" si="7"/>
        <v>7</v>
      </c>
      <c r="BB13" s="2">
        <f t="shared" si="43"/>
        <v>0.74599052165845925</v>
      </c>
      <c r="BC13" s="2">
        <f t="shared" si="43"/>
        <v>0.80976772440609224</v>
      </c>
      <c r="BD13" s="2">
        <f t="shared" si="43"/>
        <v>0.71764695698533831</v>
      </c>
      <c r="BE13" s="2">
        <f t="shared" si="43"/>
        <v>0.7065198920192729</v>
      </c>
      <c r="BF13" s="20">
        <f t="shared" si="43"/>
        <v>0.8031288554785303</v>
      </c>
      <c r="BG13" s="2">
        <f t="shared" si="43"/>
        <v>0.79354212933582569</v>
      </c>
      <c r="BH13" s="2" t="str">
        <f t="shared" si="43"/>
        <v/>
      </c>
      <c r="BI13" s="2" t="str">
        <f t="shared" si="43"/>
        <v/>
      </c>
      <c r="BJ13" s="2" t="str">
        <f t="shared" si="43"/>
        <v/>
      </c>
      <c r="BK13" s="20" t="str">
        <f t="shared" si="43"/>
        <v/>
      </c>
      <c r="BL13" s="2" t="str">
        <f t="shared" si="43"/>
        <v/>
      </c>
      <c r="BM13" s="2" t="str">
        <f t="shared" si="43"/>
        <v/>
      </c>
      <c r="BN13" s="2" t="str">
        <f t="shared" si="43"/>
        <v/>
      </c>
      <c r="BO13" s="2" t="str">
        <f t="shared" si="43"/>
        <v/>
      </c>
      <c r="BP13" s="20" t="str">
        <f t="shared" si="43"/>
        <v/>
      </c>
      <c r="BQ13" s="2" t="str">
        <f t="shared" si="43"/>
        <v/>
      </c>
      <c r="BR13" s="2" t="str">
        <f>IF(ISNUMBER(AR13),MIN(1.15,AR13/($AA13*(1-$K$3)^(BR$6-1))),"")</f>
        <v/>
      </c>
      <c r="BU13" s="23"/>
      <c r="BY13" s="25">
        <f t="shared" si="9"/>
        <v>7</v>
      </c>
      <c r="BZ13" s="3">
        <f t="shared" si="10"/>
        <v>53075.980654904466</v>
      </c>
      <c r="CA13" s="3">
        <f t="shared" si="28"/>
        <v>40480</v>
      </c>
      <c r="CB13" s="1">
        <f t="shared" si="29"/>
        <v>0.76268020864649744</v>
      </c>
      <c r="CC13" s="85">
        <f t="shared" si="30"/>
        <v>82</v>
      </c>
      <c r="CD13" s="3" t="str">
        <f t="shared" si="11"/>
        <v>Fixed</v>
      </c>
      <c r="CE13" s="58">
        <f t="shared" si="31"/>
        <v>2.634105025409375E-3</v>
      </c>
      <c r="CF13" s="2">
        <f t="array" ref="CF13:CG13">LINEST(AB13:AG13,AB$6:AG$6,TRUE,FALSE)</f>
        <v>17.771428571428583</v>
      </c>
      <c r="CG13">
        <v>6684.4666666666672</v>
      </c>
      <c r="CH13" s="1">
        <f>1+IF(G13="CdSCdTe",-0.0025,-0.004)*(S13-PlantData!$S$4)</f>
        <v>1.041250312011929</v>
      </c>
      <c r="CI13" s="128" t="s">
        <v>109</v>
      </c>
      <c r="CJ13">
        <f t="shared" si="12"/>
        <v>1</v>
      </c>
      <c r="CK13" s="2">
        <f t="shared" si="32"/>
        <v>0.92456425541434972</v>
      </c>
      <c r="CL13" s="58">
        <f t="shared" si="33"/>
        <v>-4.669138557256404E-3</v>
      </c>
      <c r="CN13" s="4">
        <f>CN8</f>
        <v>0.24</v>
      </c>
      <c r="CO13" s="3" t="s">
        <v>956</v>
      </c>
      <c r="CP13" s="3">
        <f>CP8</f>
        <v>6</v>
      </c>
      <c r="CQ13" s="3"/>
      <c r="CR13" s="3"/>
      <c r="CS13" s="3"/>
      <c r="CT13" s="3"/>
      <c r="CU13" s="3"/>
      <c r="CV13" s="3"/>
      <c r="CY13" t="s">
        <v>586</v>
      </c>
      <c r="CZ13" s="2">
        <f>AVERAGE($CB$7:$CB$31)</f>
        <v>0.86742565840355768</v>
      </c>
      <c r="DA13" s="69">
        <f>AVERAGE($CE$7:$CE$31)</f>
        <v>-3.402521712728921E-2</v>
      </c>
      <c r="DB13" s="3">
        <f>SUM(DB9:DB12)</f>
        <v>25</v>
      </c>
      <c r="DC13" s="2">
        <f t="shared" si="35"/>
        <v>1.3061224489795917</v>
      </c>
      <c r="DD13">
        <f t="shared" si="13"/>
        <v>1</v>
      </c>
      <c r="DJ13" s="6" t="s">
        <v>644</v>
      </c>
      <c r="DK13">
        <f t="shared" si="14"/>
        <v>3</v>
      </c>
      <c r="DL13" s="72">
        <f t="shared" si="15"/>
        <v>79.100000000000009</v>
      </c>
      <c r="DM13" s="2">
        <f t="shared" si="36"/>
        <v>0.90228826472211987</v>
      </c>
      <c r="DN13" s="2">
        <f t="shared" si="37"/>
        <v>-5.8167053208246127E-3</v>
      </c>
      <c r="DT13" s="3">
        <f t="shared" si="16"/>
        <v>409.58049886622018</v>
      </c>
      <c r="DU13" s="3">
        <f t="shared" si="44"/>
        <v>246999.5334240355</v>
      </c>
      <c r="DV13" s="3">
        <f t="shared" si="44"/>
        <v>139712.20036281215</v>
      </c>
      <c r="DW13" s="3">
        <f t="shared" si="44"/>
        <v>272016.88607709768</v>
      </c>
      <c r="DX13" s="3">
        <f t="shared" si="44"/>
        <v>77104.066757369204</v>
      </c>
      <c r="DY13" s="3">
        <f t="shared" si="44"/>
        <v>19854.15192743752</v>
      </c>
      <c r="DZ13" s="3"/>
      <c r="EA13" s="3"/>
      <c r="EC13" s="4">
        <f>SQRT(AVERAGE(DT13:DY13))/AVERAGE(AB13:AG13)</f>
        <v>5.2616712760201356E-2</v>
      </c>
      <c r="ED13" s="160">
        <v>3.7999999999999999E-2</v>
      </c>
      <c r="EE13" s="161">
        <f t="shared" si="18"/>
        <v>0.72220399197463236</v>
      </c>
      <c r="EH13" s="2" t="str">
        <f t="shared" si="38"/>
        <v xml:space="preserve"> </v>
      </c>
      <c r="EI13" s="58" t="str">
        <f t="shared" si="39"/>
        <v xml:space="preserve"> </v>
      </c>
      <c r="EJ13" s="2">
        <f t="shared" si="40"/>
        <v>0.76268020864649744</v>
      </c>
      <c r="EK13" s="58">
        <f t="shared" si="41"/>
        <v>2.634105025409375E-3</v>
      </c>
    </row>
    <row r="14" spans="1:141" x14ac:dyDescent="0.3">
      <c r="A14">
        <f t="shared" si="19"/>
        <v>8</v>
      </c>
      <c r="B14" s="6">
        <v>61506</v>
      </c>
      <c r="C14" s="6" t="s">
        <v>706</v>
      </c>
      <c r="D14" s="6">
        <v>2019</v>
      </c>
      <c r="E14" s="6">
        <v>2018</v>
      </c>
      <c r="F14" s="6" t="s">
        <v>252</v>
      </c>
      <c r="G14" s="17" t="s">
        <v>636</v>
      </c>
      <c r="H14" s="17" t="s">
        <v>638</v>
      </c>
      <c r="I14" s="6" t="s">
        <v>35</v>
      </c>
      <c r="J14" s="17">
        <v>30</v>
      </c>
      <c r="K14" s="6" t="s">
        <v>687</v>
      </c>
      <c r="L14" s="12">
        <v>44.79562</v>
      </c>
      <c r="M14" s="12">
        <v>-95.200999999999993</v>
      </c>
      <c r="N14" s="14">
        <v>1.4</v>
      </c>
      <c r="O14" s="14">
        <v>1</v>
      </c>
      <c r="P14" s="94">
        <f>365.25*4.6</f>
        <v>1680.1499999999999</v>
      </c>
      <c r="Q14" s="15" t="s">
        <v>736</v>
      </c>
      <c r="R14" s="14">
        <v>5.3</v>
      </c>
      <c r="S14" s="3">
        <f t="shared" si="20"/>
        <v>29.236999999999998</v>
      </c>
      <c r="T14" s="128" t="str">
        <f t="shared" si="21"/>
        <v>C</v>
      </c>
      <c r="U14" s="154">
        <v>1388</v>
      </c>
      <c r="V14" s="154">
        <v>635</v>
      </c>
      <c r="W14" s="156">
        <v>0.51100000000000001</v>
      </c>
      <c r="X14" s="1">
        <f t="shared" si="42"/>
        <v>0.45749279538904897</v>
      </c>
      <c r="Y14" s="162">
        <f t="shared" si="22"/>
        <v>2.6050308005763689E-2</v>
      </c>
      <c r="Z14" s="1">
        <f t="shared" si="23"/>
        <v>0.71272900776495085</v>
      </c>
      <c r="AA14" s="3">
        <f t="shared" si="24"/>
        <v>1973.6929539340636</v>
      </c>
      <c r="AB14" s="6">
        <v>1749</v>
      </c>
      <c r="AC14" s="6">
        <v>1522</v>
      </c>
      <c r="AD14" s="6">
        <v>1877</v>
      </c>
      <c r="AE14" s="6">
        <v>1523</v>
      </c>
      <c r="AF14" s="93">
        <v>1906</v>
      </c>
      <c r="AG14" s="6">
        <v>1802</v>
      </c>
      <c r="AK14" s="23"/>
      <c r="AP14" s="23"/>
      <c r="AU14" s="23"/>
      <c r="AY14" s="32">
        <v>6</v>
      </c>
      <c r="AZ14" s="1">
        <f t="shared" si="25"/>
        <v>0.73540769460776612</v>
      </c>
      <c r="BA14" s="24">
        <f t="shared" si="7"/>
        <v>8</v>
      </c>
      <c r="BB14" s="2">
        <f t="shared" ref="BB14:BP19" si="45">IF(ISNUMBER(AB14),MIN(1.15,AB14/($AA14*(1-$K$3)^(BB$6-1))),"")</f>
        <v>0.88615607433456445</v>
      </c>
      <c r="BC14" s="2">
        <f t="shared" si="45"/>
        <v>0.77501834221835708</v>
      </c>
      <c r="BD14" s="2">
        <f t="shared" si="45"/>
        <v>0.96059101575146177</v>
      </c>
      <c r="BE14" s="2">
        <f t="shared" si="45"/>
        <v>0.78334138298818345</v>
      </c>
      <c r="BF14" s="20">
        <f t="shared" si="45"/>
        <v>0.98526029753196565</v>
      </c>
      <c r="BG14" s="2">
        <f t="shared" si="45"/>
        <v>0.93618093413162451</v>
      </c>
      <c r="BH14" s="2" t="str">
        <f t="shared" si="45"/>
        <v/>
      </c>
      <c r="BI14" s="2" t="str">
        <f t="shared" si="45"/>
        <v/>
      </c>
      <c r="BJ14" s="2" t="str">
        <f t="shared" si="45"/>
        <v/>
      </c>
      <c r="BK14" s="20" t="str">
        <f t="shared" si="45"/>
        <v/>
      </c>
      <c r="BL14" s="2" t="str">
        <f t="shared" si="45"/>
        <v/>
      </c>
      <c r="BM14" s="2" t="str">
        <f t="shared" si="45"/>
        <v/>
      </c>
      <c r="BN14" s="2" t="str">
        <f t="shared" si="45"/>
        <v/>
      </c>
      <c r="BO14" s="2" t="str">
        <f t="shared" si="45"/>
        <v/>
      </c>
      <c r="BP14" s="20" t="str">
        <f t="shared" si="45"/>
        <v/>
      </c>
      <c r="BU14" s="23"/>
      <c r="BY14" s="25">
        <f t="shared" si="9"/>
        <v>8</v>
      </c>
      <c r="BZ14" s="3">
        <f t="shared" si="10"/>
        <v>11695.113905257143</v>
      </c>
      <c r="CA14" s="3">
        <f t="shared" si="28"/>
        <v>10379</v>
      </c>
      <c r="CB14" s="2">
        <f t="shared" si="29"/>
        <v>0.88746463558037436</v>
      </c>
      <c r="CC14" s="85">
        <f t="shared" si="30"/>
        <v>50</v>
      </c>
      <c r="CD14" s="3" t="str">
        <f t="shared" si="11"/>
        <v>Fixed</v>
      </c>
      <c r="CE14" s="58">
        <f t="shared" si="31"/>
        <v>1.7557430525924591E-2</v>
      </c>
      <c r="CF14" s="2">
        <f t="array" ref="CF14:CG14">LINEST(AB14:AG14,AB$6:AG$6,TRUE,FALSE)</f>
        <v>30.371428571428556</v>
      </c>
      <c r="CG14">
        <v>1623.5333333333333</v>
      </c>
      <c r="CH14" s="1">
        <f>1+IF(G14="CdSCdTe",-0.0025,-0.004)*(S14-PlantData!$S$4)</f>
        <v>1.048850312011929</v>
      </c>
      <c r="CI14" s="128" t="s">
        <v>144</v>
      </c>
      <c r="CJ14">
        <f t="shared" si="12"/>
        <v>1</v>
      </c>
      <c r="CK14" s="2">
        <f t="shared" si="32"/>
        <v>1.0088221455892812</v>
      </c>
      <c r="CL14" s="58">
        <f t="shared" si="33"/>
        <v>2.2883615697470834E-2</v>
      </c>
      <c r="CN14" s="4">
        <f>CN7</f>
        <v>0.04</v>
      </c>
      <c r="CO14" s="3" t="s">
        <v>800</v>
      </c>
      <c r="CP14" s="3">
        <f>CP7</f>
        <v>1</v>
      </c>
      <c r="CQ14" s="3"/>
      <c r="CR14" s="3"/>
      <c r="CS14" s="3"/>
      <c r="CT14" s="3"/>
      <c r="CU14" s="3"/>
      <c r="CV14" s="3"/>
      <c r="DC14" s="2">
        <f t="shared" si="35"/>
        <v>1.4</v>
      </c>
      <c r="DD14">
        <f t="shared" si="13"/>
        <v>1</v>
      </c>
      <c r="DJ14" s="6" t="s">
        <v>642</v>
      </c>
      <c r="DK14">
        <f t="shared" si="14"/>
        <v>0</v>
      </c>
      <c r="DL14" s="72">
        <f t="shared" si="15"/>
        <v>0</v>
      </c>
      <c r="DM14" s="2" t="str">
        <f t="shared" si="36"/>
        <v/>
      </c>
      <c r="DN14" s="2" t="str">
        <f t="shared" si="37"/>
        <v/>
      </c>
      <c r="DT14" s="3">
        <f t="shared" si="16"/>
        <v>9043.1043083900186</v>
      </c>
      <c r="DU14" s="3">
        <f t="shared" si="44"/>
        <v>26333.561995464803</v>
      </c>
      <c r="DV14" s="3">
        <f t="shared" si="44"/>
        <v>26358.295600907062</v>
      </c>
      <c r="DW14" s="3">
        <f t="shared" si="44"/>
        <v>49292.457505668914</v>
      </c>
      <c r="DX14" s="3">
        <f t="shared" si="44"/>
        <v>17058.847709750626</v>
      </c>
      <c r="DY14" s="3">
        <f t="shared" si="44"/>
        <v>14.15192743764042</v>
      </c>
      <c r="DZ14" s="3"/>
      <c r="EA14" s="3"/>
      <c r="EC14" s="4">
        <f>SQRT(AVERAGE(DT14:DY14))/AVERAGE(AB14:AG14)</f>
        <v>8.4468617951865013E-2</v>
      </c>
      <c r="ED14" s="160">
        <v>3.7999999999999999E-2</v>
      </c>
      <c r="EE14" s="161">
        <f t="shared" si="18"/>
        <v>0.44987121751719134</v>
      </c>
      <c r="EH14" s="2" t="str">
        <f t="shared" si="38"/>
        <v xml:space="preserve"> </v>
      </c>
      <c r="EI14" s="58" t="str">
        <f t="shared" si="39"/>
        <v xml:space="preserve"> </v>
      </c>
      <c r="EJ14" s="2">
        <f t="shared" si="40"/>
        <v>0.88746463558037436</v>
      </c>
      <c r="EK14" s="58">
        <f t="shared" si="41"/>
        <v>1.7557430525924591E-2</v>
      </c>
    </row>
    <row r="15" spans="1:141" x14ac:dyDescent="0.3">
      <c r="A15">
        <f t="shared" si="19"/>
        <v>9</v>
      </c>
      <c r="B15" s="6">
        <v>61504</v>
      </c>
      <c r="C15" s="6" t="s">
        <v>707</v>
      </c>
      <c r="D15" s="6">
        <v>2020</v>
      </c>
      <c r="E15" s="6">
        <v>2018</v>
      </c>
      <c r="F15" s="6" t="s">
        <v>252</v>
      </c>
      <c r="G15" s="17" t="s">
        <v>636</v>
      </c>
      <c r="H15" s="17" t="s">
        <v>638</v>
      </c>
      <c r="I15" s="6" t="s">
        <v>35</v>
      </c>
      <c r="J15" s="17">
        <v>30</v>
      </c>
      <c r="K15" s="6" t="s">
        <v>687</v>
      </c>
      <c r="L15" s="12">
        <v>44.125050000000002</v>
      </c>
      <c r="M15" s="12">
        <v>-93.284999999999997</v>
      </c>
      <c r="N15" s="14">
        <v>1.4</v>
      </c>
      <c r="O15" s="6">
        <v>1</v>
      </c>
      <c r="P15" s="94">
        <f>365.25*4.5</f>
        <v>1643.625</v>
      </c>
      <c r="Q15" s="15" t="s">
        <v>737</v>
      </c>
      <c r="R15" s="14">
        <v>6.4</v>
      </c>
      <c r="S15" s="3">
        <f t="shared" si="20"/>
        <v>30.0655</v>
      </c>
      <c r="T15" s="128" t="str">
        <f t="shared" si="21"/>
        <v>C</v>
      </c>
      <c r="U15" s="154">
        <v>1388</v>
      </c>
      <c r="V15" s="154">
        <v>654</v>
      </c>
      <c r="W15" s="156">
        <v>0.504</v>
      </c>
      <c r="X15" s="1">
        <f t="shared" si="42"/>
        <v>0.47118155619596541</v>
      </c>
      <c r="Y15" s="162">
        <f t="shared" si="22"/>
        <v>2.5462878054755056E-2</v>
      </c>
      <c r="Z15" s="1">
        <f t="shared" si="23"/>
        <v>0.71819266181343211</v>
      </c>
      <c r="AA15" s="3">
        <f t="shared" si="24"/>
        <v>1924.6859753302795</v>
      </c>
      <c r="AB15" s="6">
        <v>1810</v>
      </c>
      <c r="AC15" s="6">
        <v>1931</v>
      </c>
      <c r="AD15" s="6">
        <v>1833</v>
      </c>
      <c r="AE15" s="6">
        <v>1873</v>
      </c>
      <c r="AF15" s="93">
        <v>1833</v>
      </c>
      <c r="AK15" s="23"/>
      <c r="AP15" s="23"/>
      <c r="AU15" s="23"/>
      <c r="AY15" s="32">
        <v>5</v>
      </c>
      <c r="AZ15" s="1">
        <f t="shared" si="25"/>
        <v>0.80657953347891753</v>
      </c>
      <c r="BA15" s="24">
        <f t="shared" si="7"/>
        <v>9</v>
      </c>
      <c r="BB15" s="2">
        <f t="shared" si="45"/>
        <v>0.94041314957334843</v>
      </c>
      <c r="BC15" s="2">
        <f t="shared" si="45"/>
        <v>1.0083221587640612</v>
      </c>
      <c r="BD15" s="2">
        <f t="shared" si="45"/>
        <v>0.96195868884272417</v>
      </c>
      <c r="BE15" s="2">
        <f t="shared" si="45"/>
        <v>0.98789014587526958</v>
      </c>
      <c r="BF15" s="20">
        <f t="shared" si="45"/>
        <v>0.9716509066364224</v>
      </c>
      <c r="BG15" s="2" t="str">
        <f t="shared" si="45"/>
        <v/>
      </c>
      <c r="BH15" s="2" t="str">
        <f t="shared" si="45"/>
        <v/>
      </c>
      <c r="BI15" s="2" t="str">
        <f t="shared" si="45"/>
        <v/>
      </c>
      <c r="BJ15" s="2" t="str">
        <f t="shared" si="45"/>
        <v/>
      </c>
      <c r="BK15" s="20" t="str">
        <f t="shared" si="45"/>
        <v/>
      </c>
      <c r="BL15" s="2" t="str">
        <f t="shared" si="45"/>
        <v/>
      </c>
      <c r="BM15" s="2" t="str">
        <f t="shared" si="45"/>
        <v/>
      </c>
      <c r="BN15" s="2" t="str">
        <f t="shared" si="45"/>
        <v/>
      </c>
      <c r="BO15" s="2" t="str">
        <f t="shared" si="45"/>
        <v/>
      </c>
      <c r="BP15" s="20" t="str">
        <f t="shared" si="45"/>
        <v/>
      </c>
      <c r="BQ15" s="2" t="str">
        <f>IF(ISNUMBER(AQ15),MIN(1.15,AQ15/($AA15*(1-$K$3)^(BQ$6-1))),"")</f>
        <v/>
      </c>
      <c r="BU15" s="23"/>
      <c r="BY15" s="25">
        <f t="shared" si="9"/>
        <v>9</v>
      </c>
      <c r="BZ15" s="3">
        <f t="shared" si="10"/>
        <v>9527.675547652876</v>
      </c>
      <c r="CA15" s="3">
        <f t="shared" si="28"/>
        <v>9280</v>
      </c>
      <c r="CB15" s="2">
        <f t="shared" si="29"/>
        <v>0.97400461986618647</v>
      </c>
      <c r="CC15" s="85">
        <f t="shared" si="30"/>
        <v>18</v>
      </c>
      <c r="CD15" s="3" t="str">
        <f t="shared" si="11"/>
        <v>Fixed</v>
      </c>
      <c r="CE15" s="58">
        <f t="shared" si="31"/>
        <v>-6.4655172413792929E-4</v>
      </c>
      <c r="CF15" s="2">
        <f t="array" ref="CF15:CG15">LINEST(AB15:AF15,AB$6:AF$6,TRUE,FALSE)</f>
        <v>-1.1999999999999968</v>
      </c>
      <c r="CG15" s="2">
        <v>1859.6</v>
      </c>
      <c r="CH15" s="1">
        <f>1+IF(G15="CdSCdTe",-0.0025,-0.004)*(S15-PlantData!$S$4)</f>
        <v>1.045536312011929</v>
      </c>
      <c r="CI15" s="128" t="s">
        <v>47</v>
      </c>
      <c r="CJ15">
        <f t="shared" si="12"/>
        <v>0</v>
      </c>
      <c r="CK15" s="2" t="str">
        <f t="shared" si="32"/>
        <v/>
      </c>
      <c r="CL15" s="58" t="str">
        <f t="shared" si="33"/>
        <v/>
      </c>
      <c r="CN15" s="3"/>
      <c r="CO15" s="3"/>
      <c r="CP15" s="3"/>
      <c r="CQ15" s="3"/>
      <c r="CR15" s="3"/>
      <c r="CS15" s="3"/>
      <c r="CT15" s="3"/>
      <c r="CU15" s="3"/>
      <c r="CV15" s="3"/>
      <c r="DC15" s="2">
        <f t="shared" si="35"/>
        <v>1.4</v>
      </c>
      <c r="DD15">
        <f t="shared" si="13"/>
        <v>2</v>
      </c>
      <c r="DJ15" s="6" t="s">
        <v>625</v>
      </c>
      <c r="DK15">
        <f t="shared" si="14"/>
        <v>0</v>
      </c>
      <c r="DL15" s="72">
        <f t="shared" si="15"/>
        <v>0</v>
      </c>
      <c r="DM15" s="2" t="str">
        <f t="shared" si="36"/>
        <v/>
      </c>
      <c r="DN15" s="2" t="str">
        <f t="shared" si="37"/>
        <v/>
      </c>
      <c r="DT15" s="3">
        <f t="shared" si="16"/>
        <v>2342.5599999999868</v>
      </c>
      <c r="DU15" s="3">
        <f t="shared" ref="DU15:DU31" si="46">($CG15+$CF15*DU$6-AC15)^2</f>
        <v>5446.4400000000269</v>
      </c>
      <c r="DV15" s="3">
        <f t="shared" ref="DV15:DV31" si="47">($CG15+$CF15*DV$6-AD15)^2</f>
        <v>529</v>
      </c>
      <c r="DW15" s="3">
        <f t="shared" ref="DW15:DW31" si="48">($CG15+$CF15*DW$6-AE15)^2</f>
        <v>331.24000000000166</v>
      </c>
      <c r="DX15" s="3">
        <f t="shared" ref="DX15:DX31" si="49">($CG15+$CF15*DX$6-AF15)^2</f>
        <v>424.35999999999626</v>
      </c>
      <c r="DY15" s="3"/>
      <c r="DZ15" s="3"/>
      <c r="EA15" s="3"/>
      <c r="EC15" s="4">
        <f>SQRT(AVERAGE(DT15:DX15))/AVERAGE(AB15:AF15)</f>
        <v>2.2952333250994019E-2</v>
      </c>
      <c r="ED15" s="160">
        <v>3.7999999999999999E-2</v>
      </c>
      <c r="EE15" s="161">
        <f t="shared" si="18"/>
        <v>1.6556051005557049</v>
      </c>
      <c r="EH15" s="2" t="str">
        <f t="shared" si="38"/>
        <v xml:space="preserve"> </v>
      </c>
      <c r="EI15" s="58" t="str">
        <f t="shared" si="39"/>
        <v xml:space="preserve"> </v>
      </c>
      <c r="EJ15" s="2">
        <f t="shared" si="40"/>
        <v>0.97400461986618647</v>
      </c>
      <c r="EK15" s="58">
        <f t="shared" si="41"/>
        <v>-6.4655172413792929E-4</v>
      </c>
    </row>
    <row r="16" spans="1:141" x14ac:dyDescent="0.3">
      <c r="A16">
        <f t="shared" si="19"/>
        <v>10</v>
      </c>
      <c r="B16" s="6">
        <v>62048</v>
      </c>
      <c r="C16" s="6" t="s">
        <v>708</v>
      </c>
      <c r="D16" s="6">
        <v>2020</v>
      </c>
      <c r="E16" s="6">
        <v>2018</v>
      </c>
      <c r="F16" s="6" t="s">
        <v>252</v>
      </c>
      <c r="G16" s="17" t="s">
        <v>636</v>
      </c>
      <c r="H16" s="17" t="s">
        <v>638</v>
      </c>
      <c r="I16" s="6" t="s">
        <v>36</v>
      </c>
      <c r="J16" s="17">
        <v>0</v>
      </c>
      <c r="K16" s="6" t="s">
        <v>687</v>
      </c>
      <c r="L16" s="12">
        <v>45.493000000000002</v>
      </c>
      <c r="M16" s="12">
        <v>-92.904449999999997</v>
      </c>
      <c r="N16" s="14">
        <v>1.4</v>
      </c>
      <c r="O16" s="6">
        <v>1</v>
      </c>
      <c r="P16" s="94">
        <f>365.25*5.3</f>
        <v>1935.825</v>
      </c>
      <c r="Q16" s="15" t="s">
        <v>735</v>
      </c>
      <c r="R16" s="14">
        <v>7.2</v>
      </c>
      <c r="S16" s="3">
        <f t="shared" si="20"/>
        <v>32.318024999999999</v>
      </c>
      <c r="T16" s="128" t="str">
        <f t="shared" si="21"/>
        <v>C</v>
      </c>
      <c r="U16" s="154">
        <v>1424</v>
      </c>
      <c r="V16" s="154">
        <v>637</v>
      </c>
      <c r="W16" s="156">
        <v>0.52500000000000002</v>
      </c>
      <c r="X16" s="1">
        <f t="shared" si="42"/>
        <v>0.4473314606741573</v>
      </c>
      <c r="Y16" s="162">
        <f t="shared" si="22"/>
        <v>4.4823588335393294E-2</v>
      </c>
      <c r="Z16" s="1">
        <f t="shared" si="23"/>
        <v>0.55838496761302725</v>
      </c>
      <c r="AA16" s="3">
        <f t="shared" si="24"/>
        <v>2134.9514890475439</v>
      </c>
      <c r="AB16" s="6">
        <v>2094</v>
      </c>
      <c r="AC16" s="6">
        <v>2041</v>
      </c>
      <c r="AD16" s="6">
        <v>2165</v>
      </c>
      <c r="AE16" s="6">
        <v>2015</v>
      </c>
      <c r="AF16" s="93">
        <v>1985</v>
      </c>
      <c r="AK16" s="23"/>
      <c r="AP16" s="23"/>
      <c r="AU16" s="23"/>
      <c r="AY16" s="32">
        <v>5</v>
      </c>
      <c r="AZ16" s="1">
        <f t="shared" si="25"/>
        <v>0.7601041268857317</v>
      </c>
      <c r="BA16" s="24">
        <f t="shared" si="7"/>
        <v>10</v>
      </c>
      <c r="BB16" s="2">
        <f t="shared" si="45"/>
        <v>0.98081853884848069</v>
      </c>
      <c r="BC16" s="2">
        <f t="shared" si="45"/>
        <v>0.96079760684499338</v>
      </c>
      <c r="BD16" s="2">
        <f t="shared" si="45"/>
        <v>1.0242918752603836</v>
      </c>
      <c r="BE16" s="2">
        <f t="shared" si="45"/>
        <v>0.95811534747626026</v>
      </c>
      <c r="BF16" s="20">
        <f t="shared" si="45"/>
        <v>0.94859357070233363</v>
      </c>
      <c r="BG16" s="2" t="str">
        <f t="shared" si="45"/>
        <v/>
      </c>
      <c r="BH16" s="2" t="str">
        <f t="shared" si="45"/>
        <v/>
      </c>
      <c r="BI16" s="2" t="str">
        <f t="shared" si="45"/>
        <v/>
      </c>
      <c r="BJ16" s="2" t="str">
        <f t="shared" si="45"/>
        <v/>
      </c>
      <c r="BK16" s="20" t="str">
        <f t="shared" si="45"/>
        <v/>
      </c>
      <c r="BL16" s="2" t="str">
        <f t="shared" si="45"/>
        <v/>
      </c>
      <c r="BM16" s="2" t="str">
        <f t="shared" si="45"/>
        <v/>
      </c>
      <c r="BN16" s="2" t="str">
        <f t="shared" si="45"/>
        <v/>
      </c>
      <c r="BO16" s="2" t="str">
        <f t="shared" si="45"/>
        <v/>
      </c>
      <c r="BP16" s="20" t="str">
        <f t="shared" si="45"/>
        <v/>
      </c>
      <c r="BQ16" s="2" t="str">
        <f>IF(ISNUMBER(AQ16),MIN(1.15,AQ16/($AA16*(1-$K$3)^(BQ$6-1))),"")</f>
        <v/>
      </c>
      <c r="BU16" s="23"/>
      <c r="BY16" s="25">
        <f t="shared" si="9"/>
        <v>10</v>
      </c>
      <c r="BZ16" s="3">
        <f t="shared" si="10"/>
        <v>10568.542275647231</v>
      </c>
      <c r="CA16" s="3">
        <f t="shared" si="28"/>
        <v>10300</v>
      </c>
      <c r="CB16" s="2">
        <f t="shared" si="29"/>
        <v>0.97459041477593134</v>
      </c>
      <c r="CC16" s="85">
        <f t="shared" si="30"/>
        <v>14</v>
      </c>
      <c r="CD16" s="3" t="str">
        <f t="shared" si="11"/>
        <v>Tracker</v>
      </c>
      <c r="CE16" s="58">
        <f t="shared" si="31"/>
        <v>-1.1844660194174756E-2</v>
      </c>
      <c r="CF16" s="2">
        <f t="array" ref="CF16:CG16">LINEST(AB16:AF16,AB$6:AF$6,TRUE,FALSE)</f>
        <v>-24.4</v>
      </c>
      <c r="CG16" s="2">
        <v>2133.1999999999998</v>
      </c>
      <c r="CH16" s="1">
        <f>1+IF(G16="CdSCdTe",-0.0025,-0.004)*(S16-PlantData!$S$4)</f>
        <v>1.036526212011929</v>
      </c>
      <c r="CI16" s="128" t="s">
        <v>64</v>
      </c>
      <c r="CJ16">
        <f t="shared" si="12"/>
        <v>2</v>
      </c>
      <c r="CK16" s="2">
        <f t="shared" si="32"/>
        <v>0.84785884743690709</v>
      </c>
      <c r="CL16" s="58">
        <f t="shared" si="33"/>
        <v>-7.4292807473857261E-3</v>
      </c>
      <c r="CN16" s="3"/>
      <c r="CO16" s="3"/>
      <c r="CP16" s="3"/>
      <c r="CQ16" s="3"/>
      <c r="CR16" s="3"/>
      <c r="CS16" s="3"/>
      <c r="CT16" s="3"/>
      <c r="CU16" s="3"/>
      <c r="CV16" s="3"/>
      <c r="DC16" s="2">
        <f t="shared" si="35"/>
        <v>1.4</v>
      </c>
      <c r="DD16">
        <f t="shared" si="13"/>
        <v>2</v>
      </c>
      <c r="DJ16" s="6" t="s">
        <v>628</v>
      </c>
      <c r="DK16">
        <f t="shared" si="14"/>
        <v>0</v>
      </c>
      <c r="DL16" s="72">
        <f t="shared" si="15"/>
        <v>0</v>
      </c>
      <c r="DM16" s="2" t="str">
        <f t="shared" si="36"/>
        <v/>
      </c>
      <c r="DN16" s="2" t="str">
        <f t="shared" si="37"/>
        <v/>
      </c>
      <c r="DT16" s="3">
        <f t="shared" si="16"/>
        <v>219.03999999999192</v>
      </c>
      <c r="DU16" s="3">
        <f t="shared" si="46"/>
        <v>1883.5599999999683</v>
      </c>
      <c r="DV16" s="3">
        <f t="shared" si="47"/>
        <v>11025</v>
      </c>
      <c r="DW16" s="3">
        <f t="shared" si="48"/>
        <v>424.35999999999626</v>
      </c>
      <c r="DX16" s="3">
        <f t="shared" si="49"/>
        <v>686.4399999999905</v>
      </c>
      <c r="DY16" s="3"/>
      <c r="DZ16" s="3"/>
      <c r="EA16" s="3"/>
      <c r="EC16" s="4">
        <f>SQRT(AVERAGE(DT16:DX16))/AVERAGE(AB16:AF16)</f>
        <v>2.5904688371615282E-2</v>
      </c>
      <c r="ED16" s="160">
        <v>4.5999999999999999E-2</v>
      </c>
      <c r="EE16" s="161">
        <f t="shared" si="18"/>
        <v>1.7757403347265852</v>
      </c>
      <c r="EH16" s="2" t="str">
        <f t="shared" si="38"/>
        <v xml:space="preserve"> </v>
      </c>
      <c r="EI16" s="58" t="str">
        <f t="shared" si="39"/>
        <v xml:space="preserve"> </v>
      </c>
      <c r="EJ16" s="2">
        <f t="shared" si="40"/>
        <v>0.97459041477593134</v>
      </c>
      <c r="EK16" s="58">
        <f t="shared" si="41"/>
        <v>-1.1844660194174756E-2</v>
      </c>
    </row>
    <row r="17" spans="1:141" x14ac:dyDescent="0.3">
      <c r="A17">
        <f t="shared" si="19"/>
        <v>11</v>
      </c>
      <c r="B17" s="6">
        <v>61627</v>
      </c>
      <c r="C17" s="6" t="s">
        <v>709</v>
      </c>
      <c r="D17" s="6">
        <v>2018</v>
      </c>
      <c r="E17" s="6">
        <v>2018</v>
      </c>
      <c r="F17" s="6" t="s">
        <v>252</v>
      </c>
      <c r="G17" s="17" t="s">
        <v>636</v>
      </c>
      <c r="H17" s="17" t="s">
        <v>638</v>
      </c>
      <c r="I17" s="6" t="s">
        <v>35</v>
      </c>
      <c r="J17" s="17">
        <v>30</v>
      </c>
      <c r="K17" s="6" t="s">
        <v>687</v>
      </c>
      <c r="L17" s="12">
        <v>44.197099999999999</v>
      </c>
      <c r="M17" s="12">
        <v>-93.571169999999995</v>
      </c>
      <c r="N17" s="14">
        <v>6.6</v>
      </c>
      <c r="O17" s="6">
        <v>5</v>
      </c>
      <c r="P17" s="94">
        <f>365.25*4.6</f>
        <v>1680.1499999999999</v>
      </c>
      <c r="Q17" s="15" t="s">
        <v>735</v>
      </c>
      <c r="R17" s="14">
        <v>7.2</v>
      </c>
      <c r="S17" s="3">
        <f t="shared" si="20"/>
        <v>31.136999999999997</v>
      </c>
      <c r="T17" s="128" t="str">
        <f t="shared" si="21"/>
        <v>C</v>
      </c>
      <c r="U17" s="154">
        <v>1424</v>
      </c>
      <c r="V17" s="154">
        <v>637</v>
      </c>
      <c r="W17" s="156">
        <v>0.52500000000000002</v>
      </c>
      <c r="X17" s="1">
        <f t="shared" si="42"/>
        <v>0.4473314606741573</v>
      </c>
      <c r="Y17" s="162">
        <f t="shared" si="22"/>
        <v>9.3527728853932679E-3</v>
      </c>
      <c r="Z17" s="1">
        <f t="shared" si="23"/>
        <v>0.88551485372218985</v>
      </c>
      <c r="AA17" s="3">
        <f t="shared" si="24"/>
        <v>9237.1314379177275</v>
      </c>
      <c r="AB17" s="6">
        <v>7043</v>
      </c>
      <c r="AC17" s="6">
        <v>6618</v>
      </c>
      <c r="AD17" s="6">
        <v>7945</v>
      </c>
      <c r="AE17" s="6">
        <v>6781</v>
      </c>
      <c r="AF17" s="93">
        <v>6560</v>
      </c>
      <c r="AG17" s="6">
        <v>8170</v>
      </c>
      <c r="AH17" s="6">
        <v>8264</v>
      </c>
      <c r="AI17" s="6">
        <v>8166</v>
      </c>
      <c r="AK17" s="23"/>
      <c r="AP17" s="23"/>
      <c r="AU17" s="23"/>
      <c r="AY17" s="32">
        <v>8</v>
      </c>
      <c r="AZ17" s="1">
        <f t="shared" si="25"/>
        <v>0.67124012195880789</v>
      </c>
      <c r="BA17" s="24">
        <f t="shared" si="7"/>
        <v>11</v>
      </c>
      <c r="BB17" s="2">
        <f t="shared" si="45"/>
        <v>0.76246614518106959</v>
      </c>
      <c r="BC17" s="2">
        <f t="shared" si="45"/>
        <v>0.72005647273829287</v>
      </c>
      <c r="BD17" s="2">
        <f t="shared" si="45"/>
        <v>0.86878160459379672</v>
      </c>
      <c r="BE17" s="2">
        <f t="shared" si="45"/>
        <v>0.74522493660885103</v>
      </c>
      <c r="BF17" s="20">
        <f t="shared" si="45"/>
        <v>0.72456006387253524</v>
      </c>
      <c r="BG17" s="2">
        <f t="shared" si="45"/>
        <v>0.90692114870673679</v>
      </c>
      <c r="BH17" s="2">
        <f t="shared" si="45"/>
        <v>0.92196556502370763</v>
      </c>
      <c r="BI17" s="2">
        <f t="shared" si="45"/>
        <v>0.91561033677384951</v>
      </c>
      <c r="BJ17" s="2" t="str">
        <f t="shared" si="45"/>
        <v/>
      </c>
      <c r="BK17" s="20" t="str">
        <f t="shared" si="45"/>
        <v/>
      </c>
      <c r="BL17" s="2" t="str">
        <f t="shared" si="45"/>
        <v/>
      </c>
      <c r="BM17" s="2" t="str">
        <f t="shared" si="45"/>
        <v/>
      </c>
      <c r="BN17" s="2" t="str">
        <f t="shared" si="45"/>
        <v/>
      </c>
      <c r="BO17" s="2" t="str">
        <f t="shared" si="45"/>
        <v/>
      </c>
      <c r="BP17" s="20" t="str">
        <f t="shared" si="45"/>
        <v/>
      </c>
      <c r="BQ17" s="2" t="str">
        <f>IF(ISNUMBER(AQ17),MIN(1.15,AQ17/($AA17*(1-$K$3)^(BQ$6-1))),"")</f>
        <v/>
      </c>
      <c r="BU17" s="23"/>
      <c r="BY17" s="25">
        <f t="shared" si="9"/>
        <v>11</v>
      </c>
      <c r="BZ17" s="3">
        <f t="shared" si="10"/>
        <v>72616.704583638711</v>
      </c>
      <c r="CA17" s="3">
        <f t="shared" si="28"/>
        <v>59547</v>
      </c>
      <c r="CB17" s="2">
        <f t="shared" si="29"/>
        <v>0.82001793308335491</v>
      </c>
      <c r="CC17" s="85">
        <f t="shared" si="30"/>
        <v>70</v>
      </c>
      <c r="CD17" s="3" t="str">
        <f t="shared" si="11"/>
        <v>Fixed</v>
      </c>
      <c r="CE17" s="58">
        <f t="shared" si="31"/>
        <v>2.6461690525371312E-2</v>
      </c>
      <c r="CF17" s="2">
        <f t="array" ref="CF17:CG17">LINEST(AB17:AI17,AB$6:AI$6,TRUE,FALSE)</f>
        <v>196.96428571428569</v>
      </c>
      <c r="CG17" s="2">
        <v>6557.0357142857147</v>
      </c>
      <c r="CH17" s="1">
        <f>1+IF(G17="CdSCdTe",-0.0025,-0.004)*(S17-PlantData!$S$4)</f>
        <v>1.041250312011929</v>
      </c>
      <c r="CI17" s="128" t="s">
        <v>73</v>
      </c>
      <c r="CJ17">
        <f t="shared" si="12"/>
        <v>0</v>
      </c>
      <c r="CK17" s="2" t="str">
        <f t="shared" si="32"/>
        <v/>
      </c>
      <c r="CL17" s="58" t="str">
        <f t="shared" si="33"/>
        <v/>
      </c>
      <c r="CN17" s="3"/>
      <c r="CO17" s="3"/>
      <c r="CP17" s="3"/>
      <c r="CQ17" s="3"/>
      <c r="CR17" s="3"/>
      <c r="CS17" s="3"/>
      <c r="CT17" s="3"/>
      <c r="CU17" s="3"/>
      <c r="CV17" s="3"/>
      <c r="DC17" s="2">
        <f t="shared" si="35"/>
        <v>1.3199999999999998</v>
      </c>
      <c r="DD17">
        <f t="shared" si="13"/>
        <v>0</v>
      </c>
      <c r="DJ17" s="63" t="s">
        <v>638</v>
      </c>
      <c r="DK17" s="33">
        <f t="shared" si="14"/>
        <v>21</v>
      </c>
      <c r="DL17" s="71">
        <f t="shared" si="15"/>
        <v>76.499999999999986</v>
      </c>
      <c r="DM17" s="21">
        <f t="shared" si="36"/>
        <v>0.85445588126069183</v>
      </c>
      <c r="DN17" s="21">
        <f t="shared" si="37"/>
        <v>-3.9692323669579477E-2</v>
      </c>
      <c r="DT17" s="3">
        <f t="shared" si="16"/>
        <v>83521</v>
      </c>
      <c r="DU17" s="3">
        <f t="shared" si="46"/>
        <v>110865.21556122483</v>
      </c>
      <c r="DV17" s="3">
        <f t="shared" si="47"/>
        <v>635322.86224489775</v>
      </c>
      <c r="DW17" s="3">
        <f t="shared" si="48"/>
        <v>317975.15433673543</v>
      </c>
      <c r="DX17" s="3">
        <f t="shared" si="49"/>
        <v>964043.4489795923</v>
      </c>
      <c r="DY17" s="3">
        <f>($CG17+$CF17*DY$6-AG17)^2</f>
        <v>185914.960459183</v>
      </c>
      <c r="DZ17" s="3">
        <f>($CG17+$CF17*DZ$6-AH17)^2</f>
        <v>107724.61734693852</v>
      </c>
      <c r="EA17" s="3">
        <f>($CG17+$CF17*EA$6-AI17)^2</f>
        <v>1105.5625</v>
      </c>
      <c r="EC17" s="4">
        <f>SQRT(AVERAGE(DT17:EA17))/AVERAGE(AB17:AI17)</f>
        <v>7.3684406130637065E-2</v>
      </c>
      <c r="ED17" s="160">
        <v>3.7999999999999999E-2</v>
      </c>
      <c r="EE17" s="161">
        <f t="shared" si="18"/>
        <v>0.51571291668726726</v>
      </c>
      <c r="EH17" s="2" t="str">
        <f t="shared" si="38"/>
        <v xml:space="preserve"> </v>
      </c>
      <c r="EI17" s="58" t="str">
        <f t="shared" si="39"/>
        <v xml:space="preserve"> </v>
      </c>
      <c r="EJ17" s="2">
        <f t="shared" si="40"/>
        <v>0.82001793308335491</v>
      </c>
      <c r="EK17" s="58">
        <f t="shared" si="41"/>
        <v>2.6461690525371312E-2</v>
      </c>
    </row>
    <row r="18" spans="1:141" x14ac:dyDescent="0.3">
      <c r="A18">
        <f t="shared" si="19"/>
        <v>12</v>
      </c>
      <c r="B18" s="6">
        <v>61882</v>
      </c>
      <c r="C18" s="6" t="s">
        <v>710</v>
      </c>
      <c r="D18" s="6">
        <v>2019</v>
      </c>
      <c r="E18" s="6">
        <v>2018</v>
      </c>
      <c r="F18" s="6" t="s">
        <v>252</v>
      </c>
      <c r="G18" s="17" t="s">
        <v>638</v>
      </c>
      <c r="H18" s="17" t="s">
        <v>638</v>
      </c>
      <c r="I18" s="6" t="s">
        <v>36</v>
      </c>
      <c r="J18" s="17">
        <v>0</v>
      </c>
      <c r="K18" s="6" t="s">
        <v>86</v>
      </c>
      <c r="L18" s="12">
        <v>35.340000000000003</v>
      </c>
      <c r="M18" s="12">
        <v>-79.991</v>
      </c>
      <c r="N18" s="14">
        <v>2.8</v>
      </c>
      <c r="O18" s="6">
        <v>2</v>
      </c>
      <c r="P18" s="94">
        <f>365.25*5.8</f>
        <v>2118.4499999999998</v>
      </c>
      <c r="Q18" s="15" t="s">
        <v>566</v>
      </c>
      <c r="R18" s="14">
        <v>14.3</v>
      </c>
      <c r="S18" s="3">
        <f t="shared" si="20"/>
        <v>40.707650000000001</v>
      </c>
      <c r="T18" s="128" t="str">
        <f t="shared" si="21"/>
        <v>M</v>
      </c>
      <c r="U18" s="154">
        <v>1607</v>
      </c>
      <c r="V18" s="154">
        <v>710</v>
      </c>
      <c r="W18" s="156">
        <v>0.52900000000000003</v>
      </c>
      <c r="X18" s="1">
        <f t="shared" si="42"/>
        <v>0.44181705040448038</v>
      </c>
      <c r="Y18" s="162">
        <f t="shared" si="22"/>
        <v>6.7156046252831281E-2</v>
      </c>
      <c r="Z18" s="1">
        <f t="shared" si="23"/>
        <v>0.41768463150921659</v>
      </c>
      <c r="AA18" s="3">
        <f t="shared" si="24"/>
        <v>4521.4402285608348</v>
      </c>
      <c r="AB18" s="6">
        <v>3686</v>
      </c>
      <c r="AC18" s="6">
        <v>3258</v>
      </c>
      <c r="AD18" s="6">
        <v>3455</v>
      </c>
      <c r="AE18" s="6">
        <v>4061</v>
      </c>
      <c r="AF18" s="93">
        <v>3357</v>
      </c>
      <c r="AG18" s="6">
        <v>3363</v>
      </c>
      <c r="AK18" s="23"/>
      <c r="AP18" s="23"/>
      <c r="AU18" s="23"/>
      <c r="AY18" s="32">
        <v>6</v>
      </c>
      <c r="AZ18" s="1">
        <f t="shared" si="25"/>
        <v>0.59511165508474873</v>
      </c>
      <c r="BA18" s="24">
        <f t="shared" si="7"/>
        <v>12</v>
      </c>
      <c r="BB18" s="2">
        <f t="shared" si="45"/>
        <v>0.81522696611500856</v>
      </c>
      <c r="BC18" s="2">
        <f t="shared" si="45"/>
        <v>0.72418780162415375</v>
      </c>
      <c r="BD18" s="2">
        <f t="shared" si="45"/>
        <v>0.77183611569555921</v>
      </c>
      <c r="BE18" s="2">
        <f t="shared" si="45"/>
        <v>0.91177347398051511</v>
      </c>
      <c r="BF18" s="20">
        <f t="shared" si="45"/>
        <v>0.75749927974088338</v>
      </c>
      <c r="BG18" s="2">
        <f t="shared" si="45"/>
        <v>0.76266649834474454</v>
      </c>
      <c r="BH18" s="2" t="str">
        <f t="shared" si="45"/>
        <v/>
      </c>
      <c r="BI18" s="2" t="str">
        <f t="shared" si="45"/>
        <v/>
      </c>
      <c r="BJ18" s="2" t="str">
        <f t="shared" si="45"/>
        <v/>
      </c>
      <c r="BK18" s="20" t="str">
        <f t="shared" si="45"/>
        <v/>
      </c>
      <c r="BL18" s="2" t="str">
        <f t="shared" si="45"/>
        <v/>
      </c>
      <c r="BM18" s="2" t="str">
        <f t="shared" si="45"/>
        <v/>
      </c>
      <c r="BN18" s="2" t="str">
        <f t="shared" si="45"/>
        <v/>
      </c>
      <c r="BO18" s="2" t="str">
        <f t="shared" si="45"/>
        <v/>
      </c>
      <c r="BP18" s="20" t="str">
        <f t="shared" si="45"/>
        <v/>
      </c>
      <c r="BQ18" s="2" t="str">
        <f>IF(ISNUMBER(AQ18),MIN(1.15,AQ18/($AA18*(1-$K$3)^(BQ$6-1))),"")</f>
        <v/>
      </c>
      <c r="BU18" s="23"/>
      <c r="BY18" s="25">
        <f t="shared" si="9"/>
        <v>12</v>
      </c>
      <c r="BZ18" s="3">
        <f t="shared" si="10"/>
        <v>26791.785613577973</v>
      </c>
      <c r="CA18" s="3">
        <f t="shared" si="28"/>
        <v>21180</v>
      </c>
      <c r="CB18" s="104">
        <f t="shared" si="29"/>
        <v>0.79054081372113016</v>
      </c>
      <c r="CC18" s="85">
        <f t="shared" si="30"/>
        <v>74</v>
      </c>
      <c r="CD18" s="3" t="str">
        <f t="shared" si="11"/>
        <v>Tracker</v>
      </c>
      <c r="CE18" s="58">
        <f t="shared" si="31"/>
        <v>-5.7628490489680271E-3</v>
      </c>
      <c r="CF18" s="2">
        <f t="array" ref="CF18:CG18">LINEST(AB18:AG18,AB$6:AG$6,TRUE,FALSE)</f>
        <v>-20.342857142857135</v>
      </c>
      <c r="CG18" s="2">
        <v>3601.2</v>
      </c>
      <c r="CH18" s="1">
        <f>1+IF(G18="CdSCdTe",-0.0025,-0.004)*(S18-PlantData!$S$4)</f>
        <v>1.0029677120119289</v>
      </c>
      <c r="CI18" s="128" t="s">
        <v>138</v>
      </c>
      <c r="CJ18">
        <f t="shared" si="12"/>
        <v>1</v>
      </c>
      <c r="CK18" s="2">
        <f t="shared" si="32"/>
        <v>0.70792001101905777</v>
      </c>
      <c r="CL18" s="58">
        <f t="shared" si="33"/>
        <v>-3.1879469819776879E-2</v>
      </c>
      <c r="CN18" s="3"/>
      <c r="CO18" s="3"/>
      <c r="CP18" s="3"/>
      <c r="CQ18" s="3"/>
      <c r="CR18" s="3"/>
      <c r="CS18" s="3"/>
      <c r="CT18" s="3"/>
      <c r="CU18" s="3"/>
      <c r="CV18" s="3"/>
      <c r="DC18" s="2">
        <f t="shared" si="35"/>
        <v>1.4</v>
      </c>
      <c r="DD18">
        <f t="shared" si="13"/>
        <v>1</v>
      </c>
      <c r="DJ18" s="129" t="s">
        <v>645</v>
      </c>
      <c r="DK18">
        <f>SUM(DK7:DK17)</f>
        <v>25</v>
      </c>
      <c r="DL18" s="72">
        <f>SUM(DL7:DL17)</f>
        <v>168.6</v>
      </c>
      <c r="DM18" s="2">
        <f>AVERAGE($CB$7:$CB$31)</f>
        <v>0.86742565840355768</v>
      </c>
      <c r="DN18" s="58">
        <f>AVERAGE($CE$7:$CE$31)</f>
        <v>-3.402521712728921E-2</v>
      </c>
      <c r="DT18" s="3">
        <f t="shared" si="16"/>
        <v>11055.020408163306</v>
      </c>
      <c r="DU18" s="3">
        <f t="shared" si="46"/>
        <v>91514.893061224371</v>
      </c>
      <c r="DV18" s="3">
        <f t="shared" si="47"/>
        <v>7254.1722448979217</v>
      </c>
      <c r="DW18" s="3">
        <f t="shared" si="48"/>
        <v>292866.51510204107</v>
      </c>
      <c r="DX18" s="3">
        <f t="shared" si="49"/>
        <v>20302.178775510132</v>
      </c>
      <c r="DY18" s="3">
        <f t="shared" ref="DY18:DY30" si="50">($CG18+$CF18*DY$6-AG18)^2</f>
        <v>13489.163265306062</v>
      </c>
      <c r="DZ18" s="3"/>
      <c r="EA18" s="3"/>
      <c r="EC18" s="4">
        <f>SQRT(AVERAGE(DT18:DY18))/AVERAGE(AB18:AG18)</f>
        <v>7.6406940564499912E-2</v>
      </c>
      <c r="ED18" s="160">
        <v>3.4000000000000002E-2</v>
      </c>
      <c r="EE18" s="161">
        <f t="shared" si="18"/>
        <v>0.44498575324185974</v>
      </c>
      <c r="EH18" s="2" t="str">
        <f t="shared" si="38"/>
        <v xml:space="preserve"> </v>
      </c>
      <c r="EI18" s="58" t="str">
        <f t="shared" si="39"/>
        <v xml:space="preserve"> </v>
      </c>
      <c r="EJ18" s="2" t="str">
        <f t="shared" si="40"/>
        <v xml:space="preserve"> </v>
      </c>
      <c r="EK18" s="58" t="str">
        <f t="shared" si="41"/>
        <v xml:space="preserve"> </v>
      </c>
    </row>
    <row r="19" spans="1:141" x14ac:dyDescent="0.3">
      <c r="A19">
        <f t="shared" si="19"/>
        <v>13</v>
      </c>
      <c r="B19" s="6">
        <v>62131</v>
      </c>
      <c r="C19" s="6" t="s">
        <v>711</v>
      </c>
      <c r="D19" s="6">
        <v>2019</v>
      </c>
      <c r="E19" s="6">
        <v>2018</v>
      </c>
      <c r="F19" s="6" t="s">
        <v>252</v>
      </c>
      <c r="G19" s="17" t="s">
        <v>636</v>
      </c>
      <c r="H19" s="17" t="s">
        <v>638</v>
      </c>
      <c r="I19" s="6" t="s">
        <v>35</v>
      </c>
      <c r="J19" s="17">
        <v>20</v>
      </c>
      <c r="K19" s="6" t="s">
        <v>86</v>
      </c>
      <c r="L19" s="12">
        <v>35.555999999999997</v>
      </c>
      <c r="M19" s="12">
        <v>-78.299499999999995</v>
      </c>
      <c r="N19" s="14">
        <v>3</v>
      </c>
      <c r="O19" s="6">
        <v>2</v>
      </c>
      <c r="P19" s="94">
        <f>365.25*4.9</f>
        <v>1789.7250000000001</v>
      </c>
      <c r="Q19" s="15" t="s">
        <v>552</v>
      </c>
      <c r="R19" s="14">
        <v>15.2</v>
      </c>
      <c r="S19" s="3">
        <f t="shared" si="20"/>
        <v>39.951499999999996</v>
      </c>
      <c r="T19" s="128" t="str">
        <f t="shared" si="21"/>
        <v>C</v>
      </c>
      <c r="U19" s="154">
        <v>1607</v>
      </c>
      <c r="V19" s="154">
        <v>712</v>
      </c>
      <c r="W19" s="156">
        <v>0.52800000000000002</v>
      </c>
      <c r="X19" s="1">
        <f t="shared" si="42"/>
        <v>0.44306160547604234</v>
      </c>
      <c r="Y19" s="162">
        <f t="shared" si="22"/>
        <v>5.4349428738332373E-2</v>
      </c>
      <c r="Z19" s="1">
        <f t="shared" si="23"/>
        <v>0.4933469629865318</v>
      </c>
      <c r="AA19" s="3">
        <f t="shared" si="24"/>
        <v>4321.0790174773192</v>
      </c>
      <c r="AB19" s="6">
        <v>4168</v>
      </c>
      <c r="AC19" s="6">
        <v>3987</v>
      </c>
      <c r="AD19" s="6">
        <v>4073</v>
      </c>
      <c r="AE19" s="6">
        <v>4037</v>
      </c>
      <c r="AF19" s="93">
        <v>4037</v>
      </c>
      <c r="AG19" s="6">
        <v>4093</v>
      </c>
      <c r="AK19" s="23"/>
      <c r="AP19" s="23"/>
      <c r="AU19" s="23"/>
      <c r="AY19" s="32">
        <v>6</v>
      </c>
      <c r="AZ19" s="1">
        <f t="shared" si="25"/>
        <v>0.75725476136153747</v>
      </c>
      <c r="BA19" s="24">
        <f t="shared" si="7"/>
        <v>13</v>
      </c>
      <c r="BB19" s="2">
        <f t="shared" si="45"/>
        <v>0.9645738907207746</v>
      </c>
      <c r="BC19" s="2">
        <f t="shared" si="45"/>
        <v>0.92732281906261838</v>
      </c>
      <c r="BD19" s="2">
        <f t="shared" si="45"/>
        <v>0.95208569611086391</v>
      </c>
      <c r="BE19" s="2">
        <f t="shared" si="45"/>
        <v>0.94841256496071269</v>
      </c>
      <c r="BF19" s="20">
        <f t="shared" si="45"/>
        <v>0.9531784572469475</v>
      </c>
      <c r="BG19" s="2">
        <f t="shared" si="45"/>
        <v>0.97125693503727595</v>
      </c>
      <c r="BH19" s="2" t="str">
        <f t="shared" si="45"/>
        <v/>
      </c>
      <c r="BI19" s="2" t="str">
        <f t="shared" si="45"/>
        <v/>
      </c>
      <c r="BJ19" s="2" t="str">
        <f t="shared" si="45"/>
        <v/>
      </c>
      <c r="BK19" s="20" t="str">
        <f t="shared" si="45"/>
        <v/>
      </c>
      <c r="BL19" s="2" t="str">
        <f t="shared" si="45"/>
        <v/>
      </c>
      <c r="BM19" s="2" t="str">
        <f t="shared" si="45"/>
        <v/>
      </c>
      <c r="BN19" s="2" t="str">
        <f t="shared" si="45"/>
        <v/>
      </c>
      <c r="BO19" s="2" t="str">
        <f t="shared" si="45"/>
        <v/>
      </c>
      <c r="BP19" s="20" t="str">
        <f t="shared" si="45"/>
        <v/>
      </c>
      <c r="BQ19" s="2" t="str">
        <f>IF(ISNUMBER(AQ19),MIN(1.15,AQ19/($AA19*(1-$K$3)^(BQ$6-1))),"")</f>
        <v/>
      </c>
      <c r="BU19" s="23"/>
      <c r="BY19" s="25">
        <f t="shared" si="9"/>
        <v>13</v>
      </c>
      <c r="BZ19" s="3">
        <f t="shared" si="10"/>
        <v>25604.545632229147</v>
      </c>
      <c r="CA19" s="3">
        <f t="shared" si="28"/>
        <v>24395</v>
      </c>
      <c r="CB19" s="2">
        <f t="shared" si="29"/>
        <v>0.95276051176215137</v>
      </c>
      <c r="CC19" s="85">
        <f t="shared" si="30"/>
        <v>30</v>
      </c>
      <c r="CD19" s="3" t="str">
        <f t="shared" si="11"/>
        <v>Fixed</v>
      </c>
      <c r="CE19" s="58">
        <f t="shared" si="31"/>
        <v>-1.8340994934559205E-3</v>
      </c>
      <c r="CF19" s="2">
        <f t="array" ref="CF19:CG19">LINEST(AB19:AG19,AB$6:AG$6,TRUE,FALSE)</f>
        <v>-7.4571428571428635</v>
      </c>
      <c r="CG19" s="2">
        <v>4091.9333333333334</v>
      </c>
      <c r="CH19" s="1">
        <f>1+IF(G19="CdSCdTe",-0.0025,-0.004)*(S19-PlantData!$S$4)</f>
        <v>1.005992312011929</v>
      </c>
      <c r="CI19" s="128" t="s">
        <v>386</v>
      </c>
      <c r="CJ19">
        <f t="shared" si="12"/>
        <v>0</v>
      </c>
      <c r="CK19" s="2" t="str">
        <f t="shared" si="32"/>
        <v/>
      </c>
      <c r="CL19" s="58" t="str">
        <f t="shared" si="33"/>
        <v/>
      </c>
      <c r="CN19" s="3"/>
      <c r="CO19" s="3"/>
      <c r="CP19" s="3"/>
      <c r="CQ19" s="3"/>
      <c r="CR19" s="3"/>
      <c r="CS19" s="3"/>
      <c r="CT19" s="3"/>
      <c r="CU19" s="3"/>
      <c r="CV19" s="3"/>
      <c r="DC19" s="2">
        <f t="shared" si="35"/>
        <v>1.5</v>
      </c>
      <c r="DD19">
        <f t="shared" si="13"/>
        <v>1</v>
      </c>
      <c r="DJ19" s="129" t="s">
        <v>646</v>
      </c>
      <c r="DM19" s="2">
        <f>MEDIAN($CB$7:$CB$31)</f>
        <v>0.88746463558037436</v>
      </c>
      <c r="DN19" s="58">
        <f>MEDIAN($CE$7:$CE$31)</f>
        <v>-4.669138557256404E-3</v>
      </c>
      <c r="DT19" s="3">
        <f t="shared" si="16"/>
        <v>6976.2267573696327</v>
      </c>
      <c r="DU19" s="3">
        <f t="shared" si="46"/>
        <v>8103.4289342403945</v>
      </c>
      <c r="DV19" s="3">
        <f t="shared" si="47"/>
        <v>11.820498866213093</v>
      </c>
      <c r="DW19" s="3">
        <f t="shared" si="48"/>
        <v>630.24907029477652</v>
      </c>
      <c r="DX19" s="3">
        <f t="shared" si="49"/>
        <v>311.43845804989104</v>
      </c>
      <c r="DY19" s="3">
        <f t="shared" si="50"/>
        <v>2098.5124716553328</v>
      </c>
      <c r="DZ19" s="3"/>
      <c r="EA19" s="3"/>
      <c r="EC19" s="4">
        <f>SQRT(AVERAGE(DT19:DY19))/AVERAGE(AB19:AG19)</f>
        <v>1.3520531988044994E-2</v>
      </c>
      <c r="ED19" s="160">
        <v>3.1E-2</v>
      </c>
      <c r="EE19" s="161">
        <f t="shared" si="18"/>
        <v>2.2928091903048302</v>
      </c>
      <c r="EH19" s="2" t="str">
        <f t="shared" si="38"/>
        <v xml:space="preserve"> </v>
      </c>
      <c r="EI19" s="58" t="str">
        <f t="shared" si="39"/>
        <v xml:space="preserve"> </v>
      </c>
      <c r="EJ19" s="2">
        <f t="shared" si="40"/>
        <v>0.95276051176215137</v>
      </c>
      <c r="EK19" s="58">
        <f t="shared" si="41"/>
        <v>-1.8340994934559205E-3</v>
      </c>
    </row>
    <row r="20" spans="1:141" x14ac:dyDescent="0.3">
      <c r="A20">
        <f t="shared" si="19"/>
        <v>14</v>
      </c>
      <c r="B20" s="6">
        <v>62242</v>
      </c>
      <c r="C20" s="6" t="s">
        <v>738</v>
      </c>
      <c r="D20" s="6">
        <v>2019</v>
      </c>
      <c r="E20" s="6">
        <v>2018</v>
      </c>
      <c r="F20" s="6" t="s">
        <v>252</v>
      </c>
      <c r="G20" s="17" t="s">
        <v>636</v>
      </c>
      <c r="H20" s="17" t="s">
        <v>638</v>
      </c>
      <c r="I20" s="6" t="s">
        <v>35</v>
      </c>
      <c r="J20" s="17">
        <v>10</v>
      </c>
      <c r="K20" s="6" t="s">
        <v>24</v>
      </c>
      <c r="L20" s="12">
        <v>32.631999999999998</v>
      </c>
      <c r="M20" s="12">
        <v>-117.077</v>
      </c>
      <c r="N20" s="14">
        <v>1.4</v>
      </c>
      <c r="O20" s="6">
        <v>1.3</v>
      </c>
      <c r="P20" s="94">
        <f>365.25*5*1.08</f>
        <v>1972.3500000000001</v>
      </c>
      <c r="Q20" s="15" t="s">
        <v>739</v>
      </c>
      <c r="R20" s="14">
        <v>17.899999999999999</v>
      </c>
      <c r="S20" s="3">
        <f t="shared" si="20"/>
        <v>44.009</v>
      </c>
      <c r="T20" s="128" t="str">
        <f t="shared" si="21"/>
        <v>M</v>
      </c>
      <c r="U20" s="154">
        <v>1826</v>
      </c>
      <c r="V20" s="154">
        <v>651.5</v>
      </c>
      <c r="W20" s="156">
        <v>0.57999999999999996</v>
      </c>
      <c r="X20" s="1">
        <f t="shared" si="42"/>
        <v>0.35679079956188392</v>
      </c>
      <c r="Y20" s="162">
        <f t="shared" si="22"/>
        <v>0</v>
      </c>
      <c r="Z20" s="1">
        <f t="shared" si="23"/>
        <v>1</v>
      </c>
      <c r="AA20" s="3">
        <f t="shared" si="24"/>
        <v>2186.4166196283359</v>
      </c>
      <c r="AB20" s="6">
        <v>2344</v>
      </c>
      <c r="AC20" s="6">
        <v>2372</v>
      </c>
      <c r="AD20" s="6">
        <v>2356</v>
      </c>
      <c r="AE20" s="6">
        <v>2394</v>
      </c>
      <c r="AF20" s="93">
        <v>2283</v>
      </c>
      <c r="AG20" s="6">
        <v>2310</v>
      </c>
      <c r="AK20" s="23"/>
      <c r="AP20" s="23"/>
      <c r="AU20" s="23"/>
      <c r="AY20" s="32">
        <v>6</v>
      </c>
      <c r="AZ20" s="1">
        <f t="shared" si="25"/>
        <v>0.84857681252844375</v>
      </c>
      <c r="BA20" s="24">
        <f t="shared" si="7"/>
        <v>14</v>
      </c>
      <c r="BB20" s="2">
        <f t="shared" ref="BB20:BB31" si="51">IF(ISNUMBER(AB20),MIN(1.15,AB20/($AA20*(1-$K$3)^(BB$6-1))),"")</f>
        <v>1.0720738119885183</v>
      </c>
      <c r="BC20" s="2">
        <f t="shared" ref="BC20:BC31" si="52">IF(ISNUMBER(AC20),MIN(1.15,AC20/($AA20*(1-$K$3)^(BC$6-1))),"")</f>
        <v>1.0903318135201456</v>
      </c>
      <c r="BD20" s="2">
        <f t="shared" ref="BD20:BD31" si="53">IF(ISNUMBER(AD20),MIN(1.15,AD20/($AA20*(1-$K$3)^(BD$6-1))),"")</f>
        <v>1.0884192262549945</v>
      </c>
      <c r="BE20" s="2">
        <f t="shared" ref="BE20:BE31" si="54">IF(ISNUMBER(AE20),MIN(1.15,AE20/($AA20*(1-$K$3)^(BE$6-1))),"")</f>
        <v>1.1115320352417679</v>
      </c>
      <c r="BF20" s="20">
        <f t="shared" ref="BF20:BF31" si="55">IF(ISNUMBER(AF20),MIN(1.15,AF20/($AA20*(1-$K$3)^(BF$6-1))),"")</f>
        <v>1.065321442826898</v>
      </c>
      <c r="BG20" s="2">
        <f t="shared" ref="BG20:BG31" si="56">IF(ISNUMBER(AG20),MIN(1.15,AG20/($AA20*(1-$K$3)^(BG$6-1))),"")</f>
        <v>1.0833371997658616</v>
      </c>
      <c r="BH20" s="2" t="str">
        <f t="shared" ref="BH20:BH31" si="57">IF(ISNUMBER(AH20),MIN(1.15,AH20/($AA20*(1-$K$3)^(BH$6-1))),"")</f>
        <v/>
      </c>
      <c r="BI20" s="2" t="str">
        <f t="shared" ref="BI20:BI31" si="58">IF(ISNUMBER(AI20),MIN(1.15,AI20/($AA20*(1-$K$3)^(BI$6-1))),"")</f>
        <v/>
      </c>
      <c r="BJ20" s="2" t="str">
        <f t="shared" ref="BJ20:BJ31" si="59">IF(ISNUMBER(AJ20),MIN(1.15,AJ20/($AA20*(1-$K$3)^(BJ$6-1))),"")</f>
        <v/>
      </c>
      <c r="BK20" s="20" t="str">
        <f t="shared" ref="BK20:BK31" si="60">IF(ISNUMBER(AK20),MIN(1.15,AK20/($AA20*(1-$K$3)^(BK$6-1))),"")</f>
        <v/>
      </c>
      <c r="BL20" s="2" t="str">
        <f t="shared" ref="BL20:BL31" si="61">IF(ISNUMBER(AL20),MIN(1.15,AL20/($AA20*(1-$K$3)^(BL$6-1))),"")</f>
        <v/>
      </c>
      <c r="BM20" s="2" t="str">
        <f t="shared" ref="BM20:BM31" si="62">IF(ISNUMBER(AM20),MIN(1.15,AM20/($AA20*(1-$K$3)^(BM$6-1))),"")</f>
        <v/>
      </c>
      <c r="BP20" s="23"/>
      <c r="BU20" s="23"/>
      <c r="BY20" s="25">
        <f t="shared" si="9"/>
        <v>14</v>
      </c>
      <c r="BZ20" s="3">
        <f t="shared" si="10"/>
        <v>12955.607588268726</v>
      </c>
      <c r="CA20" s="3">
        <f t="shared" si="28"/>
        <v>14059</v>
      </c>
      <c r="CB20" s="2">
        <f t="shared" si="29"/>
        <v>1.0851671682870663</v>
      </c>
      <c r="CC20" s="85">
        <f t="shared" si="30"/>
        <v>2</v>
      </c>
      <c r="CD20" s="3" t="str">
        <f t="shared" si="11"/>
        <v>Fixed</v>
      </c>
      <c r="CE20" s="58">
        <f t="shared" si="31"/>
        <v>-4.8652108969343463E-3</v>
      </c>
      <c r="CF20" s="2">
        <f t="array" ref="CF20:CG20">LINEST(AB20:AG20,AB$6:AG$6,TRUE,FALSE)</f>
        <v>-11.399999999999995</v>
      </c>
      <c r="CG20" s="2">
        <v>2383.0666666666666</v>
      </c>
      <c r="CH20" s="1">
        <f>1+IF(G20="CdSCdTe",-0.0025,-0.004)*(S20-PlantData!$S$4)</f>
        <v>0.98976231201192899</v>
      </c>
      <c r="CI20" s="128" t="s">
        <v>112</v>
      </c>
      <c r="CJ20">
        <f t="shared" si="12"/>
        <v>0</v>
      </c>
      <c r="CK20" s="2" t="str">
        <f t="shared" si="32"/>
        <v/>
      </c>
      <c r="CL20" s="58" t="str">
        <f t="shared" si="33"/>
        <v/>
      </c>
      <c r="CN20" s="3"/>
      <c r="CO20" s="3"/>
      <c r="CP20" s="3"/>
      <c r="CQ20" s="3"/>
      <c r="CR20" s="3"/>
      <c r="CS20" s="3"/>
      <c r="CT20" s="3"/>
      <c r="CU20" s="3"/>
      <c r="CV20" s="3"/>
      <c r="DC20" s="2">
        <f t="shared" si="35"/>
        <v>1.0769230769230769</v>
      </c>
      <c r="DD20">
        <f t="shared" si="13"/>
        <v>1</v>
      </c>
      <c r="DT20" s="3">
        <f t="shared" si="16"/>
        <v>765.44444444443604</v>
      </c>
      <c r="DU20" s="3">
        <f t="shared" si="46"/>
        <v>137.6711111111168</v>
      </c>
      <c r="DV20" s="3">
        <f t="shared" si="47"/>
        <v>50.884444444442714</v>
      </c>
      <c r="DW20" s="3">
        <f t="shared" si="48"/>
        <v>3196.0177777777744</v>
      </c>
      <c r="DX20" s="3">
        <f t="shared" si="49"/>
        <v>1854.7377777777726</v>
      </c>
      <c r="DY20" s="3">
        <f t="shared" si="50"/>
        <v>21.777777777776365</v>
      </c>
      <c r="DZ20" s="3"/>
      <c r="EA20" s="3"/>
      <c r="EC20" s="4">
        <f>SQRT(AVERAGE(DT20:DY20))/AVERAGE(AB20:AG20)</f>
        <v>1.3525551295016076E-2</v>
      </c>
      <c r="ED20" s="160">
        <v>2.1000000000000001E-2</v>
      </c>
      <c r="EE20" s="161">
        <f t="shared" si="18"/>
        <v>1.5526169353065946</v>
      </c>
      <c r="EH20" s="2" t="str">
        <f t="shared" si="38"/>
        <v xml:space="preserve"> </v>
      </c>
      <c r="EI20" s="58" t="str">
        <f t="shared" si="39"/>
        <v xml:space="preserve"> </v>
      </c>
      <c r="EJ20" s="2" t="str">
        <f t="shared" si="40"/>
        <v xml:space="preserve"> </v>
      </c>
      <c r="EK20" s="58" t="str">
        <f t="shared" si="41"/>
        <v xml:space="preserve"> </v>
      </c>
    </row>
    <row r="21" spans="1:141" x14ac:dyDescent="0.3">
      <c r="A21">
        <f t="shared" si="19"/>
        <v>15</v>
      </c>
      <c r="B21" s="6">
        <v>62039</v>
      </c>
      <c r="C21" s="6" t="s">
        <v>712</v>
      </c>
      <c r="D21" s="6">
        <v>2019</v>
      </c>
      <c r="E21" s="6">
        <v>2018</v>
      </c>
      <c r="F21" s="6" t="s">
        <v>252</v>
      </c>
      <c r="G21" s="17" t="s">
        <v>636</v>
      </c>
      <c r="H21" s="17" t="s">
        <v>638</v>
      </c>
      <c r="I21" s="6" t="s">
        <v>35</v>
      </c>
      <c r="J21" s="17">
        <v>10</v>
      </c>
      <c r="K21" s="6" t="s">
        <v>24</v>
      </c>
      <c r="L21" s="12">
        <v>38.268700000000003</v>
      </c>
      <c r="M21" s="12">
        <v>-122.6336</v>
      </c>
      <c r="N21" s="14">
        <v>1.3</v>
      </c>
      <c r="O21" s="6">
        <v>1.2</v>
      </c>
      <c r="P21" s="94">
        <f>365.25*5</f>
        <v>1826.25</v>
      </c>
      <c r="Q21" s="15" t="s">
        <v>509</v>
      </c>
      <c r="R21" s="14">
        <v>13.9</v>
      </c>
      <c r="S21" s="3">
        <f t="shared" si="20"/>
        <v>38.923000000000002</v>
      </c>
      <c r="T21" s="128" t="str">
        <f t="shared" si="21"/>
        <v>C</v>
      </c>
      <c r="U21" s="154">
        <v>1717</v>
      </c>
      <c r="V21" s="154">
        <v>629</v>
      </c>
      <c r="W21" s="156">
        <v>0.57499999999999996</v>
      </c>
      <c r="X21" s="1">
        <f t="shared" si="42"/>
        <v>0.36633663366336633</v>
      </c>
      <c r="Y21" s="162">
        <f t="shared" si="22"/>
        <v>0</v>
      </c>
      <c r="Z21" s="1">
        <f t="shared" si="23"/>
        <v>1</v>
      </c>
      <c r="AA21" s="3">
        <f t="shared" si="24"/>
        <v>1918.4949184042569</v>
      </c>
      <c r="AB21" s="6">
        <v>2912</v>
      </c>
      <c r="AC21" s="6">
        <v>1947</v>
      </c>
      <c r="AD21" s="6">
        <v>181</v>
      </c>
      <c r="AE21" s="6">
        <v>10</v>
      </c>
      <c r="AF21" s="93">
        <v>1826</v>
      </c>
      <c r="AG21" s="6">
        <v>0</v>
      </c>
      <c r="AK21" s="23"/>
      <c r="AP21" s="23"/>
      <c r="AU21" s="23"/>
      <c r="AY21" s="32">
        <v>6</v>
      </c>
      <c r="AZ21" s="1">
        <f t="shared" si="25"/>
        <v>0.4827041541620597</v>
      </c>
      <c r="BA21" s="24">
        <f t="shared" si="7"/>
        <v>15</v>
      </c>
      <c r="BB21" s="2">
        <f t="shared" si="51"/>
        <v>1.1499999999999999</v>
      </c>
      <c r="BC21" s="2">
        <f t="shared" si="52"/>
        <v>1.0199578330004546</v>
      </c>
      <c r="BD21" s="2">
        <f t="shared" si="53"/>
        <v>9.5295361126682354E-2</v>
      </c>
      <c r="BE21" s="2">
        <f t="shared" si="54"/>
        <v>5.2913940490675673E-3</v>
      </c>
      <c r="BF21" s="20">
        <f t="shared" si="55"/>
        <v>0.97106387272335448</v>
      </c>
      <c r="BG21" s="2">
        <f t="shared" si="56"/>
        <v>0</v>
      </c>
      <c r="BH21" s="2" t="str">
        <f t="shared" si="57"/>
        <v/>
      </c>
      <c r="BI21" s="2" t="str">
        <f t="shared" si="58"/>
        <v/>
      </c>
      <c r="BJ21" s="2" t="str">
        <f t="shared" si="59"/>
        <v/>
      </c>
      <c r="BK21" s="20" t="str">
        <f t="shared" si="60"/>
        <v/>
      </c>
      <c r="BL21" s="2" t="str">
        <f t="shared" si="61"/>
        <v/>
      </c>
      <c r="BM21" s="2" t="str">
        <f t="shared" si="62"/>
        <v/>
      </c>
      <c r="BN21" s="2" t="str">
        <f>IF(ISNUMBER(AN21),MIN(1.15,AN21/($AA21*(1-$K$3)^(BN$6-1))),"")</f>
        <v/>
      </c>
      <c r="BO21" s="2" t="str">
        <f>IF(ISNUMBER(AO21),MIN(1.15,AO21/($AA21*(1-$K$3)^(BO$6-1))),"")</f>
        <v/>
      </c>
      <c r="BP21" s="20" t="str">
        <f>IF(ISNUMBER(AP21),MIN(1.15,AP21/($AA21*(1-$K$3)^(BP$6-1))),"")</f>
        <v/>
      </c>
      <c r="BQ21" s="2" t="str">
        <f>IF(ISNUMBER(AQ21),MIN(1.15,AQ21/($AA21*(1-$K$3)^(BQ$6-1))),"")</f>
        <v/>
      </c>
      <c r="BU21" s="23"/>
      <c r="BY21" s="25">
        <f t="shared" si="9"/>
        <v>15</v>
      </c>
      <c r="BZ21" s="3">
        <f t="shared" si="10"/>
        <v>11368.038049014771</v>
      </c>
      <c r="CA21" s="3">
        <f t="shared" si="28"/>
        <v>6876</v>
      </c>
      <c r="CB21" s="2">
        <f t="shared" si="29"/>
        <v>0.60485371093527607</v>
      </c>
      <c r="CC21" s="85">
        <f t="shared" si="30"/>
        <v>94</v>
      </c>
      <c r="CD21" s="3" t="str">
        <f t="shared" si="11"/>
        <v>Fixed</v>
      </c>
      <c r="CE21" s="58">
        <f t="shared" si="31"/>
        <v>-0.37631513338319622</v>
      </c>
      <c r="CF21" s="2">
        <f t="array" ref="CF21:CG21">LINEST(AB21:AG21,AB$6:AG$6,TRUE,FALSE)</f>
        <v>-431.25714285714281</v>
      </c>
      <c r="CG21" s="2">
        <v>2655.3999999999996</v>
      </c>
      <c r="CH21" s="1">
        <f>1+IF(G21="CdSCdTe",-0.0025,-0.004)*(S21-PlantData!$S$4)</f>
        <v>1.0101063120119289</v>
      </c>
      <c r="CI21" s="128" t="s">
        <v>389</v>
      </c>
      <c r="CJ21">
        <f t="shared" si="12"/>
        <v>1</v>
      </c>
      <c r="CK21" s="2">
        <f t="shared" si="32"/>
        <v>0.87947305500931861</v>
      </c>
      <c r="CL21" s="58">
        <f t="shared" si="33"/>
        <v>-3.0225732056747494E-2</v>
      </c>
      <c r="CN21" s="3"/>
      <c r="CO21" s="3"/>
      <c r="CP21" s="3"/>
      <c r="CQ21" s="3"/>
      <c r="CR21" s="3"/>
      <c r="CS21" s="3"/>
      <c r="CT21" s="3"/>
      <c r="CU21" s="3"/>
      <c r="CV21" s="3"/>
      <c r="DC21" s="2">
        <f t="shared" si="35"/>
        <v>1.0833333333333335</v>
      </c>
      <c r="DD21">
        <f t="shared" si="13"/>
        <v>1</v>
      </c>
      <c r="DT21" s="3">
        <f t="shared" si="16"/>
        <v>473147.44897959218</v>
      </c>
      <c r="DU21" s="3">
        <f t="shared" si="46"/>
        <v>23751.213061224538</v>
      </c>
      <c r="DV21" s="3">
        <f t="shared" si="47"/>
        <v>1393883.8236734688</v>
      </c>
      <c r="DW21" s="3">
        <f t="shared" si="48"/>
        <v>847083.56653061195</v>
      </c>
      <c r="DX21" s="3">
        <f t="shared" si="49"/>
        <v>1760625.698775511</v>
      </c>
      <c r="DY21" s="3">
        <f t="shared" si="50"/>
        <v>4604.5918367346676</v>
      </c>
      <c r="DZ21" s="3"/>
      <c r="EA21" s="3"/>
      <c r="EC21" s="4">
        <f>SQRT(AVERAGE(DT21:DY21))/AVERAGE(AB21:AG21)</f>
        <v>0.75595401246079297</v>
      </c>
      <c r="ED21" s="160">
        <v>2.5999999999999999E-2</v>
      </c>
      <c r="EE21" s="161">
        <f t="shared" si="18"/>
        <v>3.4393626558531523E-2</v>
      </c>
      <c r="EH21" s="2" t="str">
        <f t="shared" si="38"/>
        <v xml:space="preserve"> </v>
      </c>
      <c r="EI21" s="58" t="str">
        <f t="shared" si="39"/>
        <v xml:space="preserve"> </v>
      </c>
      <c r="EJ21" s="2">
        <f t="shared" si="40"/>
        <v>0.60485371093527607</v>
      </c>
      <c r="EK21" s="58">
        <f t="shared" si="41"/>
        <v>-0.37631513338319622</v>
      </c>
    </row>
    <row r="22" spans="1:141" x14ac:dyDescent="0.3">
      <c r="A22">
        <f t="shared" si="19"/>
        <v>16</v>
      </c>
      <c r="B22" s="6">
        <v>60851</v>
      </c>
      <c r="C22" s="6" t="s">
        <v>713</v>
      </c>
      <c r="D22" s="6">
        <v>2018</v>
      </c>
      <c r="E22" s="6">
        <v>2016</v>
      </c>
      <c r="F22" s="6" t="s">
        <v>252</v>
      </c>
      <c r="G22" s="17" t="s">
        <v>636</v>
      </c>
      <c r="H22" s="17" t="s">
        <v>638</v>
      </c>
      <c r="I22" s="6" t="s">
        <v>35</v>
      </c>
      <c r="J22" s="17">
        <v>25</v>
      </c>
      <c r="K22" s="6" t="s">
        <v>64</v>
      </c>
      <c r="L22" s="12">
        <v>42.174999999999997</v>
      </c>
      <c r="M22" s="12">
        <v>-71.986000000000004</v>
      </c>
      <c r="N22" s="14">
        <v>2.9</v>
      </c>
      <c r="O22" s="6">
        <v>2</v>
      </c>
      <c r="P22" s="94">
        <f>365.25*4.5</f>
        <v>1643.625</v>
      </c>
      <c r="Q22" s="15" t="s">
        <v>569</v>
      </c>
      <c r="R22" s="14">
        <v>8.1999999999999993</v>
      </c>
      <c r="S22" s="3">
        <f t="shared" si="20"/>
        <v>31.865499999999997</v>
      </c>
      <c r="T22" s="128" t="str">
        <f t="shared" si="21"/>
        <v>C</v>
      </c>
      <c r="U22" s="154">
        <v>1424</v>
      </c>
      <c r="V22" s="154">
        <v>669</v>
      </c>
      <c r="W22" s="156">
        <v>0.50600000000000001</v>
      </c>
      <c r="X22" s="1">
        <f t="shared" si="42"/>
        <v>0.46980337078651685</v>
      </c>
      <c r="Y22" s="162">
        <f t="shared" si="22"/>
        <v>3.3179098216292169E-2</v>
      </c>
      <c r="Z22" s="1">
        <f t="shared" si="23"/>
        <v>0.64964561217580929</v>
      </c>
      <c r="AA22" s="3">
        <f t="shared" si="24"/>
        <v>3959.3944083270076</v>
      </c>
      <c r="AB22" s="6">
        <v>3214</v>
      </c>
      <c r="AC22" s="6">
        <v>3437</v>
      </c>
      <c r="AD22" s="6">
        <v>3413</v>
      </c>
      <c r="AE22" s="6">
        <v>3338</v>
      </c>
      <c r="AF22" s="93">
        <v>3649</v>
      </c>
      <c r="AG22" s="6">
        <v>3237</v>
      </c>
      <c r="AH22" s="6">
        <v>2822</v>
      </c>
      <c r="AK22" s="23"/>
      <c r="AP22" s="23"/>
      <c r="AU22" s="23"/>
      <c r="AY22" s="32">
        <v>7</v>
      </c>
      <c r="AZ22" s="1">
        <f t="shared" si="25"/>
        <v>0.6926297940954883</v>
      </c>
      <c r="BA22" s="24">
        <f t="shared" si="7"/>
        <v>16</v>
      </c>
      <c r="BB22" s="2">
        <f t="shared" si="51"/>
        <v>0.81174029877918508</v>
      </c>
      <c r="BC22" s="2">
        <f t="shared" si="52"/>
        <v>0.87242416403863099</v>
      </c>
      <c r="BD22" s="2">
        <f t="shared" si="53"/>
        <v>0.87068559903499099</v>
      </c>
      <c r="BE22" s="2">
        <f t="shared" si="54"/>
        <v>0.8558316132607956</v>
      </c>
      <c r="BF22" s="20">
        <f t="shared" si="55"/>
        <v>0.9402704224503714</v>
      </c>
      <c r="BG22" s="2">
        <f t="shared" si="56"/>
        <v>0.83829819348092949</v>
      </c>
      <c r="BH22" s="2">
        <f t="shared" si="57"/>
        <v>0.7344965488558588</v>
      </c>
      <c r="BI22" s="2" t="str">
        <f t="shared" si="58"/>
        <v/>
      </c>
      <c r="BJ22" s="2" t="str">
        <f t="shared" si="59"/>
        <v/>
      </c>
      <c r="BK22" s="20" t="str">
        <f t="shared" si="60"/>
        <v/>
      </c>
      <c r="BL22" s="2" t="str">
        <f t="shared" si="61"/>
        <v/>
      </c>
      <c r="BM22" s="2" t="str">
        <f t="shared" si="62"/>
        <v/>
      </c>
      <c r="BN22" s="2" t="str">
        <f>IF(ISNUMBER(AN22),MIN(1.15,AN22/($AA22*(1-$K$3)^(BN$6-1))),"")</f>
        <v/>
      </c>
      <c r="BO22" s="2" t="str">
        <f>IF(ISNUMBER(AO22),MIN(1.15,AO22/($AA22*(1-$K$3)^(BO$6-1))),"")</f>
        <v/>
      </c>
      <c r="BP22" s="20" t="str">
        <f>IF(ISNUMBER(AP22),MIN(1.15,AP22/($AA22*(1-$K$3)^(BP$6-1))),"")</f>
        <v/>
      </c>
      <c r="BU22" s="23"/>
      <c r="BY22" s="25">
        <f t="shared" si="9"/>
        <v>16</v>
      </c>
      <c r="BZ22" s="3">
        <f t="shared" si="10"/>
        <v>27303.471645051926</v>
      </c>
      <c r="CA22" s="3">
        <f t="shared" si="28"/>
        <v>23110</v>
      </c>
      <c r="CB22" s="2">
        <f t="shared" si="29"/>
        <v>0.8464125112158809</v>
      </c>
      <c r="CC22" s="85">
        <f t="shared" si="30"/>
        <v>62</v>
      </c>
      <c r="CD22" s="3" t="str">
        <f t="shared" si="11"/>
        <v>Fixed</v>
      </c>
      <c r="CE22" s="58">
        <f t="shared" si="31"/>
        <v>-1.4495889225443521E-2</v>
      </c>
      <c r="CF22" s="2">
        <f t="array" ref="CF22:CG22">LINEST(AB22:AH22,AB$6:AH$6,TRUE,FALSE)</f>
        <v>-47.857142857142826</v>
      </c>
      <c r="CG22" s="2">
        <v>3492.8571428571427</v>
      </c>
      <c r="CH22" s="1">
        <f>1+IF(G22="CdSCdTe",-0.0025,-0.004)*(S22-PlantData!$S$4)</f>
        <v>1.0383363120119289</v>
      </c>
      <c r="CI22" s="128" t="s">
        <v>233</v>
      </c>
      <c r="CJ22">
        <f t="shared" si="12"/>
        <v>0</v>
      </c>
      <c r="CK22" s="2" t="str">
        <f t="shared" si="32"/>
        <v/>
      </c>
      <c r="CL22" s="58" t="str">
        <f t="shared" si="33"/>
        <v/>
      </c>
      <c r="CN22" s="3"/>
      <c r="CO22" s="3"/>
      <c r="CP22" s="3"/>
      <c r="CQ22" s="3"/>
      <c r="CR22" s="3"/>
      <c r="CS22" s="3"/>
      <c r="CT22" s="3"/>
      <c r="CU22" s="3"/>
      <c r="CV22" s="3"/>
      <c r="DC22" s="2">
        <f t="shared" si="35"/>
        <v>1.45</v>
      </c>
      <c r="DD22">
        <f t="shared" si="13"/>
        <v>2</v>
      </c>
      <c r="DT22" s="3">
        <f t="shared" si="16"/>
        <v>53361</v>
      </c>
      <c r="DU22" s="3">
        <f t="shared" si="46"/>
        <v>1588.5918367347147</v>
      </c>
      <c r="DV22" s="3">
        <f t="shared" si="47"/>
        <v>4059.5102040816409</v>
      </c>
      <c r="DW22" s="3">
        <f t="shared" si="48"/>
        <v>1337.4693877550926</v>
      </c>
      <c r="DX22" s="3">
        <f t="shared" si="49"/>
        <v>156363.75510204092</v>
      </c>
      <c r="DY22" s="3">
        <f t="shared" si="50"/>
        <v>978.79591836734289</v>
      </c>
      <c r="DZ22" s="3">
        <f>($CG22+$CF22*DZ$6-AH22)^2</f>
        <v>112800.02040816344</v>
      </c>
      <c r="EA22" s="3"/>
      <c r="EC22" s="4">
        <f>SQRT(AVERAGE(DT22:DZ22))/AVERAGE(AB22:AH22)</f>
        <v>6.5815422395546039E-2</v>
      </c>
      <c r="ED22" s="160">
        <v>3.2000000000000001E-2</v>
      </c>
      <c r="EE22" s="161">
        <f t="shared" si="18"/>
        <v>0.48620822954963749</v>
      </c>
      <c r="EH22" s="2" t="str">
        <f t="shared" si="38"/>
        <v xml:space="preserve"> </v>
      </c>
      <c r="EI22" s="58" t="str">
        <f t="shared" si="39"/>
        <v xml:space="preserve"> </v>
      </c>
      <c r="EJ22" s="2">
        <f t="shared" si="40"/>
        <v>0.8464125112158809</v>
      </c>
      <c r="EK22" s="58">
        <f t="shared" si="41"/>
        <v>-1.4495889225443521E-2</v>
      </c>
    </row>
    <row r="23" spans="1:141" x14ac:dyDescent="0.3">
      <c r="A23">
        <f t="shared" si="19"/>
        <v>17</v>
      </c>
      <c r="B23" s="6">
        <v>62092</v>
      </c>
      <c r="C23" s="6" t="s">
        <v>714</v>
      </c>
      <c r="D23" s="6">
        <v>2019</v>
      </c>
      <c r="E23" s="6">
        <v>2018</v>
      </c>
      <c r="F23" s="6" t="s">
        <v>248</v>
      </c>
      <c r="G23" s="17" t="s">
        <v>636</v>
      </c>
      <c r="H23" s="17" t="s">
        <v>644</v>
      </c>
      <c r="I23" s="6" t="s">
        <v>35</v>
      </c>
      <c r="J23" s="17">
        <v>35</v>
      </c>
      <c r="K23" s="6" t="s">
        <v>64</v>
      </c>
      <c r="L23" s="12">
        <v>42.582000000000001</v>
      </c>
      <c r="M23" s="12">
        <v>-72.52</v>
      </c>
      <c r="N23" s="14">
        <v>5</v>
      </c>
      <c r="O23" s="6">
        <v>4.0999999999999996</v>
      </c>
      <c r="P23" s="94">
        <f>365.25*4.5</f>
        <v>1643.625</v>
      </c>
      <c r="Q23" s="15" t="s">
        <v>569</v>
      </c>
      <c r="R23" s="14">
        <v>8.1999999999999993</v>
      </c>
      <c r="S23" s="3">
        <f t="shared" si="20"/>
        <v>31.865499999999997</v>
      </c>
      <c r="T23" s="128" t="str">
        <f t="shared" si="21"/>
        <v>C</v>
      </c>
      <c r="U23" s="154">
        <v>1424</v>
      </c>
      <c r="V23" s="154">
        <v>669</v>
      </c>
      <c r="W23" s="156">
        <v>0.50600000000000001</v>
      </c>
      <c r="X23" s="1">
        <f t="shared" si="42"/>
        <v>0.46980337078651685</v>
      </c>
      <c r="Y23" s="162">
        <f t="shared" si="22"/>
        <v>0</v>
      </c>
      <c r="Z23" s="1">
        <f t="shared" si="23"/>
        <v>1</v>
      </c>
      <c r="AA23" s="3">
        <f t="shared" si="24"/>
        <v>6826.5420833224262</v>
      </c>
      <c r="AB23" s="6">
        <v>5800</v>
      </c>
      <c r="AC23" s="6">
        <v>5868</v>
      </c>
      <c r="AD23" s="6">
        <v>5066</v>
      </c>
      <c r="AE23" s="6">
        <v>6398</v>
      </c>
      <c r="AF23" s="93">
        <v>5235</v>
      </c>
      <c r="AG23" s="6">
        <v>5933</v>
      </c>
      <c r="AH23" s="6">
        <v>5681</v>
      </c>
      <c r="AK23" s="23"/>
      <c r="AP23" s="23"/>
      <c r="AU23" s="23"/>
      <c r="AY23" s="32">
        <v>7</v>
      </c>
      <c r="AZ23" s="1">
        <f t="shared" si="25"/>
        <v>0.69499690362113353</v>
      </c>
      <c r="BA23" s="24">
        <f t="shared" si="7"/>
        <v>17</v>
      </c>
      <c r="BB23" s="2">
        <f t="shared" si="51"/>
        <v>0.84962488024056593</v>
      </c>
      <c r="BC23" s="2">
        <f t="shared" si="52"/>
        <v>0.86390552716195479</v>
      </c>
      <c r="BD23" s="2">
        <f t="shared" si="53"/>
        <v>0.74958045178216626</v>
      </c>
      <c r="BE23" s="2">
        <f t="shared" si="54"/>
        <v>0.95142426116018297</v>
      </c>
      <c r="BF23" s="20">
        <f t="shared" si="55"/>
        <v>0.78239054088409499</v>
      </c>
      <c r="BG23" s="2">
        <f t="shared" si="56"/>
        <v>0.89116510519461412</v>
      </c>
      <c r="BH23" s="2">
        <f t="shared" si="57"/>
        <v>0.85760150196636353</v>
      </c>
      <c r="BI23" s="2" t="str">
        <f t="shared" si="58"/>
        <v/>
      </c>
      <c r="BJ23" s="2" t="str">
        <f t="shared" si="59"/>
        <v/>
      </c>
      <c r="BK23" s="20" t="str">
        <f t="shared" si="60"/>
        <v/>
      </c>
      <c r="BL23" s="2" t="str">
        <f t="shared" si="61"/>
        <v/>
      </c>
      <c r="BM23" s="2" t="str">
        <f t="shared" si="62"/>
        <v/>
      </c>
      <c r="BN23" s="2" t="str">
        <f t="shared" ref="BN23:BN31" si="63">IF(ISNUMBER(AN23),MIN(1.15,AN23/($AA23*(1-$K$3)^(BN$6-1))),"")</f>
        <v/>
      </c>
      <c r="BO23" s="2" t="str">
        <f t="shared" ref="BO23:BO31" si="64">IF(ISNUMBER(AO23),MIN(1.15,AO23/($AA23*(1-$K$3)^(BO$6-1))),"")</f>
        <v/>
      </c>
      <c r="BP23" s="23"/>
      <c r="BU23" s="23"/>
      <c r="BY23" s="25">
        <f t="shared" si="9"/>
        <v>17</v>
      </c>
      <c r="BZ23" s="3">
        <f t="shared" si="10"/>
        <v>47074.951112158487</v>
      </c>
      <c r="CA23" s="3">
        <f t="shared" si="28"/>
        <v>39981</v>
      </c>
      <c r="CB23" s="2">
        <f t="shared" si="29"/>
        <v>0.84930518365793339</v>
      </c>
      <c r="CC23" s="85">
        <f t="shared" si="30"/>
        <v>58</v>
      </c>
      <c r="CD23" s="3" t="str">
        <f t="shared" si="11"/>
        <v>Fixed</v>
      </c>
      <c r="CE23" s="58">
        <f t="shared" si="31"/>
        <v>-3.6267226932793026E-4</v>
      </c>
      <c r="CF23" s="2">
        <f t="array" ref="CF23:CG23">LINEST(AB23:AH23,AB$6:AH$6,TRUE,FALSE)</f>
        <v>-2.0714285714285685</v>
      </c>
      <c r="CG23" s="2">
        <v>5719.8571428571431</v>
      </c>
      <c r="CH23" s="1">
        <f>1+IF(G23="CdSCdTe",-0.0025,-0.004)*(S23-PlantData!$S$4)</f>
        <v>1.0383363120119289</v>
      </c>
      <c r="CI23" s="128" t="s">
        <v>377</v>
      </c>
      <c r="CJ23">
        <f t="shared" si="12"/>
        <v>0</v>
      </c>
      <c r="CK23" s="2" t="str">
        <f t="shared" si="32"/>
        <v/>
      </c>
      <c r="CL23" s="58" t="str">
        <f t="shared" si="33"/>
        <v/>
      </c>
      <c r="CN23" s="3"/>
      <c r="CO23" s="3"/>
      <c r="CP23" s="3"/>
      <c r="CQ23" s="3"/>
      <c r="CR23" s="3"/>
      <c r="CS23" s="3"/>
      <c r="CT23" s="3"/>
      <c r="CU23" s="3"/>
      <c r="CV23" s="3"/>
      <c r="DC23" s="2">
        <f t="shared" si="35"/>
        <v>1.2195121951219514</v>
      </c>
      <c r="DD23">
        <f t="shared" si="13"/>
        <v>1</v>
      </c>
      <c r="DT23" s="3">
        <f t="shared" si="16"/>
        <v>6759.1887755101397</v>
      </c>
      <c r="DU23" s="3">
        <f t="shared" si="46"/>
        <v>23190.938775510047</v>
      </c>
      <c r="DV23" s="3">
        <f t="shared" si="47"/>
        <v>419441.27040816413</v>
      </c>
      <c r="DW23" s="3">
        <f t="shared" si="48"/>
        <v>471184.18367346958</v>
      </c>
      <c r="DX23" s="3">
        <f t="shared" si="49"/>
        <v>225150.25</v>
      </c>
      <c r="DY23" s="3">
        <f t="shared" si="50"/>
        <v>50882.469387755045</v>
      </c>
      <c r="DZ23" s="3">
        <f>($CG23+$CF23*DZ$6-AH23)^2</f>
        <v>593.27040816327792</v>
      </c>
      <c r="EA23" s="3"/>
      <c r="EC23" s="4">
        <f>SQRT(AVERAGE(DT23:DZ23))/AVERAGE(AB23:AH23)</f>
        <v>7.2406742031282112E-2</v>
      </c>
      <c r="ED23" s="160">
        <v>3.2000000000000001E-2</v>
      </c>
      <c r="EE23" s="161">
        <f t="shared" si="18"/>
        <v>0.44194779522292194</v>
      </c>
      <c r="EH23" s="2" t="str">
        <f t="shared" si="38"/>
        <v xml:space="preserve"> </v>
      </c>
      <c r="EI23" s="58" t="str">
        <f t="shared" si="39"/>
        <v xml:space="preserve"> </v>
      </c>
      <c r="EJ23" s="2">
        <f t="shared" si="40"/>
        <v>0.84930518365793339</v>
      </c>
      <c r="EK23" s="58">
        <f t="shared" si="41"/>
        <v>-3.6267226932793026E-4</v>
      </c>
    </row>
    <row r="24" spans="1:141" x14ac:dyDescent="0.3">
      <c r="A24">
        <f t="shared" si="19"/>
        <v>18</v>
      </c>
      <c r="B24" s="6">
        <v>62613</v>
      </c>
      <c r="C24" s="6" t="s">
        <v>715</v>
      </c>
      <c r="D24" s="6">
        <v>2019</v>
      </c>
      <c r="E24" s="6">
        <v>2018</v>
      </c>
      <c r="F24" s="6" t="s">
        <v>252</v>
      </c>
      <c r="G24" s="17" t="s">
        <v>636</v>
      </c>
      <c r="H24" s="17" t="s">
        <v>638</v>
      </c>
      <c r="I24" s="6" t="s">
        <v>35</v>
      </c>
      <c r="J24" s="17">
        <v>10</v>
      </c>
      <c r="K24" s="6" t="s">
        <v>411</v>
      </c>
      <c r="L24" s="12">
        <v>41.265300000000003</v>
      </c>
      <c r="M24" s="12">
        <v>-73.957899999999995</v>
      </c>
      <c r="N24" s="14">
        <v>2.4</v>
      </c>
      <c r="O24" s="6">
        <v>1.8</v>
      </c>
      <c r="P24" s="94">
        <f>365.25*4.25</f>
        <v>1552.3125</v>
      </c>
      <c r="Q24" s="15" t="s">
        <v>740</v>
      </c>
      <c r="R24" s="14">
        <v>12.6</v>
      </c>
      <c r="S24" s="3">
        <f t="shared" si="20"/>
        <v>35.586750000000002</v>
      </c>
      <c r="T24" s="128" t="str">
        <f t="shared" si="21"/>
        <v>C</v>
      </c>
      <c r="U24" s="154">
        <v>1461</v>
      </c>
      <c r="V24" s="154">
        <v>682</v>
      </c>
      <c r="W24" s="156">
        <v>0.50900000000000001</v>
      </c>
      <c r="X24" s="1">
        <f t="shared" si="42"/>
        <v>0.46680355920602329</v>
      </c>
      <c r="Y24" s="162">
        <f t="shared" si="22"/>
        <v>1.0314388432580701E-3</v>
      </c>
      <c r="Z24" s="1">
        <f t="shared" si="23"/>
        <v>0.98668079126595454</v>
      </c>
      <c r="AA24" s="3">
        <f t="shared" si="24"/>
        <v>3050.3352283728332</v>
      </c>
      <c r="AB24" s="6">
        <v>2150</v>
      </c>
      <c r="AC24" s="6">
        <v>2472</v>
      </c>
      <c r="AD24" s="6">
        <v>2336</v>
      </c>
      <c r="AE24" s="6">
        <v>2512</v>
      </c>
      <c r="AF24" s="93">
        <v>2319</v>
      </c>
      <c r="AG24" s="6">
        <v>2224</v>
      </c>
      <c r="AK24" s="23"/>
      <c r="AP24" s="23"/>
      <c r="AU24" s="23"/>
      <c r="AY24" s="32">
        <v>6</v>
      </c>
      <c r="AZ24" s="1">
        <f t="shared" si="25"/>
        <v>0.62688730523010028</v>
      </c>
      <c r="BA24" s="24">
        <f t="shared" si="7"/>
        <v>18</v>
      </c>
      <c r="BB24" s="2">
        <f t="shared" si="51"/>
        <v>0.70484056309669718</v>
      </c>
      <c r="BC24" s="2">
        <f t="shared" si="52"/>
        <v>0.81447510668460221</v>
      </c>
      <c r="BD24" s="2">
        <f t="shared" si="53"/>
        <v>0.7735334639277418</v>
      </c>
      <c r="BE24" s="2">
        <f t="shared" si="54"/>
        <v>0.83599334918878954</v>
      </c>
      <c r="BF24" s="20">
        <f t="shared" si="55"/>
        <v>0.77564117433057111</v>
      </c>
      <c r="BG24" s="2">
        <f t="shared" si="56"/>
        <v>0.74760433114741032</v>
      </c>
      <c r="BH24" s="2" t="str">
        <f t="shared" si="57"/>
        <v/>
      </c>
      <c r="BI24" s="2" t="str">
        <f t="shared" si="58"/>
        <v/>
      </c>
      <c r="BJ24" s="2" t="str">
        <f t="shared" si="59"/>
        <v/>
      </c>
      <c r="BK24" s="20" t="str">
        <f t="shared" si="60"/>
        <v/>
      </c>
      <c r="BL24" s="2" t="str">
        <f t="shared" si="61"/>
        <v/>
      </c>
      <c r="BM24" s="2" t="str">
        <f t="shared" si="62"/>
        <v/>
      </c>
      <c r="BN24" s="2" t="str">
        <f t="shared" si="63"/>
        <v/>
      </c>
      <c r="BO24" s="2" t="str">
        <f t="shared" si="64"/>
        <v/>
      </c>
      <c r="BP24" s="20" t="str">
        <f t="shared" ref="BP24:BP31" si="65">IF(ISNUMBER(AP24),MIN(1.15,AP24/($AA24*(1-$K$3)^(BP$6-1))),"")</f>
        <v/>
      </c>
      <c r="BU24" s="23"/>
      <c r="BY24" s="25">
        <f t="shared" si="9"/>
        <v>18</v>
      </c>
      <c r="BZ24" s="3">
        <f t="shared" si="10"/>
        <v>18074.755687773828</v>
      </c>
      <c r="CA24" s="3">
        <f t="shared" si="28"/>
        <v>14013</v>
      </c>
      <c r="CB24" s="104">
        <f t="shared" si="29"/>
        <v>0.77528018868209148</v>
      </c>
      <c r="CC24" s="85">
        <f t="shared" si="30"/>
        <v>78</v>
      </c>
      <c r="CD24" s="3" t="str">
        <f t="shared" si="11"/>
        <v>Fixed</v>
      </c>
      <c r="CE24" s="58">
        <f t="shared" si="31"/>
        <v>1.06431782732361E-3</v>
      </c>
      <c r="CF24" s="2">
        <f t="array" ref="CF24:CG24">LINEST(AB24:AG24,AB$6:AG$6,TRUE,FALSE)</f>
        <v>2.4857142857142911</v>
      </c>
      <c r="CG24" s="2">
        <v>2326.8000000000002</v>
      </c>
      <c r="CH24" s="1">
        <f>1+IF(G24="CdSCdTe",-0.0025,-0.004)*(S24-PlantData!$S$4)</f>
        <v>1.0234513120119288</v>
      </c>
      <c r="CI24" s="128" t="s">
        <v>96</v>
      </c>
      <c r="CJ24">
        <f t="shared" si="12"/>
        <v>0</v>
      </c>
      <c r="CK24" s="2" t="str">
        <f t="shared" si="32"/>
        <v/>
      </c>
      <c r="CL24" s="69" t="str">
        <f t="shared" si="33"/>
        <v/>
      </c>
      <c r="CN24" s="3"/>
      <c r="CO24" s="3"/>
      <c r="CP24" s="3"/>
      <c r="CQ24" s="3"/>
      <c r="CR24" s="3"/>
      <c r="CS24" s="3"/>
      <c r="CT24" s="3"/>
      <c r="CU24" s="3"/>
      <c r="CV24" s="3"/>
      <c r="DC24" s="2">
        <f t="shared" si="35"/>
        <v>1.3333333333333333</v>
      </c>
      <c r="DD24">
        <f t="shared" si="13"/>
        <v>1</v>
      </c>
      <c r="DT24" s="3">
        <f t="shared" si="16"/>
        <v>32143.367346938914</v>
      </c>
      <c r="DU24" s="3">
        <f t="shared" si="46"/>
        <v>19664.052244897921</v>
      </c>
      <c r="DV24" s="3">
        <f t="shared" si="47"/>
        <v>3.0375510204069402</v>
      </c>
      <c r="DW24" s="3">
        <f t="shared" si="48"/>
        <v>30715.066122448945</v>
      </c>
      <c r="DX24" s="3">
        <f t="shared" si="49"/>
        <v>409.19510204082894</v>
      </c>
      <c r="DY24" s="3">
        <f t="shared" si="50"/>
        <v>13856.653061224504</v>
      </c>
      <c r="DZ24" s="3"/>
      <c r="EA24" s="3"/>
      <c r="EC24" s="4">
        <f t="shared" ref="EC24:EC30" si="66">SQRT(AVERAGE(DT24:DY24))/AVERAGE(AB24:AG24)</f>
        <v>5.4382957852150901E-2</v>
      </c>
      <c r="ED24" s="160">
        <v>2.7E-2</v>
      </c>
      <c r="EE24" s="161">
        <f t="shared" si="18"/>
        <v>0.49647906377957562</v>
      </c>
      <c r="EH24" s="2" t="str">
        <f t="shared" si="38"/>
        <v xml:space="preserve"> </v>
      </c>
      <c r="EI24" s="58" t="str">
        <f t="shared" si="39"/>
        <v xml:space="preserve"> </v>
      </c>
      <c r="EJ24" s="2">
        <f t="shared" si="40"/>
        <v>0.77528018868209148</v>
      </c>
      <c r="EK24" s="58">
        <f t="shared" si="41"/>
        <v>1.06431782732361E-3</v>
      </c>
    </row>
    <row r="25" spans="1:141" x14ac:dyDescent="0.3">
      <c r="A25">
        <f t="shared" si="19"/>
        <v>19</v>
      </c>
      <c r="B25" s="6">
        <v>62146</v>
      </c>
      <c r="C25" s="6" t="s">
        <v>741</v>
      </c>
      <c r="D25" s="6">
        <v>2019</v>
      </c>
      <c r="E25" s="6">
        <v>2018</v>
      </c>
      <c r="F25" s="6" t="s">
        <v>252</v>
      </c>
      <c r="G25" s="17" t="s">
        <v>636</v>
      </c>
      <c r="H25" s="17" t="s">
        <v>638</v>
      </c>
      <c r="I25" s="6" t="s">
        <v>35</v>
      </c>
      <c r="J25" s="17">
        <v>25</v>
      </c>
      <c r="K25" s="6" t="s">
        <v>411</v>
      </c>
      <c r="L25" s="12">
        <v>41.31935</v>
      </c>
      <c r="M25" s="12">
        <v>-74.515280000000004</v>
      </c>
      <c r="N25" s="14">
        <v>2.8</v>
      </c>
      <c r="O25" s="6">
        <v>2</v>
      </c>
      <c r="P25" s="94">
        <f>365.25*4.4</f>
        <v>1607.1000000000001</v>
      </c>
      <c r="Q25" s="15" t="s">
        <v>556</v>
      </c>
      <c r="R25" s="14">
        <v>12.7</v>
      </c>
      <c r="S25" s="3">
        <f t="shared" si="20"/>
        <v>36.094000000000001</v>
      </c>
      <c r="T25" s="128" t="str">
        <f t="shared" si="21"/>
        <v>C</v>
      </c>
      <c r="U25" s="154">
        <v>1424</v>
      </c>
      <c r="V25" s="154">
        <v>682</v>
      </c>
      <c r="W25" s="156">
        <v>0.495</v>
      </c>
      <c r="X25" s="1">
        <f t="shared" si="42"/>
        <v>0.4789325842696629</v>
      </c>
      <c r="Y25" s="162">
        <f t="shared" si="22"/>
        <v>2.2925496674157331E-2</v>
      </c>
      <c r="Z25" s="1">
        <f t="shared" si="23"/>
        <v>0.74227798971693959</v>
      </c>
      <c r="AA25" s="3">
        <f t="shared" si="24"/>
        <v>3677.0222667009916</v>
      </c>
      <c r="AB25" s="6">
        <v>3443</v>
      </c>
      <c r="AC25" s="6">
        <v>3561</v>
      </c>
      <c r="AD25" s="6">
        <v>3453</v>
      </c>
      <c r="AE25" s="6">
        <v>3409</v>
      </c>
      <c r="AF25" s="93">
        <v>3234</v>
      </c>
      <c r="AG25" s="6">
        <v>1012</v>
      </c>
      <c r="AK25" s="23"/>
      <c r="AP25" s="23"/>
      <c r="AU25" s="23"/>
      <c r="AY25" s="32">
        <v>6</v>
      </c>
      <c r="AZ25" s="1">
        <f t="shared" si="25"/>
        <v>0.67083270368691306</v>
      </c>
      <c r="BA25" s="24">
        <f t="shared" si="7"/>
        <v>19</v>
      </c>
      <c r="BB25" s="2">
        <f t="shared" si="51"/>
        <v>0.93635549373190075</v>
      </c>
      <c r="BC25" s="2">
        <f t="shared" si="52"/>
        <v>0.97331324446201339</v>
      </c>
      <c r="BD25" s="2">
        <f t="shared" si="53"/>
        <v>0.94853673961702145</v>
      </c>
      <c r="BE25" s="2">
        <f t="shared" si="54"/>
        <v>0.94115574843648475</v>
      </c>
      <c r="BF25" s="20">
        <f t="shared" si="55"/>
        <v>0.89732844051397842</v>
      </c>
      <c r="BG25" s="2">
        <f t="shared" si="56"/>
        <v>0.28220769332132095</v>
      </c>
      <c r="BH25" s="2" t="str">
        <f t="shared" si="57"/>
        <v/>
      </c>
      <c r="BI25" s="2" t="str">
        <f t="shared" si="58"/>
        <v/>
      </c>
      <c r="BJ25" s="2" t="str">
        <f t="shared" si="59"/>
        <v/>
      </c>
      <c r="BK25" s="20" t="str">
        <f t="shared" si="60"/>
        <v/>
      </c>
      <c r="BL25" s="2" t="str">
        <f t="shared" si="61"/>
        <v/>
      </c>
      <c r="BM25" s="2" t="str">
        <f t="shared" si="62"/>
        <v/>
      </c>
      <c r="BN25" s="2" t="str">
        <f t="shared" si="63"/>
        <v/>
      </c>
      <c r="BO25" s="2" t="str">
        <f t="shared" si="64"/>
        <v/>
      </c>
      <c r="BP25" s="20" t="str">
        <f t="shared" si="65"/>
        <v/>
      </c>
      <c r="BQ25" s="2" t="str">
        <f>IF(ISNUMBER(AQ25),MIN(1.15,AQ25/($AA25*(1-$K$3)^(BQ$6-1))),"")</f>
        <v/>
      </c>
      <c r="BU25" s="23"/>
      <c r="BY25" s="25">
        <f t="shared" si="9"/>
        <v>19</v>
      </c>
      <c r="BZ25" s="3">
        <f t="shared" si="10"/>
        <v>21788.188560697239</v>
      </c>
      <c r="CA25" s="3">
        <f t="shared" si="28"/>
        <v>18112</v>
      </c>
      <c r="CB25" s="2">
        <f t="shared" si="29"/>
        <v>0.83127608105390849</v>
      </c>
      <c r="CC25" s="85">
        <f t="shared" si="30"/>
        <v>66</v>
      </c>
      <c r="CD25" s="3" t="str">
        <f t="shared" si="11"/>
        <v>Fixed</v>
      </c>
      <c r="CE25" s="58">
        <f t="shared" si="31"/>
        <v>-0.12474760222110046</v>
      </c>
      <c r="CF25" s="2">
        <f t="array" ref="CF25:CG25">LINEST(AB25:AG25,AB$6:AG$6,TRUE,FALSE)</f>
        <v>-376.57142857142861</v>
      </c>
      <c r="CG25" s="2">
        <v>4336.666666666667</v>
      </c>
      <c r="CH25" s="1">
        <f>1+IF(G25="CdSCdTe",-0.0025,-0.004)*(S25-PlantData!$S$4)</f>
        <v>1.021422312011929</v>
      </c>
      <c r="CI25" s="128" t="s">
        <v>411</v>
      </c>
      <c r="CJ25">
        <f t="shared" si="12"/>
        <v>2</v>
      </c>
      <c r="CK25" s="2">
        <f t="shared" si="32"/>
        <v>0.80327813486800004</v>
      </c>
      <c r="CL25" s="69">
        <f t="shared" si="33"/>
        <v>-6.1841642196888424E-2</v>
      </c>
      <c r="CN25" s="3"/>
      <c r="CO25" s="3"/>
      <c r="CP25" s="3"/>
      <c r="CQ25" s="3"/>
      <c r="CR25" s="3"/>
      <c r="CS25" s="3"/>
      <c r="CT25" s="3"/>
      <c r="CU25" s="3"/>
      <c r="CV25" s="3"/>
      <c r="DC25" s="2">
        <f t="shared" si="35"/>
        <v>1.4</v>
      </c>
      <c r="DD25">
        <f t="shared" si="13"/>
        <v>1</v>
      </c>
      <c r="DT25" s="3">
        <f t="shared" si="16"/>
        <v>267387.48526077141</v>
      </c>
      <c r="DU25" s="3">
        <f t="shared" si="46"/>
        <v>507.32199546485748</v>
      </c>
      <c r="DV25" s="3">
        <f t="shared" si="47"/>
        <v>60539.430839002147</v>
      </c>
      <c r="DW25" s="3">
        <f t="shared" si="48"/>
        <v>334800.00226757379</v>
      </c>
      <c r="DX25" s="3">
        <f t="shared" si="49"/>
        <v>608697.1791383219</v>
      </c>
      <c r="DY25" s="3">
        <f t="shared" si="50"/>
        <v>1134732.1995464857</v>
      </c>
      <c r="DZ25" s="3"/>
      <c r="EA25" s="3"/>
      <c r="EC25" s="4">
        <f t="shared" si="66"/>
        <v>0.2098055208692691</v>
      </c>
      <c r="ED25" s="160">
        <v>3.1E-2</v>
      </c>
      <c r="EE25" s="161">
        <f t="shared" si="18"/>
        <v>0.14775588302710232</v>
      </c>
      <c r="EH25" s="2" t="str">
        <f t="shared" si="38"/>
        <v xml:space="preserve"> </v>
      </c>
      <c r="EI25" s="58" t="str">
        <f t="shared" si="39"/>
        <v xml:space="preserve"> </v>
      </c>
      <c r="EJ25" s="2">
        <f t="shared" si="40"/>
        <v>0.83127608105390849</v>
      </c>
      <c r="EK25" s="58">
        <f t="shared" si="41"/>
        <v>-0.12474760222110046</v>
      </c>
    </row>
    <row r="26" spans="1:141" x14ac:dyDescent="0.3">
      <c r="A26">
        <f t="shared" si="19"/>
        <v>20</v>
      </c>
      <c r="B26" s="6">
        <v>61944</v>
      </c>
      <c r="C26" s="6" t="s">
        <v>716</v>
      </c>
      <c r="D26" s="6">
        <v>2019</v>
      </c>
      <c r="E26" s="6">
        <v>2018</v>
      </c>
      <c r="F26" s="6" t="s">
        <v>252</v>
      </c>
      <c r="G26" s="17" t="s">
        <v>636</v>
      </c>
      <c r="H26" s="17" t="s">
        <v>638</v>
      </c>
      <c r="I26" s="6" t="s">
        <v>36</v>
      </c>
      <c r="J26" s="17">
        <v>0</v>
      </c>
      <c r="K26" s="6" t="s">
        <v>689</v>
      </c>
      <c r="L26" s="12">
        <v>34.230539999999998</v>
      </c>
      <c r="M26" s="12">
        <v>-79.390609999999995</v>
      </c>
      <c r="N26" s="14">
        <v>2.4</v>
      </c>
      <c r="O26" s="6">
        <v>1.9</v>
      </c>
      <c r="P26" s="94">
        <f>365.25*5.9</f>
        <v>2154.9749999999999</v>
      </c>
      <c r="Q26" s="15" t="s">
        <v>664</v>
      </c>
      <c r="R26" s="14">
        <v>17.399999999999999</v>
      </c>
      <c r="S26" s="3">
        <f t="shared" si="20"/>
        <v>44.065574999999995</v>
      </c>
      <c r="T26" s="128" t="str">
        <f t="shared" si="21"/>
        <v>M</v>
      </c>
      <c r="U26" s="154">
        <v>1644</v>
      </c>
      <c r="V26" s="154">
        <v>722</v>
      </c>
      <c r="W26" s="156">
        <v>0.53100000000000003</v>
      </c>
      <c r="X26" s="1">
        <f t="shared" si="42"/>
        <v>0.43917274939172751</v>
      </c>
      <c r="Y26" s="162">
        <f t="shared" si="22"/>
        <v>4.3269748900243321E-2</v>
      </c>
      <c r="Z26" s="1">
        <f t="shared" si="23"/>
        <v>0.56977898685587347</v>
      </c>
      <c r="AA26" s="3">
        <f t="shared" si="24"/>
        <v>3889.5438702933816</v>
      </c>
      <c r="AB26" s="6">
        <v>3077</v>
      </c>
      <c r="AC26" s="6">
        <v>3691</v>
      </c>
      <c r="AD26" s="6">
        <v>2939</v>
      </c>
      <c r="AE26" s="6">
        <v>3682</v>
      </c>
      <c r="AF26" s="93">
        <v>3693</v>
      </c>
      <c r="AG26" s="6">
        <v>3596</v>
      </c>
      <c r="AK26" s="23"/>
      <c r="AP26" s="23"/>
      <c r="AU26" s="23"/>
      <c r="AY26" s="32">
        <v>6</v>
      </c>
      <c r="AZ26" s="1">
        <f t="shared" si="25"/>
        <v>0.66635214896795669</v>
      </c>
      <c r="BA26" s="24">
        <f t="shared" si="7"/>
        <v>20</v>
      </c>
      <c r="BB26" s="2">
        <f t="shared" si="51"/>
        <v>0.79109533215469485</v>
      </c>
      <c r="BC26" s="2">
        <f t="shared" si="52"/>
        <v>0.95372307458089223</v>
      </c>
      <c r="BD26" s="2">
        <f t="shared" si="53"/>
        <v>0.76322880078889233</v>
      </c>
      <c r="BE26" s="2">
        <f t="shared" si="54"/>
        <v>0.96098335997944861</v>
      </c>
      <c r="BF26" s="20">
        <f t="shared" si="55"/>
        <v>0.96869779325855332</v>
      </c>
      <c r="BG26" s="2">
        <f t="shared" si="56"/>
        <v>0.94799403585970954</v>
      </c>
      <c r="BH26" s="2" t="str">
        <f t="shared" si="57"/>
        <v/>
      </c>
      <c r="BI26" s="2" t="str">
        <f t="shared" si="58"/>
        <v/>
      </c>
      <c r="BJ26" s="2" t="str">
        <f t="shared" si="59"/>
        <v/>
      </c>
      <c r="BK26" s="20" t="str">
        <f t="shared" si="60"/>
        <v/>
      </c>
      <c r="BL26" s="2" t="str">
        <f t="shared" si="61"/>
        <v/>
      </c>
      <c r="BM26" s="2" t="str">
        <f t="shared" si="62"/>
        <v/>
      </c>
      <c r="BN26" s="2" t="str">
        <f t="shared" si="63"/>
        <v/>
      </c>
      <c r="BO26" s="2" t="str">
        <f t="shared" si="64"/>
        <v/>
      </c>
      <c r="BP26" s="20" t="str">
        <f t="shared" si="65"/>
        <v/>
      </c>
      <c r="BU26" s="23"/>
      <c r="BY26" s="25">
        <f t="shared" si="9"/>
        <v>20</v>
      </c>
      <c r="BZ26" s="3">
        <f t="shared" si="10"/>
        <v>23047.484925102228</v>
      </c>
      <c r="CA26" s="3">
        <f t="shared" si="28"/>
        <v>20678</v>
      </c>
      <c r="CB26" s="2">
        <f t="shared" si="29"/>
        <v>0.89719117149648298</v>
      </c>
      <c r="CC26" s="85">
        <f t="shared" si="30"/>
        <v>46</v>
      </c>
      <c r="CD26" s="3" t="str">
        <f t="shared" si="11"/>
        <v>Tracker</v>
      </c>
      <c r="CE26" s="58">
        <f t="shared" si="31"/>
        <v>2.7723045887278409E-2</v>
      </c>
      <c r="CF26" s="2">
        <f t="array" ref="CF26:CG26">LINEST(AB26:AG26,AB$6:AG$6,TRUE,FALSE)</f>
        <v>95.542857142857159</v>
      </c>
      <c r="CG26" s="2">
        <v>3111.9333333333334</v>
      </c>
      <c r="CH26" s="1">
        <f>1+IF(G26="CdSCdTe",-0.0025,-0.004)*(S26-PlantData!$S$4)</f>
        <v>0.98953601201192898</v>
      </c>
      <c r="CI26" s="51" t="s">
        <v>370</v>
      </c>
      <c r="CJ26">
        <f t="shared" si="12"/>
        <v>1</v>
      </c>
      <c r="CK26" s="2">
        <f t="shared" si="32"/>
        <v>1.0352031594480515</v>
      </c>
      <c r="CL26" s="69">
        <f t="shared" si="33"/>
        <v>3.5848484141246954E-4</v>
      </c>
      <c r="CN26" s="3"/>
      <c r="CO26" s="3"/>
      <c r="CP26" s="3"/>
      <c r="CQ26" s="3"/>
      <c r="CR26" s="3"/>
      <c r="CS26" s="3"/>
      <c r="CT26" s="3"/>
      <c r="CU26" s="3"/>
      <c r="CV26" s="3"/>
      <c r="DC26" s="2">
        <f t="shared" si="35"/>
        <v>1.263157894736842</v>
      </c>
      <c r="DD26">
        <f t="shared" si="13"/>
        <v>1</v>
      </c>
      <c r="DT26" s="3">
        <f t="shared" si="16"/>
        <v>17024.036281179109</v>
      </c>
      <c r="DU26" s="3">
        <f t="shared" si="46"/>
        <v>150529.2194104307</v>
      </c>
      <c r="DV26" s="3">
        <f t="shared" si="47"/>
        <v>211197.14430839004</v>
      </c>
      <c r="DW26" s="3">
        <f t="shared" si="48"/>
        <v>35304.620498866105</v>
      </c>
      <c r="DX26" s="3">
        <f t="shared" si="49"/>
        <v>10681.714648526051</v>
      </c>
      <c r="DY26" s="3">
        <f t="shared" si="50"/>
        <v>7954.9410430838925</v>
      </c>
      <c r="DZ26" s="3"/>
      <c r="EA26" s="3"/>
      <c r="EC26" s="4">
        <f t="shared" si="66"/>
        <v>7.792133140515875E-2</v>
      </c>
      <c r="ED26" s="160">
        <v>3.2000000000000001E-2</v>
      </c>
      <c r="EE26" s="161">
        <f t="shared" si="18"/>
        <v>0.4106706010144156</v>
      </c>
      <c r="EH26" s="2" t="str">
        <f t="shared" si="38"/>
        <v xml:space="preserve"> </v>
      </c>
      <c r="EI26" s="58" t="str">
        <f t="shared" si="39"/>
        <v xml:space="preserve"> </v>
      </c>
      <c r="EJ26" s="2" t="str">
        <f t="shared" si="40"/>
        <v xml:space="preserve"> </v>
      </c>
      <c r="EK26" s="58" t="str">
        <f t="shared" si="41"/>
        <v xml:space="preserve"> </v>
      </c>
    </row>
    <row r="27" spans="1:141" x14ac:dyDescent="0.3">
      <c r="A27">
        <f t="shared" si="19"/>
        <v>21</v>
      </c>
      <c r="B27" s="6">
        <v>62225</v>
      </c>
      <c r="C27" s="6" t="s">
        <v>717</v>
      </c>
      <c r="D27" s="6">
        <v>2019</v>
      </c>
      <c r="E27" s="6">
        <v>2018</v>
      </c>
      <c r="F27" s="6" t="s">
        <v>252</v>
      </c>
      <c r="G27" s="17" t="s">
        <v>636</v>
      </c>
      <c r="H27" s="17" t="s">
        <v>638</v>
      </c>
      <c r="I27" s="6" t="s">
        <v>35</v>
      </c>
      <c r="J27" s="17">
        <v>25</v>
      </c>
      <c r="K27" s="6" t="s">
        <v>52</v>
      </c>
      <c r="L27" s="12">
        <v>40.652000000000001</v>
      </c>
      <c r="M27" s="12">
        <v>-74.908000000000001</v>
      </c>
      <c r="N27" s="14">
        <v>2</v>
      </c>
      <c r="O27" s="6">
        <v>1.5</v>
      </c>
      <c r="P27" s="94">
        <f>365.25*4.4</f>
        <v>1607.1000000000001</v>
      </c>
      <c r="Q27" s="15" t="s">
        <v>557</v>
      </c>
      <c r="R27" s="14">
        <v>10.7</v>
      </c>
      <c r="S27" s="3">
        <f t="shared" si="20"/>
        <v>34.094000000000001</v>
      </c>
      <c r="T27" s="128" t="str">
        <f t="shared" si="21"/>
        <v>C</v>
      </c>
      <c r="U27" s="154">
        <v>1424</v>
      </c>
      <c r="V27" s="154">
        <v>682</v>
      </c>
      <c r="W27" s="156">
        <v>0.495</v>
      </c>
      <c r="X27" s="1">
        <f t="shared" si="42"/>
        <v>0.4789325842696629</v>
      </c>
      <c r="Y27" s="162">
        <f t="shared" si="22"/>
        <v>1.2275780674157355E-2</v>
      </c>
      <c r="Z27" s="1">
        <f t="shared" si="23"/>
        <v>0.85249737520804847</v>
      </c>
      <c r="AA27" s="3">
        <f t="shared" si="24"/>
        <v>2647.0153562149944</v>
      </c>
      <c r="AB27" s="6">
        <v>1772</v>
      </c>
      <c r="AC27" s="6">
        <v>2289</v>
      </c>
      <c r="AD27" s="6">
        <v>2324</v>
      </c>
      <c r="AE27" s="6">
        <v>1609</v>
      </c>
      <c r="AF27" s="93">
        <v>402</v>
      </c>
      <c r="AG27" s="6">
        <v>632</v>
      </c>
      <c r="AK27" s="23"/>
      <c r="AP27" s="23"/>
      <c r="AU27" s="23"/>
      <c r="AY27" s="32">
        <v>6</v>
      </c>
      <c r="AZ27" s="1">
        <f t="shared" si="25"/>
        <v>0.46813100201190549</v>
      </c>
      <c r="BA27" s="24">
        <f t="shared" si="7"/>
        <v>21</v>
      </c>
      <c r="BB27" s="2">
        <f t="shared" si="51"/>
        <v>0.66943321497530273</v>
      </c>
      <c r="BC27" s="2">
        <f t="shared" si="52"/>
        <v>0.86909299833165143</v>
      </c>
      <c r="BD27" s="2">
        <f t="shared" si="53"/>
        <v>0.88681596190772916</v>
      </c>
      <c r="BE27" s="2">
        <f t="shared" si="54"/>
        <v>0.61706418612405234</v>
      </c>
      <c r="BF27" s="20">
        <f t="shared" si="55"/>
        <v>0.15494489403004397</v>
      </c>
      <c r="BG27" s="2">
        <f t="shared" si="56"/>
        <v>0.24481905304379556</v>
      </c>
      <c r="BH27" s="2" t="str">
        <f t="shared" si="57"/>
        <v/>
      </c>
      <c r="BI27" s="2" t="str">
        <f t="shared" si="58"/>
        <v/>
      </c>
      <c r="BJ27" s="2" t="str">
        <f t="shared" si="59"/>
        <v/>
      </c>
      <c r="BK27" s="20" t="str">
        <f t="shared" si="60"/>
        <v/>
      </c>
      <c r="BL27" s="2" t="str">
        <f t="shared" si="61"/>
        <v/>
      </c>
      <c r="BM27" s="2" t="str">
        <f t="shared" si="62"/>
        <v/>
      </c>
      <c r="BN27" s="2" t="str">
        <f t="shared" si="63"/>
        <v/>
      </c>
      <c r="BO27" s="2" t="str">
        <f t="shared" si="64"/>
        <v/>
      </c>
      <c r="BP27" s="20" t="str">
        <f t="shared" si="65"/>
        <v/>
      </c>
      <c r="BQ27" s="2" t="str">
        <f>IF(ISNUMBER(AQ27),MIN(1.15,AQ27/($AA27*(1-$K$3)^(BQ$6-1))),"")</f>
        <v/>
      </c>
      <c r="BU27" s="23"/>
      <c r="BY27" s="25">
        <f t="shared" si="9"/>
        <v>21</v>
      </c>
      <c r="BZ27" s="3">
        <f t="shared" si="10"/>
        <v>15684.884540016135</v>
      </c>
      <c r="CA27" s="3">
        <f t="shared" si="28"/>
        <v>9028</v>
      </c>
      <c r="CB27" s="2">
        <f t="shared" si="29"/>
        <v>0.5755860030060963</v>
      </c>
      <c r="CC27" s="85">
        <f t="shared" si="30"/>
        <v>98</v>
      </c>
      <c r="CD27" s="3" t="str">
        <f t="shared" si="11"/>
        <v>Fixed</v>
      </c>
      <c r="CE27" s="58">
        <f t="shared" si="31"/>
        <v>-0.22930565225647195</v>
      </c>
      <c r="CF27" s="2">
        <f t="array" ref="CF27:CG27">LINEST(AB27:AG27,AB$6:AG$6,TRUE,FALSE)</f>
        <v>-345.02857142857147</v>
      </c>
      <c r="CG27" s="2">
        <v>2712.2666666666669</v>
      </c>
      <c r="CH27" s="1">
        <f>1+IF(G27="CdSCdTe",-0.0025,-0.004)*(S27-PlantData!$S$4)</f>
        <v>1.029422312011929</v>
      </c>
      <c r="CI27" s="217" t="s">
        <v>688</v>
      </c>
      <c r="CJ27">
        <f t="shared" si="12"/>
        <v>1</v>
      </c>
      <c r="CK27" s="2">
        <f t="shared" si="32"/>
        <v>0.96502346346771861</v>
      </c>
      <c r="CL27" s="58">
        <f t="shared" si="33"/>
        <v>1.2795985573153511E-3</v>
      </c>
      <c r="CN27" s="3"/>
      <c r="CO27" s="3"/>
      <c r="CP27" s="3"/>
      <c r="CQ27" s="3"/>
      <c r="CR27" s="3"/>
      <c r="CS27" s="3"/>
      <c r="CT27" s="3"/>
      <c r="CU27" s="3"/>
      <c r="CV27" s="3"/>
      <c r="DC27" s="2">
        <f t="shared" si="35"/>
        <v>1.3333333333333333</v>
      </c>
      <c r="DD27">
        <f t="shared" si="13"/>
        <v>1</v>
      </c>
      <c r="DT27" s="3">
        <f t="shared" si="16"/>
        <v>354308.39002267591</v>
      </c>
      <c r="DU27" s="3">
        <f t="shared" si="46"/>
        <v>71177.158185940978</v>
      </c>
      <c r="DV27" s="3">
        <f t="shared" si="47"/>
        <v>418374.88036281167</v>
      </c>
      <c r="DW27" s="3">
        <f t="shared" si="48"/>
        <v>76644.604172335574</v>
      </c>
      <c r="DX27" s="3">
        <f t="shared" si="49"/>
        <v>342369.87247165537</v>
      </c>
      <c r="DY27" s="3">
        <f t="shared" si="50"/>
        <v>101.91383219954605</v>
      </c>
      <c r="DZ27" s="3"/>
      <c r="EA27" s="3"/>
      <c r="EC27" s="4">
        <f t="shared" si="66"/>
        <v>0.30491708869262202</v>
      </c>
      <c r="ED27" s="160">
        <v>2.9000000000000001E-2</v>
      </c>
      <c r="EE27" s="161">
        <f t="shared" si="18"/>
        <v>9.5107821356755939E-2</v>
      </c>
      <c r="EH27" s="2" t="str">
        <f t="shared" si="38"/>
        <v xml:space="preserve"> </v>
      </c>
      <c r="EI27" s="58" t="str">
        <f t="shared" si="39"/>
        <v xml:space="preserve"> </v>
      </c>
      <c r="EJ27" s="2">
        <f t="shared" si="40"/>
        <v>0.5755860030060963</v>
      </c>
      <c r="EK27" s="58">
        <f t="shared" si="41"/>
        <v>-0.22930565225647195</v>
      </c>
    </row>
    <row r="28" spans="1:141" x14ac:dyDescent="0.3">
      <c r="A28">
        <f t="shared" si="19"/>
        <v>22</v>
      </c>
      <c r="B28" s="6">
        <v>61874</v>
      </c>
      <c r="C28" s="6" t="s">
        <v>718</v>
      </c>
      <c r="D28" s="6">
        <v>2019</v>
      </c>
      <c r="E28" s="6">
        <v>2018</v>
      </c>
      <c r="F28" s="6" t="s">
        <v>252</v>
      </c>
      <c r="G28" s="17" t="s">
        <v>636</v>
      </c>
      <c r="H28" s="17" t="s">
        <v>638</v>
      </c>
      <c r="I28" s="6" t="s">
        <v>36</v>
      </c>
      <c r="J28" s="17">
        <v>0</v>
      </c>
      <c r="K28" s="6" t="s">
        <v>138</v>
      </c>
      <c r="L28" s="12">
        <v>31.291149999999998</v>
      </c>
      <c r="M28" s="12">
        <v>-97.260999999999996</v>
      </c>
      <c r="N28" s="14">
        <v>14.2</v>
      </c>
      <c r="O28" s="6">
        <v>10</v>
      </c>
      <c r="P28" s="94">
        <f>365.25*6.5</f>
        <v>2374.125</v>
      </c>
      <c r="Q28" s="15" t="s">
        <v>742</v>
      </c>
      <c r="R28" s="14">
        <v>19.3</v>
      </c>
      <c r="S28" s="3">
        <f t="shared" si="20"/>
        <v>47.513125000000002</v>
      </c>
      <c r="T28" s="128" t="str">
        <f t="shared" si="21"/>
        <v>M</v>
      </c>
      <c r="U28" s="154">
        <v>1790</v>
      </c>
      <c r="V28" s="154">
        <v>693</v>
      </c>
      <c r="W28" s="156">
        <v>0.56299999999999994</v>
      </c>
      <c r="X28" s="1">
        <f t="shared" si="42"/>
        <v>0.38715083798882682</v>
      </c>
      <c r="Y28" s="162">
        <f t="shared" si="22"/>
        <v>8.7488180920530734E-2</v>
      </c>
      <c r="Z28" s="1">
        <f t="shared" si="23"/>
        <v>0.32066883598966117</v>
      </c>
      <c r="AA28" s="3">
        <f t="shared" si="24"/>
        <v>25000.126939974918</v>
      </c>
      <c r="AB28" s="6">
        <v>18324</v>
      </c>
      <c r="AC28" s="6">
        <v>20266</v>
      </c>
      <c r="AD28" s="6">
        <v>16150</v>
      </c>
      <c r="AE28" s="6">
        <v>17272</v>
      </c>
      <c r="AF28" s="93">
        <v>16248</v>
      </c>
      <c r="AG28" s="6">
        <v>16610</v>
      </c>
      <c r="AK28" s="23"/>
      <c r="AP28" s="23"/>
      <c r="AU28" s="23"/>
      <c r="AY28" s="32">
        <v>6</v>
      </c>
      <c r="AZ28" s="1">
        <f t="shared" si="25"/>
        <v>0.51845144826028078</v>
      </c>
      <c r="BA28" s="24">
        <f t="shared" si="7"/>
        <v>22</v>
      </c>
      <c r="BB28" s="2">
        <f t="shared" si="51"/>
        <v>0.73295627834193644</v>
      </c>
      <c r="BC28" s="2">
        <f t="shared" si="52"/>
        <v>0.81470943107140614</v>
      </c>
      <c r="BD28" s="2">
        <f t="shared" si="53"/>
        <v>0.65250546186985503</v>
      </c>
      <c r="BE28" s="2">
        <f t="shared" si="54"/>
        <v>0.70134414097833653</v>
      </c>
      <c r="BF28" s="20">
        <f t="shared" si="55"/>
        <v>0.66307915228155678</v>
      </c>
      <c r="BG28" s="2">
        <f t="shared" si="56"/>
        <v>0.68125862692318417</v>
      </c>
      <c r="BH28" s="2" t="str">
        <f t="shared" si="57"/>
        <v/>
      </c>
      <c r="BI28" s="2" t="str">
        <f t="shared" si="58"/>
        <v/>
      </c>
      <c r="BJ28" s="2" t="str">
        <f t="shared" si="59"/>
        <v/>
      </c>
      <c r="BK28" s="20" t="str">
        <f t="shared" si="60"/>
        <v/>
      </c>
      <c r="BL28" s="2" t="str">
        <f t="shared" si="61"/>
        <v/>
      </c>
      <c r="BM28" s="2" t="str">
        <f t="shared" si="62"/>
        <v/>
      </c>
      <c r="BN28" s="2" t="str">
        <f t="shared" si="63"/>
        <v/>
      </c>
      <c r="BO28" s="2" t="str">
        <f t="shared" si="64"/>
        <v/>
      </c>
      <c r="BP28" s="20" t="str">
        <f t="shared" si="65"/>
        <v/>
      </c>
      <c r="BQ28" s="2" t="str">
        <f>IF(ISNUMBER(AQ28),MIN(1.15,AQ28/($AA28*(1-$K$3)^(BQ$6-1))),"")</f>
        <v/>
      </c>
      <c r="BU28" s="23"/>
      <c r="BY28" s="25">
        <f t="shared" si="9"/>
        <v>22</v>
      </c>
      <c r="BZ28" s="3">
        <f t="shared" si="10"/>
        <v>148138.20540125517</v>
      </c>
      <c r="CA28" s="3">
        <f t="shared" si="28"/>
        <v>104870</v>
      </c>
      <c r="CB28" s="1">
        <f t="shared" si="29"/>
        <v>0.70792001101905777</v>
      </c>
      <c r="CC28" s="85">
        <f t="shared" si="30"/>
        <v>86</v>
      </c>
      <c r="CD28" s="3" t="str">
        <f t="shared" si="11"/>
        <v>Tracker</v>
      </c>
      <c r="CE28" s="58">
        <f t="shared" si="31"/>
        <v>-3.1879469819776879E-2</v>
      </c>
      <c r="CF28" s="2">
        <f t="array" ref="CF28:CG28">LINEST(AB28:AG28,AB$6:AG$6,TRUE,FALSE)</f>
        <v>-557.20000000000016</v>
      </c>
      <c r="CG28" s="2">
        <v>19428.533333333333</v>
      </c>
      <c r="CH28" s="1">
        <f>1+IF(G28="CdSCdTe",-0.0025,-0.004)*(S28-PlantData!$S$4)</f>
        <v>0.97574581201192889</v>
      </c>
      <c r="CI28" s="217" t="s">
        <v>722</v>
      </c>
      <c r="CJ28">
        <f t="shared" si="12"/>
        <v>1</v>
      </c>
      <c r="CK28" s="2">
        <f t="shared" si="32"/>
        <v>0.9329953550940765</v>
      </c>
      <c r="CL28" s="58">
        <f t="shared" si="33"/>
        <v>-1.2418305135889507E-2</v>
      </c>
      <c r="CN28" s="3"/>
      <c r="CO28" s="3"/>
      <c r="CP28" s="3"/>
      <c r="CQ28" s="3"/>
      <c r="CR28" s="3"/>
      <c r="CS28" s="3"/>
      <c r="CT28" s="3"/>
      <c r="CU28" s="3"/>
      <c r="CV28" s="3"/>
      <c r="DC28" s="2">
        <f t="shared" si="35"/>
        <v>1.42</v>
      </c>
      <c r="DD28">
        <f t="shared" si="13"/>
        <v>1</v>
      </c>
      <c r="DT28" s="3">
        <f t="shared" si="16"/>
        <v>299573.77777777647</v>
      </c>
      <c r="DU28" s="3">
        <f t="shared" si="46"/>
        <v>3809783.484444452</v>
      </c>
      <c r="DV28" s="3">
        <f t="shared" si="47"/>
        <v>2582234.7377777807</v>
      </c>
      <c r="DW28" s="3">
        <f t="shared" si="48"/>
        <v>5222.4711111110764</v>
      </c>
      <c r="DX28" s="3">
        <f t="shared" si="49"/>
        <v>155656.55111111072</v>
      </c>
      <c r="DY28" s="3">
        <f t="shared" si="50"/>
        <v>275275.1111111124</v>
      </c>
      <c r="DZ28" s="3"/>
      <c r="EA28" s="3"/>
      <c r="EC28" s="4">
        <f t="shared" si="66"/>
        <v>6.2359190486441882E-2</v>
      </c>
      <c r="ED28" s="160">
        <v>0.03</v>
      </c>
      <c r="EE28" s="161">
        <f t="shared" si="18"/>
        <v>0.48108385894654276</v>
      </c>
      <c r="EH28" s="2" t="str">
        <f t="shared" si="38"/>
        <v xml:space="preserve"> </v>
      </c>
      <c r="EI28" s="58" t="str">
        <f t="shared" si="39"/>
        <v xml:space="preserve"> </v>
      </c>
      <c r="EJ28" s="2" t="str">
        <f t="shared" si="40"/>
        <v xml:space="preserve"> </v>
      </c>
      <c r="EK28" s="58" t="str">
        <f t="shared" si="41"/>
        <v xml:space="preserve"> </v>
      </c>
    </row>
    <row r="29" spans="1:141" x14ac:dyDescent="0.3">
      <c r="A29">
        <f t="shared" si="19"/>
        <v>23</v>
      </c>
      <c r="B29" s="6">
        <v>62224</v>
      </c>
      <c r="C29" s="6" t="s">
        <v>719</v>
      </c>
      <c r="D29" s="6">
        <v>2019</v>
      </c>
      <c r="E29" s="6">
        <v>2018</v>
      </c>
      <c r="F29" s="6" t="s">
        <v>252</v>
      </c>
      <c r="G29" s="17" t="s">
        <v>636</v>
      </c>
      <c r="H29" s="17" t="s">
        <v>638</v>
      </c>
      <c r="I29" s="6" t="s">
        <v>36</v>
      </c>
      <c r="J29" s="17">
        <v>0</v>
      </c>
      <c r="K29" s="6" t="s">
        <v>51</v>
      </c>
      <c r="L29" s="12">
        <v>40.4407</v>
      </c>
      <c r="M29" s="12">
        <v>-104.6455</v>
      </c>
      <c r="N29" s="14">
        <v>2</v>
      </c>
      <c r="O29" s="6">
        <v>1.5</v>
      </c>
      <c r="P29" s="94">
        <f>365.25*6.4</f>
        <v>2337.6</v>
      </c>
      <c r="Q29" s="15" t="s">
        <v>514</v>
      </c>
      <c r="R29" s="14">
        <v>10.199999999999999</v>
      </c>
      <c r="S29" s="3">
        <f t="shared" si="20"/>
        <v>38.155199999999994</v>
      </c>
      <c r="T29" s="128" t="str">
        <f t="shared" si="21"/>
        <v>C</v>
      </c>
      <c r="U29" s="154">
        <v>1680</v>
      </c>
      <c r="V29" s="154">
        <v>603</v>
      </c>
      <c r="W29" s="156">
        <v>0.57899999999999996</v>
      </c>
      <c r="X29" s="1">
        <f t="shared" si="42"/>
        <v>0.35892857142857143</v>
      </c>
      <c r="Y29" s="162">
        <f t="shared" si="22"/>
        <v>5.4191566857142881E-2</v>
      </c>
      <c r="Z29" s="1">
        <f t="shared" si="23"/>
        <v>0.49436045140909446</v>
      </c>
      <c r="AA29" s="3">
        <f t="shared" si="24"/>
        <v>3599.9737031602099</v>
      </c>
      <c r="AB29" s="6">
        <v>3460</v>
      </c>
      <c r="AC29" s="6">
        <v>3539</v>
      </c>
      <c r="AD29" s="6">
        <v>3516</v>
      </c>
      <c r="AE29" s="6">
        <v>3133</v>
      </c>
      <c r="AF29" s="93">
        <v>3413</v>
      </c>
      <c r="AG29" s="6">
        <v>3462</v>
      </c>
      <c r="AK29" s="23"/>
      <c r="AP29" s="23"/>
      <c r="AU29" s="23"/>
      <c r="AY29" s="32">
        <v>6</v>
      </c>
      <c r="AZ29" s="1">
        <f t="shared" si="25"/>
        <v>0.73162645448323071</v>
      </c>
      <c r="BA29" s="24">
        <f t="shared" si="7"/>
        <v>23</v>
      </c>
      <c r="BB29" s="2">
        <f t="shared" si="51"/>
        <v>0.96111813176931404</v>
      </c>
      <c r="BC29" s="2">
        <f t="shared" si="52"/>
        <v>0.9880027502633405</v>
      </c>
      <c r="BD29" s="2">
        <f t="shared" si="53"/>
        <v>0.98651428090605764</v>
      </c>
      <c r="BE29" s="2">
        <f t="shared" si="54"/>
        <v>0.88347003563856785</v>
      </c>
      <c r="BF29" s="20">
        <f t="shared" si="55"/>
        <v>0.96726313714580947</v>
      </c>
      <c r="BG29" s="2">
        <f t="shared" si="56"/>
        <v>0.98608041107936173</v>
      </c>
      <c r="BH29" s="2" t="str">
        <f t="shared" si="57"/>
        <v/>
      </c>
      <c r="BI29" s="2" t="str">
        <f t="shared" si="58"/>
        <v/>
      </c>
      <c r="BJ29" s="2" t="str">
        <f t="shared" si="59"/>
        <v/>
      </c>
      <c r="BK29" s="20" t="str">
        <f t="shared" si="60"/>
        <v/>
      </c>
      <c r="BL29" s="2" t="str">
        <f t="shared" si="61"/>
        <v/>
      </c>
      <c r="BM29" s="2" t="str">
        <f t="shared" si="62"/>
        <v/>
      </c>
      <c r="BN29" s="2" t="str">
        <f t="shared" si="63"/>
        <v/>
      </c>
      <c r="BO29" s="2" t="str">
        <f t="shared" si="64"/>
        <v/>
      </c>
      <c r="BP29" s="20" t="str">
        <f t="shared" si="65"/>
        <v/>
      </c>
      <c r="BQ29" s="2" t="str">
        <f>IF(ISNUMBER(AQ29),MIN(1.15,AQ29/($AA29*(1-$K$3)^(BQ$6-1))),"")</f>
        <v/>
      </c>
      <c r="BU29" s="23"/>
      <c r="BY29" s="25">
        <f t="shared" si="9"/>
        <v>23</v>
      </c>
      <c r="BZ29" s="3">
        <f t="shared" si="10"/>
        <v>21331.637441613704</v>
      </c>
      <c r="CA29" s="3">
        <f t="shared" si="28"/>
        <v>20523</v>
      </c>
      <c r="CB29" s="2">
        <f t="shared" si="29"/>
        <v>0.96209210643922649</v>
      </c>
      <c r="CC29" s="85">
        <f t="shared" si="30"/>
        <v>26</v>
      </c>
      <c r="CD29" s="3" t="str">
        <f t="shared" si="11"/>
        <v>Tracker</v>
      </c>
      <c r="CE29" s="58">
        <f t="shared" si="31"/>
        <v>-6.2731012592144005E-3</v>
      </c>
      <c r="CF29" s="2">
        <f t="array" ref="CF29:CG29">LINEST(AB29:AG29,AB$6:AG$6,TRUE,FALSE)</f>
        <v>-21.457142857142856</v>
      </c>
      <c r="CG29" s="2">
        <v>3495.6</v>
      </c>
      <c r="CH29" s="1">
        <f>1+IF(G29="CdSCdTe",-0.0025,-0.004)*(S29-PlantData!$S$4)</f>
        <v>1.0131775120119291</v>
      </c>
      <c r="CI29" s="217" t="s">
        <v>687</v>
      </c>
      <c r="CJ29">
        <f t="shared" si="12"/>
        <v>5</v>
      </c>
      <c r="CK29" s="2">
        <f t="shared" si="32"/>
        <v>0.88375156239046893</v>
      </c>
      <c r="CL29" s="58">
        <f t="shared" si="33"/>
        <v>6.832402831678519E-3</v>
      </c>
      <c r="CM29" s="3"/>
      <c r="CN29" s="3"/>
      <c r="CO29" s="3"/>
      <c r="CP29" s="3"/>
      <c r="CQ29" s="3"/>
      <c r="CR29" s="3"/>
      <c r="CS29" s="3"/>
      <c r="CT29" s="3"/>
      <c r="CU29" s="3"/>
      <c r="CV29" s="3"/>
      <c r="DC29" s="2">
        <f t="shared" si="35"/>
        <v>1.3333333333333333</v>
      </c>
      <c r="DD29">
        <f t="shared" si="13"/>
        <v>1</v>
      </c>
      <c r="DT29" s="3">
        <f t="shared" si="16"/>
        <v>200.02040816325797</v>
      </c>
      <c r="DU29" s="3">
        <f t="shared" si="46"/>
        <v>7450.1559183673426</v>
      </c>
      <c r="DV29" s="3">
        <f t="shared" si="47"/>
        <v>7186.1951020408405</v>
      </c>
      <c r="DW29" s="3">
        <f t="shared" si="48"/>
        <v>76602.423673469209</v>
      </c>
      <c r="DX29" s="3">
        <f t="shared" si="49"/>
        <v>609.38448979591965</v>
      </c>
      <c r="DY29" s="3">
        <f t="shared" si="50"/>
        <v>9052.1632653061588</v>
      </c>
      <c r="DZ29" s="3"/>
      <c r="EA29" s="3"/>
      <c r="EC29" s="4">
        <f t="shared" si="66"/>
        <v>3.7949940056525848E-2</v>
      </c>
      <c r="ED29" s="160">
        <v>5.0999999999999997E-2</v>
      </c>
      <c r="EE29" s="161">
        <f t="shared" si="18"/>
        <v>1.3438756404894523</v>
      </c>
      <c r="EH29" s="2" t="str">
        <f t="shared" si="38"/>
        <v xml:space="preserve"> </v>
      </c>
      <c r="EI29" s="58" t="str">
        <f t="shared" si="39"/>
        <v xml:space="preserve"> </v>
      </c>
      <c r="EJ29" s="2">
        <f t="shared" si="40"/>
        <v>0.96209210643922649</v>
      </c>
      <c r="EK29" s="58">
        <f t="shared" si="41"/>
        <v>-6.2731012592144005E-3</v>
      </c>
    </row>
    <row r="30" spans="1:141" x14ac:dyDescent="0.3">
      <c r="A30">
        <f t="shared" si="19"/>
        <v>24</v>
      </c>
      <c r="B30" s="6">
        <v>62024</v>
      </c>
      <c r="C30" s="6" t="s">
        <v>720</v>
      </c>
      <c r="D30" s="6">
        <v>2019</v>
      </c>
      <c r="E30" s="6">
        <v>2018</v>
      </c>
      <c r="F30" s="6" t="s">
        <v>252</v>
      </c>
      <c r="G30" s="17" t="s">
        <v>636</v>
      </c>
      <c r="H30" s="17" t="s">
        <v>638</v>
      </c>
      <c r="I30" s="6" t="s">
        <v>35</v>
      </c>
      <c r="J30" s="17">
        <v>30</v>
      </c>
      <c r="K30" s="6" t="s">
        <v>688</v>
      </c>
      <c r="L30" s="12">
        <v>41.655999999999999</v>
      </c>
      <c r="M30" s="12">
        <v>-72.162000000000006</v>
      </c>
      <c r="N30" s="14">
        <v>1.2</v>
      </c>
      <c r="O30" s="6">
        <v>1</v>
      </c>
      <c r="P30" s="94">
        <f>365.25*4.4</f>
        <v>1607.1000000000001</v>
      </c>
      <c r="Q30" s="15" t="s">
        <v>743</v>
      </c>
      <c r="R30" s="14">
        <v>9.9</v>
      </c>
      <c r="S30" s="3">
        <f t="shared" si="20"/>
        <v>33.293999999999997</v>
      </c>
      <c r="T30" s="128" t="str">
        <f t="shared" si="21"/>
        <v>C</v>
      </c>
      <c r="U30" s="154">
        <v>1388</v>
      </c>
      <c r="V30" s="154">
        <v>669</v>
      </c>
      <c r="W30" s="156">
        <v>0.49099999999999999</v>
      </c>
      <c r="X30" s="1">
        <f t="shared" si="42"/>
        <v>0.4819884726224784</v>
      </c>
      <c r="Y30" s="162">
        <f t="shared" si="22"/>
        <v>0</v>
      </c>
      <c r="Z30" s="1">
        <f t="shared" si="23"/>
        <v>1</v>
      </c>
      <c r="AA30" s="3">
        <f t="shared" si="24"/>
        <v>1593.1462249289962</v>
      </c>
      <c r="AB30" s="6">
        <v>1537</v>
      </c>
      <c r="AC30" s="6">
        <v>1502</v>
      </c>
      <c r="AD30" s="6">
        <v>1446</v>
      </c>
      <c r="AE30" s="6">
        <v>1598</v>
      </c>
      <c r="AF30" s="93">
        <v>1514</v>
      </c>
      <c r="AG30" s="6">
        <v>1513</v>
      </c>
      <c r="AK30" s="23"/>
      <c r="AP30" s="23"/>
      <c r="AU30" s="23"/>
      <c r="AY30" s="32">
        <v>6</v>
      </c>
      <c r="AZ30" s="1">
        <f t="shared" si="25"/>
        <v>0.78730494541582829</v>
      </c>
      <c r="BA30" s="24">
        <f t="shared" si="7"/>
        <v>24</v>
      </c>
      <c r="BB30" s="2">
        <f t="shared" si="51"/>
        <v>0.96475764493526106</v>
      </c>
      <c r="BC30" s="2">
        <f t="shared" si="52"/>
        <v>0.94752616870478745</v>
      </c>
      <c r="BD30" s="2">
        <f t="shared" si="53"/>
        <v>0.9167828757282569</v>
      </c>
      <c r="BE30" s="2">
        <f t="shared" si="54"/>
        <v>1.0182440803003641</v>
      </c>
      <c r="BF30" s="20">
        <f t="shared" si="55"/>
        <v>0.9695671961652762</v>
      </c>
      <c r="BG30" s="2">
        <f t="shared" si="56"/>
        <v>0.97379577398091044</v>
      </c>
      <c r="BH30" s="2" t="str">
        <f t="shared" si="57"/>
        <v/>
      </c>
      <c r="BI30" s="2" t="str">
        <f t="shared" si="58"/>
        <v/>
      </c>
      <c r="BJ30" s="2" t="str">
        <f t="shared" si="59"/>
        <v/>
      </c>
      <c r="BK30" s="20" t="str">
        <f t="shared" si="60"/>
        <v/>
      </c>
      <c r="BL30" s="2" t="str">
        <f t="shared" si="61"/>
        <v/>
      </c>
      <c r="BM30" s="2" t="str">
        <f t="shared" si="62"/>
        <v/>
      </c>
      <c r="BN30" s="2" t="str">
        <f t="shared" si="63"/>
        <v/>
      </c>
      <c r="BO30" s="2" t="str">
        <f t="shared" si="64"/>
        <v/>
      </c>
      <c r="BP30" s="20" t="str">
        <f t="shared" si="65"/>
        <v/>
      </c>
      <c r="BQ30" s="2" t="str">
        <f>IF(ISNUMBER(AQ30),MIN(1.15,AQ30/($AA30*(1-$K$3)^(BQ$6-1))),"")</f>
        <v/>
      </c>
      <c r="BU30" s="23"/>
      <c r="BY30" s="25">
        <f t="shared" si="9"/>
        <v>24</v>
      </c>
      <c r="BZ30" s="3">
        <f t="shared" si="10"/>
        <v>9440.1849746368807</v>
      </c>
      <c r="CA30" s="3">
        <f t="shared" si="28"/>
        <v>9110</v>
      </c>
      <c r="CB30" s="2">
        <f t="shared" si="29"/>
        <v>0.96502346346771861</v>
      </c>
      <c r="CC30" s="85">
        <f t="shared" si="30"/>
        <v>22</v>
      </c>
      <c r="CD30" s="3" t="str">
        <f t="shared" si="11"/>
        <v>Fixed</v>
      </c>
      <c r="CE30" s="58">
        <f t="shared" si="31"/>
        <v>1.2795985573153511E-3</v>
      </c>
      <c r="CF30" s="2">
        <f t="array" ref="CF30:CG30">LINEST(AB30:AG30,AB$6:AG$6,TRUE,FALSE)</f>
        <v>1.9428571428571413</v>
      </c>
      <c r="CG30" s="2">
        <v>1511.5333333333333</v>
      </c>
      <c r="CH30" s="1">
        <f>1+IF(G30="CdSCdTe",-0.0025,-0.004)*(S30-PlantData!$S$4)</f>
        <v>1.0326223120119289</v>
      </c>
      <c r="CI30" s="217" t="s">
        <v>723</v>
      </c>
      <c r="CJ30">
        <f t="shared" si="12"/>
        <v>1</v>
      </c>
      <c r="CK30" s="2">
        <f t="shared" si="32"/>
        <v>0.93899232282022227</v>
      </c>
      <c r="CL30" s="58">
        <f t="shared" si="33"/>
        <v>-2.1209187351941441E-3</v>
      </c>
      <c r="CM30" s="3"/>
      <c r="CN30" s="3"/>
      <c r="CO30" s="3"/>
      <c r="CP30" s="3"/>
      <c r="CQ30" s="3"/>
      <c r="CR30" s="3"/>
      <c r="CS30" s="3"/>
      <c r="CT30" s="3"/>
      <c r="CU30" s="3"/>
      <c r="CV30" s="3"/>
      <c r="DC30" s="2">
        <f t="shared" si="35"/>
        <v>1.2</v>
      </c>
      <c r="DD30">
        <f t="shared" si="13"/>
        <v>1</v>
      </c>
      <c r="DT30" s="3">
        <f t="shared" si="16"/>
        <v>553.3696145124768</v>
      </c>
      <c r="DU30" s="3">
        <f t="shared" si="46"/>
        <v>180.07083900226868</v>
      </c>
      <c r="DV30" s="3">
        <f t="shared" si="47"/>
        <v>5092.5214512471603</v>
      </c>
      <c r="DW30" s="3">
        <f t="shared" si="48"/>
        <v>6192.9404988662309</v>
      </c>
      <c r="DX30" s="3">
        <f t="shared" si="49"/>
        <v>52.527981859410936</v>
      </c>
      <c r="DY30" s="3">
        <f t="shared" si="50"/>
        <v>103.84580498866124</v>
      </c>
      <c r="DZ30" s="3"/>
      <c r="EA30" s="3"/>
      <c r="EC30" s="4">
        <f t="shared" si="66"/>
        <v>2.9668573067854493E-2</v>
      </c>
      <c r="ED30" s="160">
        <v>2.8000000000000001E-2</v>
      </c>
      <c r="EE30" s="161">
        <f t="shared" si="18"/>
        <v>0.94375957805458566</v>
      </c>
      <c r="EH30" s="2" t="str">
        <f t="shared" si="38"/>
        <v xml:space="preserve"> </v>
      </c>
      <c r="EI30" s="58" t="str">
        <f t="shared" si="39"/>
        <v xml:space="preserve"> </v>
      </c>
      <c r="EJ30" s="2">
        <f t="shared" si="40"/>
        <v>0.96502346346771861</v>
      </c>
      <c r="EK30" s="58">
        <f t="shared" si="41"/>
        <v>1.2795985573153511E-3</v>
      </c>
    </row>
    <row r="31" spans="1:141" x14ac:dyDescent="0.3">
      <c r="A31">
        <f t="shared" si="19"/>
        <v>25</v>
      </c>
      <c r="B31" s="6">
        <v>62074</v>
      </c>
      <c r="C31" s="6" t="s">
        <v>721</v>
      </c>
      <c r="D31" s="6">
        <v>2020</v>
      </c>
      <c r="E31" s="6">
        <v>2018</v>
      </c>
      <c r="F31" s="6" t="s">
        <v>252</v>
      </c>
      <c r="G31" s="17" t="s">
        <v>636</v>
      </c>
      <c r="H31" s="17" t="s">
        <v>638</v>
      </c>
      <c r="I31" s="6" t="s">
        <v>35</v>
      </c>
      <c r="J31" s="17">
        <v>30</v>
      </c>
      <c r="K31" s="6" t="s">
        <v>389</v>
      </c>
      <c r="L31" s="12">
        <v>39.031669999999998</v>
      </c>
      <c r="M31" s="12">
        <v>-76.016390000000001</v>
      </c>
      <c r="N31" s="14">
        <v>2.4</v>
      </c>
      <c r="O31" s="6">
        <v>2</v>
      </c>
      <c r="P31" s="94">
        <f>365.25*4.6</f>
        <v>1680.1499999999999</v>
      </c>
      <c r="Q31" s="15" t="s">
        <v>524</v>
      </c>
      <c r="R31" s="14">
        <v>12.8</v>
      </c>
      <c r="S31" s="3">
        <f t="shared" si="20"/>
        <v>36.736999999999995</v>
      </c>
      <c r="T31" s="128" t="str">
        <f t="shared" si="21"/>
        <v>C</v>
      </c>
      <c r="U31" s="154">
        <v>1461</v>
      </c>
      <c r="V31" s="154">
        <v>696</v>
      </c>
      <c r="W31" s="156">
        <v>0.498</v>
      </c>
      <c r="X31" s="1">
        <f t="shared" si="42"/>
        <v>0.47638603696098564</v>
      </c>
      <c r="Y31" s="162">
        <f t="shared" si="22"/>
        <v>0</v>
      </c>
      <c r="Z31" s="1">
        <f t="shared" si="23"/>
        <v>1</v>
      </c>
      <c r="AA31" s="3">
        <f t="shared" si="24"/>
        <v>3286.6969953155376</v>
      </c>
      <c r="AB31" s="6">
        <v>2884</v>
      </c>
      <c r="AC31" s="6">
        <v>3152</v>
      </c>
      <c r="AD31" s="6">
        <v>2836</v>
      </c>
      <c r="AE31" s="6">
        <v>2819</v>
      </c>
      <c r="AF31" s="93">
        <v>2618</v>
      </c>
      <c r="AK31" s="23"/>
      <c r="AP31" s="23"/>
      <c r="AU31" s="23"/>
      <c r="AY31" s="32">
        <v>5</v>
      </c>
      <c r="AZ31" s="1">
        <f t="shared" si="25"/>
        <v>0.7097084585701674</v>
      </c>
      <c r="BA31" s="24">
        <f t="shared" si="7"/>
        <v>25</v>
      </c>
      <c r="BB31" s="2">
        <f t="shared" si="51"/>
        <v>0.87747668985321936</v>
      </c>
      <c r="BC31" s="2">
        <f t="shared" si="52"/>
        <v>0.96383670307757496</v>
      </c>
      <c r="BD31" s="2">
        <f t="shared" si="53"/>
        <v>0.87156623534168376</v>
      </c>
      <c r="BE31" s="2">
        <f t="shared" si="54"/>
        <v>0.87069523124373871</v>
      </c>
      <c r="BF31" s="20">
        <f t="shared" si="55"/>
        <v>0.81267640629401272</v>
      </c>
      <c r="BG31" s="2" t="str">
        <f t="shared" si="56"/>
        <v/>
      </c>
      <c r="BH31" s="2" t="str">
        <f t="shared" si="57"/>
        <v/>
      </c>
      <c r="BI31" s="2" t="str">
        <f t="shared" si="58"/>
        <v/>
      </c>
      <c r="BJ31" s="2" t="str">
        <f t="shared" si="59"/>
        <v/>
      </c>
      <c r="BK31" s="20" t="str">
        <f t="shared" si="60"/>
        <v/>
      </c>
      <c r="BL31" s="2" t="str">
        <f t="shared" si="61"/>
        <v/>
      </c>
      <c r="BM31" s="2" t="str">
        <f t="shared" si="62"/>
        <v/>
      </c>
      <c r="BN31" s="2" t="str">
        <f t="shared" si="63"/>
        <v/>
      </c>
      <c r="BO31" s="2" t="str">
        <f t="shared" si="64"/>
        <v/>
      </c>
      <c r="BP31" s="20" t="str">
        <f t="shared" si="65"/>
        <v/>
      </c>
      <c r="BQ31" s="2"/>
      <c r="BU31" s="23"/>
      <c r="BY31" s="25">
        <f t="shared" si="9"/>
        <v>25</v>
      </c>
      <c r="BZ31" s="3">
        <f t="shared" si="10"/>
        <v>16269.969748929245</v>
      </c>
      <c r="CA31" s="3">
        <f t="shared" si="28"/>
        <v>14309</v>
      </c>
      <c r="CB31" s="2">
        <f t="shared" si="29"/>
        <v>0.87947305500931861</v>
      </c>
      <c r="CC31" s="85">
        <f t="shared" si="30"/>
        <v>54</v>
      </c>
      <c r="CD31" s="3" t="str">
        <f t="shared" si="11"/>
        <v>Fixed</v>
      </c>
      <c r="CE31" s="58">
        <f t="shared" si="31"/>
        <v>-3.0225732056747494E-2</v>
      </c>
      <c r="CF31" s="2">
        <f t="array" ref="CF31:CG31">LINEST(AB31:AF31,AB$6:AF$6,TRUE,FALSE)</f>
        <v>-86.499999999999986</v>
      </c>
      <c r="CG31" s="2">
        <v>3121.3</v>
      </c>
      <c r="CH31" s="1">
        <f>1+IF(G31="CdSCdTe",-0.0025,-0.004)*(S31-PlantData!$S$4)</f>
        <v>1.018850312011929</v>
      </c>
      <c r="CI31" s="218" t="s">
        <v>689</v>
      </c>
      <c r="CJ31" s="33">
        <f t="shared" si="12"/>
        <v>1</v>
      </c>
      <c r="CK31" s="21">
        <f t="shared" si="32"/>
        <v>0.89719117149648298</v>
      </c>
      <c r="CL31" s="60">
        <f t="shared" si="33"/>
        <v>2.7723045887278409E-2</v>
      </c>
      <c r="CM31" s="3"/>
      <c r="CN31" s="3"/>
      <c r="CO31" s="3"/>
      <c r="CP31" s="3"/>
      <c r="CQ31" s="3"/>
      <c r="CR31" s="3"/>
      <c r="CS31" s="3"/>
      <c r="CT31" s="3"/>
      <c r="CU31" s="3"/>
      <c r="CV31" s="3"/>
      <c r="DC31" s="2">
        <f t="shared" si="35"/>
        <v>1.2</v>
      </c>
      <c r="DD31">
        <f t="shared" si="13"/>
        <v>2</v>
      </c>
      <c r="DT31" s="3">
        <f t="shared" si="16"/>
        <v>22740.640000000054</v>
      </c>
      <c r="DU31" s="3">
        <f t="shared" si="46"/>
        <v>41493.689999999922</v>
      </c>
      <c r="DV31" s="3">
        <f t="shared" si="47"/>
        <v>665.64000000000942</v>
      </c>
      <c r="DW31" s="3">
        <f t="shared" si="48"/>
        <v>1909.6899999999841</v>
      </c>
      <c r="DX31" s="3">
        <f t="shared" si="49"/>
        <v>5012.6400000000258</v>
      </c>
      <c r="DY31" s="3"/>
      <c r="DZ31" s="3"/>
      <c r="EA31" s="3"/>
      <c r="EC31" s="4">
        <f>SQRT(AVERAGE(DT31:DX31))/AVERAGE(AB31:AF31)</f>
        <v>4.1879874618864554E-2</v>
      </c>
      <c r="ED31" s="160">
        <v>0.03</v>
      </c>
      <c r="EE31" s="161">
        <f t="shared" si="18"/>
        <v>0.7163345227993273</v>
      </c>
      <c r="EH31" s="2" t="str">
        <f t="shared" si="38"/>
        <v xml:space="preserve"> </v>
      </c>
      <c r="EI31" s="58" t="str">
        <f t="shared" si="39"/>
        <v xml:space="preserve"> </v>
      </c>
      <c r="EJ31" s="2">
        <f t="shared" si="40"/>
        <v>0.87947305500931861</v>
      </c>
      <c r="EK31" s="58">
        <f t="shared" si="41"/>
        <v>-3.0225732056747494E-2</v>
      </c>
    </row>
    <row r="32" spans="1:141" x14ac:dyDescent="0.3">
      <c r="AV32" s="7" t="s">
        <v>601</v>
      </c>
      <c r="AW32" t="e">
        <f t="array" ref="AW32">LINEST(BB32:BQ32,BB6:BQ6,TRUE,FALSE)</f>
        <v>#VALUE!</v>
      </c>
      <c r="AX32" s="104"/>
      <c r="AY32" s="7" t="s">
        <v>593</v>
      </c>
      <c r="AZ32" s="47" t="e">
        <f>AVERAGE(BB32:BQ32)</f>
        <v>#NUM!</v>
      </c>
      <c r="BA32" t="s">
        <v>598</v>
      </c>
      <c r="BB32" s="2">
        <f t="shared" ref="BB32:BQ32" si="67">BB2/BB34</f>
        <v>0.81939835772433023</v>
      </c>
      <c r="BC32" s="2">
        <f t="shared" si="67"/>
        <v>0.8302347582792261</v>
      </c>
      <c r="BD32" s="2">
        <f t="shared" si="67"/>
        <v>0.63662121604678956</v>
      </c>
      <c r="BE32" s="2">
        <f t="shared" si="67"/>
        <v>0.60160829213786904</v>
      </c>
      <c r="BF32" s="20">
        <f t="shared" si="67"/>
        <v>0.66126805687511481</v>
      </c>
      <c r="BG32" s="2">
        <f t="shared" si="67"/>
        <v>0.49726557883648342</v>
      </c>
      <c r="BH32" s="2">
        <f t="shared" si="67"/>
        <v>0.54326110460007559</v>
      </c>
      <c r="BI32" s="2">
        <f t="shared" si="67"/>
        <v>0</v>
      </c>
      <c r="BJ32" s="2" t="e">
        <f t="shared" si="67"/>
        <v>#NUM!</v>
      </c>
      <c r="BK32" s="20" t="e">
        <f t="shared" si="67"/>
        <v>#NUM!</v>
      </c>
      <c r="BL32" s="2" t="e">
        <f t="shared" si="67"/>
        <v>#NUM!</v>
      </c>
      <c r="BM32" s="2" t="e">
        <f t="shared" si="67"/>
        <v>#NUM!</v>
      </c>
      <c r="BN32" s="2" t="e">
        <f t="shared" si="67"/>
        <v>#NUM!</v>
      </c>
      <c r="BO32" s="2" t="e">
        <f t="shared" si="67"/>
        <v>#NUM!</v>
      </c>
      <c r="BP32" s="116" t="e">
        <f t="shared" si="67"/>
        <v>#NUM!</v>
      </c>
      <c r="BQ32" s="2" t="e">
        <f t="shared" si="67"/>
        <v>#VALUE!</v>
      </c>
      <c r="CI32" s="3" t="s">
        <v>537</v>
      </c>
      <c r="CJ32" s="3">
        <f>SUM(CJ7:CJ31)</f>
        <v>25</v>
      </c>
      <c r="CK32" s="2">
        <f>AVERAGE($CB$7:$CB$31)</f>
        <v>0.86742565840355768</v>
      </c>
      <c r="CL32" s="58">
        <f>$CE$35</f>
        <v>-3.402521712728921E-2</v>
      </c>
      <c r="CM32" s="3" t="s">
        <v>578</v>
      </c>
    </row>
    <row r="33" spans="8:91" x14ac:dyDescent="0.3">
      <c r="H33" s="107" t="s">
        <v>788</v>
      </c>
      <c r="S33" s="3">
        <f>MIN(S7:S31)</f>
        <v>29.236999999999998</v>
      </c>
      <c r="AV33" s="7" t="s">
        <v>602</v>
      </c>
      <c r="AW33" s="104" t="e">
        <f t="array" ref="AW33">LINEST(BB33:BQ33,BB6:BQ6,TRUE,FALSE)</f>
        <v>#VALUE!</v>
      </c>
      <c r="AX33" s="104"/>
      <c r="AY33" s="7" t="s">
        <v>593</v>
      </c>
      <c r="AZ33" s="47" t="e">
        <f>AVERAGE(BB33:BQ33)</f>
        <v>#N/A</v>
      </c>
      <c r="BA33" t="s">
        <v>597</v>
      </c>
      <c r="BB33" s="2">
        <f>BB38/BB34</f>
        <v>0.81757755612086402</v>
      </c>
      <c r="BC33" s="2">
        <f t="shared" ref="BC33:BQ33" si="68">BC38/BC34</f>
        <v>0.78094465782282474</v>
      </c>
      <c r="BD33" s="2">
        <f t="shared" si="68"/>
        <v>0.7117339112071982</v>
      </c>
      <c r="BE33" s="2">
        <f t="shared" si="68"/>
        <v>0.66276197434068296</v>
      </c>
      <c r="BF33" s="20">
        <f t="shared" si="68"/>
        <v>0.70896212665721436</v>
      </c>
      <c r="BG33" s="2">
        <f t="shared" si="68"/>
        <v>0.31101518718468191</v>
      </c>
      <c r="BH33" s="2">
        <f t="shared" si="68"/>
        <v>0.38173700749377087</v>
      </c>
      <c r="BI33" s="2">
        <f t="shared" si="68"/>
        <v>1</v>
      </c>
      <c r="BJ33" s="2" t="e">
        <f t="shared" si="68"/>
        <v>#N/A</v>
      </c>
      <c r="BK33" s="20" t="e">
        <f t="shared" si="68"/>
        <v>#N/A</v>
      </c>
      <c r="BL33" s="2" t="e">
        <f t="shared" si="68"/>
        <v>#N/A</v>
      </c>
      <c r="BM33" s="2" t="e">
        <f t="shared" si="68"/>
        <v>#N/A</v>
      </c>
      <c r="BN33" s="2" t="e">
        <f t="shared" si="68"/>
        <v>#N/A</v>
      </c>
      <c r="BO33" s="2" t="e">
        <f t="shared" si="68"/>
        <v>#N/A</v>
      </c>
      <c r="BP33" s="20" t="e">
        <f t="shared" si="68"/>
        <v>#N/A</v>
      </c>
      <c r="BQ33" s="2" t="e">
        <f t="shared" si="68"/>
        <v>#N/A</v>
      </c>
      <c r="CI33" s="3" t="s">
        <v>816</v>
      </c>
      <c r="CJ33" s="3">
        <f>COUNT(CJ7:CJ31)</f>
        <v>25</v>
      </c>
      <c r="CK33" s="3"/>
      <c r="CL33" s="58">
        <f>$CE$34</f>
        <v>-4.669138557256404E-3</v>
      </c>
      <c r="CM33" s="3" t="s">
        <v>579</v>
      </c>
    </row>
    <row r="34" spans="8:91" x14ac:dyDescent="0.3">
      <c r="H34" s="107" t="s">
        <v>980</v>
      </c>
      <c r="S34" s="3">
        <f>MAX(S7:S31)</f>
        <v>50.097274999999996</v>
      </c>
      <c r="AW34" s="51" t="s">
        <v>594</v>
      </c>
      <c r="AX34" s="114" t="s">
        <v>595</v>
      </c>
      <c r="AY34" s="1"/>
      <c r="AZ34" s="1"/>
      <c r="BA34" t="s">
        <v>152</v>
      </c>
      <c r="BB34" s="2">
        <f t="shared" ref="BB34:BQ34" si="69">MEDIAN(BB7:BB31)</f>
        <v>0.89649755286773325</v>
      </c>
      <c r="BC34" s="2">
        <f t="shared" si="69"/>
        <v>0.92732281906261838</v>
      </c>
      <c r="BD34" s="2">
        <f t="shared" si="69"/>
        <v>0.9167828757282569</v>
      </c>
      <c r="BE34" s="2">
        <f t="shared" si="69"/>
        <v>0.93104947177741926</v>
      </c>
      <c r="BF34" s="20">
        <f t="shared" si="69"/>
        <v>0.93528148733135053</v>
      </c>
      <c r="BG34" s="2">
        <f t="shared" si="69"/>
        <v>0.90737592551628365</v>
      </c>
      <c r="BH34" s="2">
        <f t="shared" si="69"/>
        <v>0.88978353349503558</v>
      </c>
      <c r="BI34" s="2">
        <f t="shared" si="69"/>
        <v>0.91561033677384951</v>
      </c>
      <c r="BJ34" s="2" t="e">
        <f t="shared" si="69"/>
        <v>#NUM!</v>
      </c>
      <c r="BK34" s="20" t="e">
        <f t="shared" si="69"/>
        <v>#NUM!</v>
      </c>
      <c r="BL34" s="2" t="e">
        <f t="shared" si="69"/>
        <v>#NUM!</v>
      </c>
      <c r="BM34" s="2" t="e">
        <f t="shared" si="69"/>
        <v>#NUM!</v>
      </c>
      <c r="BN34" s="2" t="e">
        <f t="shared" si="69"/>
        <v>#NUM!</v>
      </c>
      <c r="BO34" s="2" t="e">
        <f t="shared" si="69"/>
        <v>#NUM!</v>
      </c>
      <c r="BP34" s="20" t="e">
        <f t="shared" si="69"/>
        <v>#NUM!</v>
      </c>
      <c r="BQ34" s="2" t="e">
        <f t="shared" si="69"/>
        <v>#NUM!</v>
      </c>
      <c r="CD34" s="18" t="s">
        <v>577</v>
      </c>
      <c r="CE34" s="110">
        <f>MEDIAN(CE7:CE31)</f>
        <v>-4.669138557256404E-3</v>
      </c>
      <c r="CI34" t="s">
        <v>817</v>
      </c>
      <c r="CJ34" s="3">
        <f>COUNTIF(CJ7:CJ31,"&gt;0")</f>
        <v>17</v>
      </c>
    </row>
    <row r="35" spans="8:91" x14ac:dyDescent="0.3">
      <c r="H35" t="s">
        <v>794</v>
      </c>
      <c r="AW35" t="s">
        <v>596</v>
      </c>
      <c r="BA35" t="s">
        <v>161</v>
      </c>
      <c r="BB35" s="3">
        <f t="shared" ref="BB35:BX35" si="70">COUNT(BB7:BB31)</f>
        <v>25</v>
      </c>
      <c r="BC35" s="3">
        <f t="shared" si="70"/>
        <v>25</v>
      </c>
      <c r="BD35" s="3">
        <f t="shared" si="70"/>
        <v>25</v>
      </c>
      <c r="BE35" s="3">
        <f t="shared" si="70"/>
        <v>25</v>
      </c>
      <c r="BF35" s="29">
        <f t="shared" si="70"/>
        <v>25</v>
      </c>
      <c r="BG35" s="3">
        <f t="shared" si="70"/>
        <v>22</v>
      </c>
      <c r="BH35" s="3">
        <f t="shared" si="70"/>
        <v>6</v>
      </c>
      <c r="BI35" s="3">
        <f t="shared" si="70"/>
        <v>1</v>
      </c>
      <c r="BJ35" s="3">
        <f t="shared" si="70"/>
        <v>0</v>
      </c>
      <c r="BK35" s="29">
        <f t="shared" si="70"/>
        <v>0</v>
      </c>
      <c r="BL35" s="3">
        <f t="shared" si="70"/>
        <v>0</v>
      </c>
      <c r="BM35" s="3">
        <f t="shared" si="70"/>
        <v>0</v>
      </c>
      <c r="BN35" s="3">
        <f t="shared" si="70"/>
        <v>0</v>
      </c>
      <c r="BO35" s="3">
        <f t="shared" si="70"/>
        <v>0</v>
      </c>
      <c r="BP35" s="29">
        <f t="shared" si="70"/>
        <v>0</v>
      </c>
      <c r="BQ35" s="3">
        <f t="shared" si="70"/>
        <v>0</v>
      </c>
      <c r="BR35" s="3">
        <f t="shared" si="70"/>
        <v>0</v>
      </c>
      <c r="BS35" s="3">
        <f t="shared" si="70"/>
        <v>0</v>
      </c>
      <c r="BT35" s="3">
        <f t="shared" si="70"/>
        <v>0</v>
      </c>
      <c r="BU35" s="3">
        <f t="shared" si="70"/>
        <v>0</v>
      </c>
      <c r="BV35" s="3">
        <f t="shared" si="70"/>
        <v>0</v>
      </c>
      <c r="BW35" s="3">
        <f t="shared" si="70"/>
        <v>0</v>
      </c>
      <c r="BX35" s="3">
        <f t="shared" si="70"/>
        <v>0</v>
      </c>
      <c r="BZ35" s="80">
        <f>SUM(BZ7:BZ31)</f>
        <v>1802808.8970230939</v>
      </c>
      <c r="CA35" s="81">
        <f>SUM(CA7:CA31)</f>
        <v>1624279</v>
      </c>
      <c r="CB35" s="82">
        <f>CA35/BZ35</f>
        <v>0.90097125806407263</v>
      </c>
      <c r="CD35" s="18" t="s">
        <v>576</v>
      </c>
      <c r="CE35" s="110">
        <f>AVERAGE(CE7:CE31)</f>
        <v>-3.402521712728921E-2</v>
      </c>
    </row>
    <row r="36" spans="8:91" x14ac:dyDescent="0.3">
      <c r="AW36" s="115">
        <v>8</v>
      </c>
      <c r="BA36" t="s">
        <v>163</v>
      </c>
      <c r="BB36" s="3">
        <f>INT(ROUNDUP(BB35*0.9,0))</f>
        <v>23</v>
      </c>
      <c r="BC36" s="3">
        <f t="shared" ref="BC36:BX36" si="71">INT(ROUNDUP(BC35*0.9,0))</f>
        <v>23</v>
      </c>
      <c r="BD36" s="3">
        <f t="shared" si="71"/>
        <v>23</v>
      </c>
      <c r="BE36" s="3">
        <f t="shared" si="71"/>
        <v>23</v>
      </c>
      <c r="BF36" s="29">
        <f t="shared" si="71"/>
        <v>23</v>
      </c>
      <c r="BG36" s="3">
        <f t="shared" si="71"/>
        <v>20</v>
      </c>
      <c r="BH36" s="3">
        <f t="shared" si="71"/>
        <v>6</v>
      </c>
      <c r="BI36" s="3">
        <f t="shared" si="71"/>
        <v>1</v>
      </c>
      <c r="BJ36" s="3">
        <f t="shared" si="71"/>
        <v>0</v>
      </c>
      <c r="BK36" s="29">
        <f t="shared" si="71"/>
        <v>0</v>
      </c>
      <c r="BL36" s="3">
        <f t="shared" si="71"/>
        <v>0</v>
      </c>
      <c r="BM36" s="3">
        <f t="shared" si="71"/>
        <v>0</v>
      </c>
      <c r="BN36" s="3">
        <f t="shared" si="71"/>
        <v>0</v>
      </c>
      <c r="BO36" s="3">
        <f t="shared" si="71"/>
        <v>0</v>
      </c>
      <c r="BP36" s="29">
        <f t="shared" si="71"/>
        <v>0</v>
      </c>
      <c r="BQ36" s="3">
        <f t="shared" si="71"/>
        <v>0</v>
      </c>
      <c r="BR36" s="3">
        <f t="shared" si="71"/>
        <v>0</v>
      </c>
      <c r="BS36" s="3">
        <f t="shared" si="71"/>
        <v>0</v>
      </c>
      <c r="BT36" s="3">
        <f t="shared" si="71"/>
        <v>0</v>
      </c>
      <c r="BU36" s="3">
        <f t="shared" si="71"/>
        <v>0</v>
      </c>
      <c r="BV36" s="3">
        <f t="shared" si="71"/>
        <v>0</v>
      </c>
      <c r="BW36" s="3">
        <f t="shared" si="71"/>
        <v>0</v>
      </c>
      <c r="BX36" s="3">
        <f t="shared" si="71"/>
        <v>0</v>
      </c>
      <c r="CA36" s="8" t="s">
        <v>535</v>
      </c>
      <c r="CB36" s="82">
        <f>AVERAGE($CB$7:$CB$31)</f>
        <v>0.86742565840355768</v>
      </c>
      <c r="CE36" t="s">
        <v>192</v>
      </c>
    </row>
    <row r="37" spans="8:91" x14ac:dyDescent="0.3">
      <c r="AW37" t="s">
        <v>599</v>
      </c>
      <c r="BA37" t="s">
        <v>162</v>
      </c>
      <c r="BB37">
        <f t="shared" ref="BB37:BQ37" si="72">MATCH(BB36,BB$40:BB$64,0)</f>
        <v>22</v>
      </c>
      <c r="BC37">
        <f t="shared" si="72"/>
        <v>12</v>
      </c>
      <c r="BD37">
        <f t="shared" si="72"/>
        <v>22</v>
      </c>
      <c r="BE37">
        <f t="shared" si="72"/>
        <v>21</v>
      </c>
      <c r="BF37" s="23">
        <f t="shared" si="72"/>
        <v>22</v>
      </c>
      <c r="BG37">
        <f t="shared" si="72"/>
        <v>19</v>
      </c>
      <c r="BH37">
        <f t="shared" si="72"/>
        <v>6</v>
      </c>
      <c r="BI37">
        <f t="shared" si="72"/>
        <v>11</v>
      </c>
      <c r="BJ37" t="e">
        <f t="shared" si="72"/>
        <v>#N/A</v>
      </c>
      <c r="BK37" s="23" t="e">
        <f t="shared" si="72"/>
        <v>#N/A</v>
      </c>
      <c r="BL37" t="e">
        <f t="shared" si="72"/>
        <v>#N/A</v>
      </c>
      <c r="BM37" t="e">
        <f t="shared" si="72"/>
        <v>#N/A</v>
      </c>
      <c r="BN37" t="e">
        <f t="shared" si="72"/>
        <v>#N/A</v>
      </c>
      <c r="BO37" t="e">
        <f t="shared" si="72"/>
        <v>#N/A</v>
      </c>
      <c r="BP37" s="23" t="e">
        <f t="shared" si="72"/>
        <v>#N/A</v>
      </c>
      <c r="BQ37" t="e">
        <f t="shared" si="72"/>
        <v>#N/A</v>
      </c>
      <c r="BR37" s="2"/>
      <c r="CA37" s="42" t="s">
        <v>534</v>
      </c>
      <c r="CB37" s="45">
        <f>STDEV($CB$7:$CB$31)</f>
        <v>0.12819833198163574</v>
      </c>
    </row>
    <row r="38" spans="8:91" x14ac:dyDescent="0.3">
      <c r="AW38" s="2" t="e">
        <f>$AW$33*$AW$36+$AX$33</f>
        <v>#VALUE!</v>
      </c>
      <c r="BA38" t="s">
        <v>164</v>
      </c>
      <c r="BB38" s="2">
        <f t="shared" ref="BB38:BQ38" si="73">VLOOKUP(BB37,$BA$7:$BQ$31,BB6+1)</f>
        <v>0.73295627834193644</v>
      </c>
      <c r="BC38" s="2">
        <f t="shared" si="73"/>
        <v>0.72418780162415375</v>
      </c>
      <c r="BD38" s="2">
        <f t="shared" si="73"/>
        <v>0.65250546186985503</v>
      </c>
      <c r="BE38" s="2">
        <f t="shared" si="73"/>
        <v>0.61706418612405234</v>
      </c>
      <c r="BF38" s="20">
        <f t="shared" si="73"/>
        <v>0.66307915228155678</v>
      </c>
      <c r="BG38" s="2">
        <f t="shared" si="73"/>
        <v>0.28220769332132095</v>
      </c>
      <c r="BH38" s="2">
        <f t="shared" si="73"/>
        <v>0.33966330339362832</v>
      </c>
      <c r="BI38" s="2">
        <f t="shared" si="73"/>
        <v>0.91561033677384951</v>
      </c>
      <c r="BJ38" s="2" t="e">
        <f t="shared" si="73"/>
        <v>#N/A</v>
      </c>
      <c r="BK38" s="20" t="e">
        <f t="shared" si="73"/>
        <v>#N/A</v>
      </c>
      <c r="BL38" s="2" t="e">
        <f t="shared" si="73"/>
        <v>#N/A</v>
      </c>
      <c r="BM38" s="2" t="e">
        <f t="shared" si="73"/>
        <v>#N/A</v>
      </c>
      <c r="BN38" s="2" t="e">
        <f t="shared" si="73"/>
        <v>#N/A</v>
      </c>
      <c r="BO38" s="2" t="e">
        <f t="shared" si="73"/>
        <v>#N/A</v>
      </c>
      <c r="BP38" s="20" t="e">
        <f t="shared" si="73"/>
        <v>#N/A</v>
      </c>
      <c r="BQ38" s="2" t="e">
        <f t="shared" si="73"/>
        <v>#N/A</v>
      </c>
      <c r="BR38" s="2"/>
      <c r="BZ38" s="26" t="s">
        <v>186</v>
      </c>
      <c r="CA38" s="73" t="s">
        <v>186</v>
      </c>
      <c r="CB38" s="76" t="s">
        <v>188</v>
      </c>
    </row>
    <row r="39" spans="8:91" x14ac:dyDescent="0.3">
      <c r="AW39" t="s">
        <v>600</v>
      </c>
      <c r="BA39" t="s">
        <v>160</v>
      </c>
      <c r="BB39" s="2" t="s">
        <v>159</v>
      </c>
      <c r="BC39" s="2"/>
      <c r="BD39" s="2"/>
      <c r="BE39" s="2"/>
      <c r="BF39" s="20"/>
      <c r="BG39" s="2"/>
      <c r="BH39" s="2"/>
      <c r="BI39" s="2"/>
      <c r="BJ39" s="2"/>
      <c r="BK39" s="20"/>
      <c r="BL39" s="2"/>
      <c r="BM39" s="2"/>
      <c r="BN39" s="2"/>
      <c r="BO39" s="2"/>
      <c r="BP39" s="20"/>
      <c r="BQ39" s="2"/>
      <c r="BR39" s="2"/>
      <c r="BZ39" s="30">
        <f>SUMIF($CD$7:$CD$31,"Tracker",$BZ$7:$BZ$31)</f>
        <v>1374587.4364798875</v>
      </c>
      <c r="CA39" s="33">
        <f>SUMIF($CD$7:$CD$31,"Tracker",$CA$7:$CA$31)</f>
        <v>1264497</v>
      </c>
      <c r="CB39" s="83">
        <f>CA39/BZ39</f>
        <v>0.91991019737397528</v>
      </c>
      <c r="CE39" s="59">
        <f>MIN(CE7:CE31)</f>
        <v>-0.37631513338319622</v>
      </c>
      <c r="CF39" t="s">
        <v>818</v>
      </c>
    </row>
    <row r="40" spans="8:91" x14ac:dyDescent="0.3">
      <c r="AW40" s="2" t="e">
        <f>$AW$32*$AW$36+$AX$32</f>
        <v>#VALUE!</v>
      </c>
      <c r="BA40" s="24">
        <f t="shared" ref="BA40:BA64" si="74">A7</f>
        <v>1</v>
      </c>
      <c r="BB40" s="3">
        <f t="shared" ref="BB40:BQ40" si="75">RANK(BB7,BB$7:BB$31,0)</f>
        <v>9</v>
      </c>
      <c r="BC40" s="3">
        <f t="shared" si="75"/>
        <v>1</v>
      </c>
      <c r="BD40" s="3">
        <f t="shared" si="75"/>
        <v>1</v>
      </c>
      <c r="BE40" s="3">
        <f t="shared" si="75"/>
        <v>12</v>
      </c>
      <c r="BF40" s="29">
        <f t="shared" si="75"/>
        <v>3</v>
      </c>
      <c r="BG40" s="3">
        <f t="shared" si="75"/>
        <v>1</v>
      </c>
      <c r="BH40" s="3" t="e">
        <f t="shared" si="75"/>
        <v>#VALUE!</v>
      </c>
      <c r="BI40" s="3" t="e">
        <f t="shared" si="75"/>
        <v>#VALUE!</v>
      </c>
      <c r="BJ40" s="3" t="e">
        <f t="shared" si="75"/>
        <v>#VALUE!</v>
      </c>
      <c r="BK40" s="29" t="e">
        <f t="shared" si="75"/>
        <v>#VALUE!</v>
      </c>
      <c r="BL40" s="3" t="e">
        <f t="shared" si="75"/>
        <v>#VALUE!</v>
      </c>
      <c r="BM40" s="3" t="e">
        <f t="shared" si="75"/>
        <v>#VALUE!</v>
      </c>
      <c r="BN40" s="3" t="e">
        <f t="shared" si="75"/>
        <v>#VALUE!</v>
      </c>
      <c r="BO40" s="3" t="e">
        <f t="shared" si="75"/>
        <v>#VALUE!</v>
      </c>
      <c r="BP40" s="29" t="e">
        <f t="shared" si="75"/>
        <v>#VALUE!</v>
      </c>
      <c r="BQ40" s="3" t="e">
        <f t="shared" si="75"/>
        <v>#VALUE!</v>
      </c>
      <c r="BR40" s="2"/>
      <c r="BZ40" s="26" t="s">
        <v>187</v>
      </c>
      <c r="CA40" s="73" t="s">
        <v>187</v>
      </c>
      <c r="CB40" s="34"/>
    </row>
    <row r="41" spans="8:91" x14ac:dyDescent="0.3">
      <c r="BA41" s="24">
        <f t="shared" si="74"/>
        <v>2</v>
      </c>
      <c r="BB41" s="3">
        <f t="shared" ref="BB41:BQ41" si="76">RANK(BB8,BB$7:BB$31,0)</f>
        <v>16</v>
      </c>
      <c r="BC41" s="3">
        <f t="shared" si="76"/>
        <v>6</v>
      </c>
      <c r="BD41" s="3">
        <f t="shared" si="76"/>
        <v>4</v>
      </c>
      <c r="BE41" s="3">
        <f t="shared" si="76"/>
        <v>13</v>
      </c>
      <c r="BF41" s="29">
        <f t="shared" si="76"/>
        <v>18</v>
      </c>
      <c r="BG41" s="3">
        <f t="shared" si="76"/>
        <v>14</v>
      </c>
      <c r="BH41" s="3">
        <f t="shared" si="76"/>
        <v>2</v>
      </c>
      <c r="BI41" s="3" t="e">
        <f t="shared" si="76"/>
        <v>#VALUE!</v>
      </c>
      <c r="BJ41" s="3" t="e">
        <f t="shared" si="76"/>
        <v>#VALUE!</v>
      </c>
      <c r="BK41" s="29" t="e">
        <f t="shared" si="76"/>
        <v>#VALUE!</v>
      </c>
      <c r="BL41" s="3" t="e">
        <f t="shared" si="76"/>
        <v>#VALUE!</v>
      </c>
      <c r="BM41" s="3" t="e">
        <f t="shared" si="76"/>
        <v>#VALUE!</v>
      </c>
      <c r="BN41" s="3" t="e">
        <f t="shared" si="76"/>
        <v>#VALUE!</v>
      </c>
      <c r="BO41" s="3" t="e">
        <f t="shared" si="76"/>
        <v>#VALUE!</v>
      </c>
      <c r="BP41" s="29" t="e">
        <f t="shared" si="76"/>
        <v>#VALUE!</v>
      </c>
      <c r="BQ41" s="3" t="e">
        <f t="shared" si="76"/>
        <v>#VALUE!</v>
      </c>
      <c r="BR41" s="2"/>
      <c r="BZ41" s="84">
        <f>BZ35-BZ39</f>
        <v>428221.46054320643</v>
      </c>
      <c r="CA41" s="37">
        <f>CA35-CA39</f>
        <v>359782</v>
      </c>
      <c r="CB41" s="83">
        <f>CA41/BZ41</f>
        <v>0.84017741554477499</v>
      </c>
    </row>
    <row r="42" spans="8:91" x14ac:dyDescent="0.3">
      <c r="AW42" t="s">
        <v>932</v>
      </c>
      <c r="BA42" s="24">
        <f t="shared" si="74"/>
        <v>3</v>
      </c>
      <c r="BB42" s="3">
        <f t="shared" ref="BB42:BQ42" si="77">RANK(BB9,BB$7:BB$31,0)</f>
        <v>7</v>
      </c>
      <c r="BC42" s="3">
        <f t="shared" si="77"/>
        <v>14</v>
      </c>
      <c r="BD42" s="3">
        <f t="shared" si="77"/>
        <v>12</v>
      </c>
      <c r="BE42" s="3">
        <f t="shared" si="77"/>
        <v>5</v>
      </c>
      <c r="BF42" s="29">
        <f t="shared" si="77"/>
        <v>14</v>
      </c>
      <c r="BG42" s="3">
        <f t="shared" si="77"/>
        <v>11</v>
      </c>
      <c r="BH42" s="3" t="e">
        <f t="shared" si="77"/>
        <v>#VALUE!</v>
      </c>
      <c r="BI42" s="3" t="e">
        <f t="shared" si="77"/>
        <v>#VALUE!</v>
      </c>
      <c r="BJ42" s="3" t="e">
        <f t="shared" si="77"/>
        <v>#VALUE!</v>
      </c>
      <c r="BK42" s="29" t="e">
        <f t="shared" si="77"/>
        <v>#VALUE!</v>
      </c>
      <c r="BL42" s="3" t="e">
        <f t="shared" si="77"/>
        <v>#VALUE!</v>
      </c>
      <c r="BM42" s="3" t="e">
        <f t="shared" si="77"/>
        <v>#VALUE!</v>
      </c>
      <c r="BN42" s="3" t="e">
        <f t="shared" si="77"/>
        <v>#VALUE!</v>
      </c>
      <c r="BO42" s="3" t="e">
        <f t="shared" si="77"/>
        <v>#VALUE!</v>
      </c>
      <c r="BP42" s="29" t="e">
        <f t="shared" si="77"/>
        <v>#VALUE!</v>
      </c>
      <c r="BQ42" s="3" t="e">
        <f t="shared" si="77"/>
        <v>#VALUE!</v>
      </c>
      <c r="BR42" s="2"/>
    </row>
    <row r="43" spans="8:91" x14ac:dyDescent="0.3">
      <c r="AW43">
        <v>1.1499999999999999</v>
      </c>
      <c r="AX43">
        <f>COUNTIF($BB$7:$BI$31,AW43)</f>
        <v>3</v>
      </c>
      <c r="AY43" s="58">
        <f>AX43/AX45</f>
        <v>1.948051948051948E-2</v>
      </c>
      <c r="BA43" s="24">
        <f t="shared" si="74"/>
        <v>4</v>
      </c>
      <c r="BB43" s="3">
        <f t="shared" ref="BB43:BQ43" si="78">RANK(BB10,BB$7:BB$31,0)</f>
        <v>13</v>
      </c>
      <c r="BC43" s="3">
        <f t="shared" si="78"/>
        <v>7</v>
      </c>
      <c r="BD43" s="3">
        <f t="shared" si="78"/>
        <v>11</v>
      </c>
      <c r="BE43" s="3">
        <f t="shared" si="78"/>
        <v>10</v>
      </c>
      <c r="BF43" s="29">
        <f t="shared" si="78"/>
        <v>13</v>
      </c>
      <c r="BG43" s="3">
        <f t="shared" si="78"/>
        <v>9</v>
      </c>
      <c r="BH43" s="3" t="e">
        <f t="shared" si="78"/>
        <v>#VALUE!</v>
      </c>
      <c r="BI43" s="3" t="e">
        <f t="shared" si="78"/>
        <v>#VALUE!</v>
      </c>
      <c r="BJ43" s="3" t="e">
        <f t="shared" si="78"/>
        <v>#VALUE!</v>
      </c>
      <c r="BK43" s="29" t="e">
        <f t="shared" si="78"/>
        <v>#VALUE!</v>
      </c>
      <c r="BL43" s="3" t="e">
        <f t="shared" si="78"/>
        <v>#VALUE!</v>
      </c>
      <c r="BM43" s="3" t="e">
        <f t="shared" si="78"/>
        <v>#VALUE!</v>
      </c>
      <c r="BN43" s="3" t="e">
        <f t="shared" si="78"/>
        <v>#VALUE!</v>
      </c>
      <c r="BO43" s="3" t="e">
        <f t="shared" si="78"/>
        <v>#VALUE!</v>
      </c>
      <c r="BP43" s="29" t="e">
        <f t="shared" si="78"/>
        <v>#VALUE!</v>
      </c>
      <c r="BQ43" s="3" t="e">
        <f t="shared" si="78"/>
        <v>#VALUE!</v>
      </c>
      <c r="BR43" s="2"/>
    </row>
    <row r="44" spans="8:91" x14ac:dyDescent="0.3">
      <c r="AW44" t="s">
        <v>935</v>
      </c>
      <c r="BA44" s="24">
        <f t="shared" si="74"/>
        <v>5</v>
      </c>
      <c r="BB44" s="3">
        <f t="shared" ref="BB44:BQ44" si="79">RANK(BB11,BB$7:BB$31,0)</f>
        <v>12</v>
      </c>
      <c r="BC44" s="3">
        <f t="shared" si="79"/>
        <v>15</v>
      </c>
      <c r="BD44" s="3">
        <f t="shared" si="79"/>
        <v>6</v>
      </c>
      <c r="BE44" s="3">
        <f t="shared" si="79"/>
        <v>2</v>
      </c>
      <c r="BF44" s="29">
        <f t="shared" si="79"/>
        <v>2</v>
      </c>
      <c r="BG44" s="3">
        <f t="shared" si="79"/>
        <v>3</v>
      </c>
      <c r="BH44" s="3">
        <f t="shared" si="79"/>
        <v>1</v>
      </c>
      <c r="BI44" s="3" t="e">
        <f t="shared" si="79"/>
        <v>#VALUE!</v>
      </c>
      <c r="BJ44" s="3" t="e">
        <f t="shared" si="79"/>
        <v>#VALUE!</v>
      </c>
      <c r="BK44" s="29" t="e">
        <f t="shared" si="79"/>
        <v>#VALUE!</v>
      </c>
      <c r="BL44" s="3" t="e">
        <f t="shared" si="79"/>
        <v>#VALUE!</v>
      </c>
      <c r="BM44" s="3" t="e">
        <f t="shared" si="79"/>
        <v>#VALUE!</v>
      </c>
      <c r="BN44" s="3" t="e">
        <f t="shared" si="79"/>
        <v>#VALUE!</v>
      </c>
      <c r="BO44" s="3" t="e">
        <f t="shared" si="79"/>
        <v>#VALUE!</v>
      </c>
      <c r="BP44" s="29" t="e">
        <f t="shared" si="79"/>
        <v>#VALUE!</v>
      </c>
      <c r="BQ44" s="3" t="e">
        <f t="shared" si="79"/>
        <v>#VALUE!</v>
      </c>
      <c r="BR44" s="2"/>
    </row>
    <row r="45" spans="8:91" x14ac:dyDescent="0.3">
      <c r="AX45">
        <f>COUNT($AB$7:$AI$31)</f>
        <v>154</v>
      </c>
      <c r="BA45" s="24">
        <f t="shared" si="74"/>
        <v>6</v>
      </c>
      <c r="BB45" s="3">
        <f t="shared" ref="BB45:BQ45" si="80">RANK(BB12,BB$7:BB$31,0)</f>
        <v>1</v>
      </c>
      <c r="BC45" s="3">
        <f t="shared" si="80"/>
        <v>25</v>
      </c>
      <c r="BD45" s="3">
        <f t="shared" si="80"/>
        <v>24</v>
      </c>
      <c r="BE45" s="3">
        <f t="shared" si="80"/>
        <v>24</v>
      </c>
      <c r="BF45" s="29">
        <f t="shared" si="80"/>
        <v>24</v>
      </c>
      <c r="BG45" s="3">
        <f t="shared" si="80"/>
        <v>4</v>
      </c>
      <c r="BH45" s="3">
        <f t="shared" si="80"/>
        <v>6</v>
      </c>
      <c r="BI45" s="3" t="e">
        <f t="shared" si="80"/>
        <v>#VALUE!</v>
      </c>
      <c r="BJ45" s="3" t="e">
        <f t="shared" si="80"/>
        <v>#VALUE!</v>
      </c>
      <c r="BK45" s="29" t="e">
        <f t="shared" si="80"/>
        <v>#VALUE!</v>
      </c>
      <c r="BL45" s="3" t="e">
        <f t="shared" si="80"/>
        <v>#VALUE!</v>
      </c>
      <c r="BM45" s="3" t="e">
        <f t="shared" si="80"/>
        <v>#VALUE!</v>
      </c>
      <c r="BN45" s="3" t="e">
        <f t="shared" si="80"/>
        <v>#VALUE!</v>
      </c>
      <c r="BO45" s="3" t="e">
        <f t="shared" si="80"/>
        <v>#VALUE!</v>
      </c>
      <c r="BP45" s="29" t="e">
        <f t="shared" si="80"/>
        <v>#VALUE!</v>
      </c>
      <c r="BQ45" s="3" t="e">
        <f t="shared" si="80"/>
        <v>#VALUE!</v>
      </c>
      <c r="BR45" s="2"/>
    </row>
    <row r="46" spans="8:91" x14ac:dyDescent="0.3">
      <c r="AW46" t="s">
        <v>936</v>
      </c>
      <c r="BA46" s="24">
        <f t="shared" si="74"/>
        <v>7</v>
      </c>
      <c r="BB46" s="3">
        <f t="shared" ref="BB46:BQ46" si="81">RANK(BB13,BB$7:BB$31,0)</f>
        <v>22</v>
      </c>
      <c r="BC46" s="3">
        <f t="shared" si="81"/>
        <v>21</v>
      </c>
      <c r="BD46" s="3">
        <f t="shared" si="81"/>
        <v>22</v>
      </c>
      <c r="BE46" s="3">
        <f t="shared" si="81"/>
        <v>21</v>
      </c>
      <c r="BF46" s="29">
        <f t="shared" si="81"/>
        <v>17</v>
      </c>
      <c r="BG46" s="3">
        <f t="shared" si="81"/>
        <v>16</v>
      </c>
      <c r="BH46" s="3" t="e">
        <f t="shared" si="81"/>
        <v>#VALUE!</v>
      </c>
      <c r="BI46" s="3" t="e">
        <f t="shared" si="81"/>
        <v>#VALUE!</v>
      </c>
      <c r="BJ46" s="3" t="e">
        <f t="shared" si="81"/>
        <v>#VALUE!</v>
      </c>
      <c r="BK46" s="29" t="e">
        <f t="shared" si="81"/>
        <v>#VALUE!</v>
      </c>
      <c r="BL46" s="3" t="e">
        <f t="shared" si="81"/>
        <v>#VALUE!</v>
      </c>
      <c r="BM46" s="3" t="e">
        <f t="shared" si="81"/>
        <v>#VALUE!</v>
      </c>
      <c r="BN46" s="3" t="e">
        <f t="shared" si="81"/>
        <v>#VALUE!</v>
      </c>
      <c r="BO46" s="3" t="e">
        <f t="shared" si="81"/>
        <v>#VALUE!</v>
      </c>
      <c r="BP46" s="29" t="e">
        <f t="shared" si="81"/>
        <v>#VALUE!</v>
      </c>
      <c r="BQ46" s="3" t="e">
        <f t="shared" si="81"/>
        <v>#VALUE!</v>
      </c>
      <c r="BR46" s="2"/>
    </row>
    <row r="47" spans="8:91" x14ac:dyDescent="0.3">
      <c r="AW47">
        <v>0</v>
      </c>
      <c r="AX47">
        <f>COUNTIF($BB$7:$BI$31,AW47)</f>
        <v>1</v>
      </c>
      <c r="AY47" s="58">
        <f>AX47/AX45</f>
        <v>6.4935064935064939E-3</v>
      </c>
      <c r="BA47" s="24">
        <f t="shared" si="74"/>
        <v>8</v>
      </c>
      <c r="BB47" s="3">
        <f t="shared" ref="BB47:BP47" si="82">RANK(BB14,BB$7:BB$31,0)</f>
        <v>14</v>
      </c>
      <c r="BC47" s="3">
        <f t="shared" si="82"/>
        <v>22</v>
      </c>
      <c r="BD47" s="3">
        <f t="shared" si="82"/>
        <v>8</v>
      </c>
      <c r="BE47" s="3">
        <f t="shared" si="82"/>
        <v>19</v>
      </c>
      <c r="BF47" s="29">
        <f t="shared" si="82"/>
        <v>4</v>
      </c>
      <c r="BG47" s="3">
        <f t="shared" si="82"/>
        <v>10</v>
      </c>
      <c r="BH47" s="3" t="e">
        <f t="shared" si="82"/>
        <v>#VALUE!</v>
      </c>
      <c r="BI47" s="3" t="e">
        <f t="shared" si="82"/>
        <v>#VALUE!</v>
      </c>
      <c r="BJ47" s="3" t="e">
        <f t="shared" si="82"/>
        <v>#VALUE!</v>
      </c>
      <c r="BK47" s="29" t="e">
        <f t="shared" si="82"/>
        <v>#VALUE!</v>
      </c>
      <c r="BL47" s="3" t="e">
        <f t="shared" si="82"/>
        <v>#VALUE!</v>
      </c>
      <c r="BM47" s="3" t="e">
        <f t="shared" si="82"/>
        <v>#VALUE!</v>
      </c>
      <c r="BN47" s="3" t="e">
        <f t="shared" si="82"/>
        <v>#VALUE!</v>
      </c>
      <c r="BO47" s="3" t="e">
        <f t="shared" si="82"/>
        <v>#VALUE!</v>
      </c>
      <c r="BP47" s="29" t="e">
        <f t="shared" si="82"/>
        <v>#VALUE!</v>
      </c>
      <c r="BQ47" s="3"/>
    </row>
    <row r="48" spans="8:91" x14ac:dyDescent="0.3">
      <c r="BA48" s="24">
        <f t="shared" si="74"/>
        <v>9</v>
      </c>
      <c r="BB48" s="3">
        <f t="shared" ref="BB48:BP48" si="83">RANK(BB15,BB$7:BB$31,0)</f>
        <v>10</v>
      </c>
      <c r="BC48" s="3">
        <f t="shared" si="83"/>
        <v>4</v>
      </c>
      <c r="BD48" s="3">
        <f t="shared" si="83"/>
        <v>7</v>
      </c>
      <c r="BE48" s="3">
        <f t="shared" si="83"/>
        <v>4</v>
      </c>
      <c r="BF48" s="29">
        <f t="shared" si="83"/>
        <v>5</v>
      </c>
      <c r="BG48" s="3" t="e">
        <f t="shared" si="83"/>
        <v>#VALUE!</v>
      </c>
      <c r="BH48" s="3" t="e">
        <f t="shared" si="83"/>
        <v>#VALUE!</v>
      </c>
      <c r="BI48" s="3" t="e">
        <f t="shared" si="83"/>
        <v>#VALUE!</v>
      </c>
      <c r="BJ48" s="3" t="e">
        <f t="shared" si="83"/>
        <v>#VALUE!</v>
      </c>
      <c r="BK48" s="29" t="e">
        <f t="shared" si="83"/>
        <v>#VALUE!</v>
      </c>
      <c r="BL48" s="3" t="e">
        <f t="shared" si="83"/>
        <v>#VALUE!</v>
      </c>
      <c r="BM48" s="3" t="e">
        <f t="shared" si="83"/>
        <v>#VALUE!</v>
      </c>
      <c r="BN48" s="3" t="e">
        <f t="shared" si="83"/>
        <v>#VALUE!</v>
      </c>
      <c r="BO48" s="3" t="e">
        <f t="shared" si="83"/>
        <v>#VALUE!</v>
      </c>
      <c r="BP48" s="29" t="e">
        <f t="shared" si="83"/>
        <v>#VALUE!</v>
      </c>
      <c r="BQ48" s="3" t="e">
        <f>RANK(BQ15,BQ$7:BQ$31,0)</f>
        <v>#VALUE!</v>
      </c>
    </row>
    <row r="49" spans="53:69" x14ac:dyDescent="0.3">
      <c r="BA49" s="24">
        <f t="shared" si="74"/>
        <v>10</v>
      </c>
      <c r="BB49" s="3">
        <f t="shared" ref="BB49:BP49" si="84">RANK(BB16,BB$7:BB$31,0)</f>
        <v>4</v>
      </c>
      <c r="BC49" s="3">
        <f t="shared" si="84"/>
        <v>10</v>
      </c>
      <c r="BD49" s="3">
        <f t="shared" si="84"/>
        <v>3</v>
      </c>
      <c r="BE49" s="3">
        <f t="shared" si="84"/>
        <v>7</v>
      </c>
      <c r="BF49" s="29">
        <f t="shared" si="84"/>
        <v>11</v>
      </c>
      <c r="BG49" s="3" t="e">
        <f t="shared" si="84"/>
        <v>#VALUE!</v>
      </c>
      <c r="BH49" s="3" t="e">
        <f t="shared" si="84"/>
        <v>#VALUE!</v>
      </c>
      <c r="BI49" s="3" t="e">
        <f t="shared" si="84"/>
        <v>#VALUE!</v>
      </c>
      <c r="BJ49" s="3" t="e">
        <f t="shared" si="84"/>
        <v>#VALUE!</v>
      </c>
      <c r="BK49" s="29" t="e">
        <f t="shared" si="84"/>
        <v>#VALUE!</v>
      </c>
      <c r="BL49" s="3" t="e">
        <f t="shared" si="84"/>
        <v>#VALUE!</v>
      </c>
      <c r="BM49" s="3" t="e">
        <f t="shared" si="84"/>
        <v>#VALUE!</v>
      </c>
      <c r="BN49" s="3" t="e">
        <f t="shared" si="84"/>
        <v>#VALUE!</v>
      </c>
      <c r="BO49" s="3" t="e">
        <f t="shared" si="84"/>
        <v>#VALUE!</v>
      </c>
      <c r="BP49" s="29" t="e">
        <f t="shared" si="84"/>
        <v>#VALUE!</v>
      </c>
      <c r="BQ49" s="3" t="e">
        <f>RANK(BQ16,BQ$7:BQ$31,0)</f>
        <v>#VALUE!</v>
      </c>
    </row>
    <row r="50" spans="53:69" x14ac:dyDescent="0.3">
      <c r="BA50" s="24">
        <f t="shared" si="74"/>
        <v>11</v>
      </c>
      <c r="BB50" s="3">
        <f t="shared" ref="BB50:BP50" si="85">RANK(BB17,BB$7:BB$31,0)</f>
        <v>21</v>
      </c>
      <c r="BC50" s="3">
        <f t="shared" si="85"/>
        <v>24</v>
      </c>
      <c r="BD50" s="3">
        <f t="shared" si="85"/>
        <v>17</v>
      </c>
      <c r="BE50" s="3">
        <f t="shared" si="85"/>
        <v>20</v>
      </c>
      <c r="BF50" s="29">
        <f t="shared" si="85"/>
        <v>22</v>
      </c>
      <c r="BG50" s="3">
        <f t="shared" si="85"/>
        <v>12</v>
      </c>
      <c r="BH50" s="3">
        <f t="shared" si="85"/>
        <v>3</v>
      </c>
      <c r="BI50" s="3">
        <f t="shared" si="85"/>
        <v>1</v>
      </c>
      <c r="BJ50" s="3" t="e">
        <f t="shared" si="85"/>
        <v>#VALUE!</v>
      </c>
      <c r="BK50" s="29" t="e">
        <f t="shared" si="85"/>
        <v>#VALUE!</v>
      </c>
      <c r="BL50" s="3" t="e">
        <f t="shared" si="85"/>
        <v>#VALUE!</v>
      </c>
      <c r="BM50" s="3" t="e">
        <f t="shared" si="85"/>
        <v>#VALUE!</v>
      </c>
      <c r="BN50" s="3" t="e">
        <f t="shared" si="85"/>
        <v>#VALUE!</v>
      </c>
      <c r="BO50" s="3" t="e">
        <f t="shared" si="85"/>
        <v>#VALUE!</v>
      </c>
      <c r="BP50" s="29" t="e">
        <f t="shared" si="85"/>
        <v>#VALUE!</v>
      </c>
      <c r="BQ50" s="3" t="e">
        <f>RANK(BQ17,BQ$7:BQ$31,0)</f>
        <v>#VALUE!</v>
      </c>
    </row>
    <row r="51" spans="53:69" x14ac:dyDescent="0.3">
      <c r="BA51" s="24">
        <f t="shared" si="74"/>
        <v>12</v>
      </c>
      <c r="BB51" s="3">
        <f t="shared" ref="BB51:BP51" si="86">RANK(BB18,BB$7:BB$31,0)</f>
        <v>18</v>
      </c>
      <c r="BC51" s="3">
        <f t="shared" si="86"/>
        <v>23</v>
      </c>
      <c r="BD51" s="3">
        <f t="shared" si="86"/>
        <v>19</v>
      </c>
      <c r="BE51" s="3">
        <f t="shared" si="86"/>
        <v>14</v>
      </c>
      <c r="BF51" s="29">
        <f t="shared" si="86"/>
        <v>21</v>
      </c>
      <c r="BG51" s="3">
        <f t="shared" si="86"/>
        <v>17</v>
      </c>
      <c r="BH51" s="3" t="e">
        <f t="shared" si="86"/>
        <v>#VALUE!</v>
      </c>
      <c r="BI51" s="3" t="e">
        <f t="shared" si="86"/>
        <v>#VALUE!</v>
      </c>
      <c r="BJ51" s="3" t="e">
        <f t="shared" si="86"/>
        <v>#VALUE!</v>
      </c>
      <c r="BK51" s="29" t="e">
        <f t="shared" si="86"/>
        <v>#VALUE!</v>
      </c>
      <c r="BL51" s="3" t="e">
        <f t="shared" si="86"/>
        <v>#VALUE!</v>
      </c>
      <c r="BM51" s="3" t="e">
        <f t="shared" si="86"/>
        <v>#VALUE!</v>
      </c>
      <c r="BN51" s="3" t="e">
        <f t="shared" si="86"/>
        <v>#VALUE!</v>
      </c>
      <c r="BO51" s="3" t="e">
        <f t="shared" si="86"/>
        <v>#VALUE!</v>
      </c>
      <c r="BP51" s="29" t="e">
        <f t="shared" si="86"/>
        <v>#VALUE!</v>
      </c>
      <c r="BQ51" s="3" t="e">
        <f>RANK(BQ18,BQ$7:BQ$31,0)</f>
        <v>#VALUE!</v>
      </c>
    </row>
    <row r="52" spans="53:69" x14ac:dyDescent="0.3">
      <c r="BA52" s="24">
        <f t="shared" si="74"/>
        <v>13</v>
      </c>
      <c r="BB52" s="3">
        <f t="shared" ref="BB52:BP52" si="87">RANK(BB19,BB$7:BB$31,0)</f>
        <v>6</v>
      </c>
      <c r="BC52" s="3">
        <f t="shared" si="87"/>
        <v>13</v>
      </c>
      <c r="BD52" s="3">
        <f t="shared" si="87"/>
        <v>9</v>
      </c>
      <c r="BE52" s="3">
        <f t="shared" si="87"/>
        <v>9</v>
      </c>
      <c r="BF52" s="29">
        <f t="shared" si="87"/>
        <v>10</v>
      </c>
      <c r="BG52" s="3">
        <f t="shared" si="87"/>
        <v>7</v>
      </c>
      <c r="BH52" s="3" t="e">
        <f t="shared" si="87"/>
        <v>#VALUE!</v>
      </c>
      <c r="BI52" s="3" t="e">
        <f t="shared" si="87"/>
        <v>#VALUE!</v>
      </c>
      <c r="BJ52" s="3" t="e">
        <f t="shared" si="87"/>
        <v>#VALUE!</v>
      </c>
      <c r="BK52" s="29" t="e">
        <f t="shared" si="87"/>
        <v>#VALUE!</v>
      </c>
      <c r="BL52" s="3" t="e">
        <f t="shared" si="87"/>
        <v>#VALUE!</v>
      </c>
      <c r="BM52" s="3" t="e">
        <f t="shared" si="87"/>
        <v>#VALUE!</v>
      </c>
      <c r="BN52" s="3" t="e">
        <f t="shared" si="87"/>
        <v>#VALUE!</v>
      </c>
      <c r="BO52" s="3" t="e">
        <f t="shared" si="87"/>
        <v>#VALUE!</v>
      </c>
      <c r="BP52" s="29" t="e">
        <f t="shared" si="87"/>
        <v>#VALUE!</v>
      </c>
      <c r="BQ52" s="3" t="e">
        <f>RANK(BQ19,BQ$7:BQ$31,0)</f>
        <v>#VALUE!</v>
      </c>
    </row>
    <row r="53" spans="53:69" x14ac:dyDescent="0.3">
      <c r="BA53" s="24">
        <f t="shared" si="74"/>
        <v>14</v>
      </c>
      <c r="BB53" s="3">
        <f t="shared" ref="BB53:BM53" si="88">RANK(BB20,BB$7:BB$31,0)</f>
        <v>3</v>
      </c>
      <c r="BC53" s="3">
        <f t="shared" si="88"/>
        <v>2</v>
      </c>
      <c r="BD53" s="3">
        <f t="shared" si="88"/>
        <v>2</v>
      </c>
      <c r="BE53" s="3">
        <f t="shared" si="88"/>
        <v>1</v>
      </c>
      <c r="BF53" s="29">
        <f t="shared" si="88"/>
        <v>1</v>
      </c>
      <c r="BG53" s="3">
        <f t="shared" si="88"/>
        <v>2</v>
      </c>
      <c r="BH53" s="3" t="e">
        <f t="shared" si="88"/>
        <v>#VALUE!</v>
      </c>
      <c r="BI53" s="3" t="e">
        <f t="shared" si="88"/>
        <v>#VALUE!</v>
      </c>
      <c r="BJ53" s="3" t="e">
        <f t="shared" si="88"/>
        <v>#VALUE!</v>
      </c>
      <c r="BK53" s="29" t="e">
        <f t="shared" si="88"/>
        <v>#VALUE!</v>
      </c>
      <c r="BL53" s="3" t="e">
        <f t="shared" si="88"/>
        <v>#VALUE!</v>
      </c>
      <c r="BM53" s="3" t="e">
        <f t="shared" si="88"/>
        <v>#VALUE!</v>
      </c>
      <c r="BN53" s="3"/>
      <c r="BO53" s="3"/>
      <c r="BP53" s="29"/>
      <c r="BQ53" s="3"/>
    </row>
    <row r="54" spans="53:69" x14ac:dyDescent="0.3">
      <c r="BA54" s="24">
        <f t="shared" si="74"/>
        <v>15</v>
      </c>
      <c r="BB54" s="3">
        <f t="shared" ref="BB54:BM54" si="89">RANK(BB21,BB$7:BB$31,0)</f>
        <v>1</v>
      </c>
      <c r="BC54" s="3">
        <f t="shared" si="89"/>
        <v>3</v>
      </c>
      <c r="BD54" s="3">
        <f t="shared" si="89"/>
        <v>25</v>
      </c>
      <c r="BE54" s="3">
        <f t="shared" si="89"/>
        <v>25</v>
      </c>
      <c r="BF54" s="29">
        <f t="shared" si="89"/>
        <v>6</v>
      </c>
      <c r="BG54" s="3">
        <f t="shared" si="89"/>
        <v>22</v>
      </c>
      <c r="BH54" s="3" t="e">
        <f t="shared" si="89"/>
        <v>#VALUE!</v>
      </c>
      <c r="BI54" s="3" t="e">
        <f t="shared" si="89"/>
        <v>#VALUE!</v>
      </c>
      <c r="BJ54" s="3" t="e">
        <f t="shared" si="89"/>
        <v>#VALUE!</v>
      </c>
      <c r="BK54" s="29" t="e">
        <f t="shared" si="89"/>
        <v>#VALUE!</v>
      </c>
      <c r="BL54" s="3" t="e">
        <f t="shared" si="89"/>
        <v>#VALUE!</v>
      </c>
      <c r="BM54" s="3" t="e">
        <f t="shared" si="89"/>
        <v>#VALUE!</v>
      </c>
      <c r="BN54" s="3" t="e">
        <f>RANK(BN21,BN$7:BN$31,0)</f>
        <v>#VALUE!</v>
      </c>
      <c r="BO54" s="3" t="e">
        <f>RANK(BO21,BO$7:BO$31,0)</f>
        <v>#VALUE!</v>
      </c>
      <c r="BP54" s="29" t="e">
        <f>RANK(BP21,BP$7:BP$31,0)</f>
        <v>#VALUE!</v>
      </c>
      <c r="BQ54" s="3" t="e">
        <f>RANK(BQ21,BQ$7:BQ$31,0)</f>
        <v>#VALUE!</v>
      </c>
    </row>
    <row r="55" spans="53:69" x14ac:dyDescent="0.3">
      <c r="BA55" s="24">
        <f t="shared" si="74"/>
        <v>16</v>
      </c>
      <c r="BB55" s="3">
        <f t="shared" ref="BB55:BM55" si="90">RANK(BB22,BB$7:BB$31,0)</f>
        <v>19</v>
      </c>
      <c r="BC55" s="3">
        <f t="shared" si="90"/>
        <v>16</v>
      </c>
      <c r="BD55" s="3">
        <f t="shared" si="90"/>
        <v>16</v>
      </c>
      <c r="BE55" s="3">
        <f t="shared" si="90"/>
        <v>17</v>
      </c>
      <c r="BF55" s="29">
        <f t="shared" si="90"/>
        <v>12</v>
      </c>
      <c r="BG55" s="3">
        <f t="shared" si="90"/>
        <v>15</v>
      </c>
      <c r="BH55" s="3">
        <f t="shared" si="90"/>
        <v>5</v>
      </c>
      <c r="BI55" s="3" t="e">
        <f t="shared" si="90"/>
        <v>#VALUE!</v>
      </c>
      <c r="BJ55" s="3" t="e">
        <f t="shared" si="90"/>
        <v>#VALUE!</v>
      </c>
      <c r="BK55" s="29" t="e">
        <f t="shared" si="90"/>
        <v>#VALUE!</v>
      </c>
      <c r="BL55" s="3" t="e">
        <f t="shared" si="90"/>
        <v>#VALUE!</v>
      </c>
      <c r="BM55" s="3" t="e">
        <f t="shared" si="90"/>
        <v>#VALUE!</v>
      </c>
      <c r="BN55" s="3" t="e">
        <f>RANK(BN22,BN$7:BN$31,0)</f>
        <v>#VALUE!</v>
      </c>
      <c r="BO55" s="3" t="e">
        <f>RANK(BO22,BO$7:BO$31,0)</f>
        <v>#VALUE!</v>
      </c>
      <c r="BP55" s="29" t="e">
        <f>RANK(BP22,BP$7:BP$31,0)</f>
        <v>#VALUE!</v>
      </c>
      <c r="BQ55" s="3"/>
    </row>
    <row r="56" spans="53:69" x14ac:dyDescent="0.3">
      <c r="BA56" s="24">
        <f t="shared" si="74"/>
        <v>17</v>
      </c>
      <c r="BB56" s="3">
        <f t="shared" ref="BB56:BM56" si="91">RANK(BB23,BB$7:BB$31,0)</f>
        <v>17</v>
      </c>
      <c r="BC56" s="3">
        <f t="shared" si="91"/>
        <v>18</v>
      </c>
      <c r="BD56" s="3">
        <f t="shared" si="91"/>
        <v>21</v>
      </c>
      <c r="BE56" s="3">
        <f t="shared" si="91"/>
        <v>8</v>
      </c>
      <c r="BF56" s="29">
        <f t="shared" si="91"/>
        <v>19</v>
      </c>
      <c r="BG56" s="3">
        <f t="shared" si="91"/>
        <v>13</v>
      </c>
      <c r="BH56" s="3">
        <f t="shared" si="91"/>
        <v>4</v>
      </c>
      <c r="BI56" s="3" t="e">
        <f t="shared" si="91"/>
        <v>#VALUE!</v>
      </c>
      <c r="BJ56" s="3" t="e">
        <f t="shared" si="91"/>
        <v>#VALUE!</v>
      </c>
      <c r="BK56" s="29" t="e">
        <f t="shared" si="91"/>
        <v>#VALUE!</v>
      </c>
      <c r="BL56" s="3" t="e">
        <f t="shared" si="91"/>
        <v>#VALUE!</v>
      </c>
      <c r="BM56" s="3" t="e">
        <f t="shared" si="91"/>
        <v>#VALUE!</v>
      </c>
      <c r="BN56" s="3" t="e">
        <f t="shared" ref="BN56:BO64" si="92">RANK(BN23,BN$7:BN$31,0)</f>
        <v>#VALUE!</v>
      </c>
      <c r="BO56" s="3" t="e">
        <f t="shared" si="92"/>
        <v>#VALUE!</v>
      </c>
      <c r="BP56" s="29"/>
      <c r="BQ56" s="3"/>
    </row>
    <row r="57" spans="53:69" x14ac:dyDescent="0.3">
      <c r="BA57" s="24">
        <f t="shared" si="74"/>
        <v>18</v>
      </c>
      <c r="BB57" s="3">
        <f t="shared" ref="BB57:BM57" si="93">RANK(BB24,BB$7:BB$31,0)</f>
        <v>24</v>
      </c>
      <c r="BC57" s="3">
        <f t="shared" si="93"/>
        <v>20</v>
      </c>
      <c r="BD57" s="3">
        <f t="shared" si="93"/>
        <v>18</v>
      </c>
      <c r="BE57" s="3">
        <f t="shared" si="93"/>
        <v>18</v>
      </c>
      <c r="BF57" s="29">
        <f t="shared" si="93"/>
        <v>20</v>
      </c>
      <c r="BG57" s="3">
        <f t="shared" si="93"/>
        <v>18</v>
      </c>
      <c r="BH57" s="3" t="e">
        <f t="shared" si="93"/>
        <v>#VALUE!</v>
      </c>
      <c r="BI57" s="3" t="e">
        <f t="shared" si="93"/>
        <v>#VALUE!</v>
      </c>
      <c r="BJ57" s="3" t="e">
        <f t="shared" si="93"/>
        <v>#VALUE!</v>
      </c>
      <c r="BK57" s="29" t="e">
        <f t="shared" si="93"/>
        <v>#VALUE!</v>
      </c>
      <c r="BL57" s="3" t="e">
        <f t="shared" si="93"/>
        <v>#VALUE!</v>
      </c>
      <c r="BM57" s="3" t="e">
        <f t="shared" si="93"/>
        <v>#VALUE!</v>
      </c>
      <c r="BN57" s="3" t="e">
        <f t="shared" si="92"/>
        <v>#VALUE!</v>
      </c>
      <c r="BO57" s="3" t="e">
        <f t="shared" si="92"/>
        <v>#VALUE!</v>
      </c>
      <c r="BP57" s="29" t="e">
        <f t="shared" ref="BP57:BP64" si="94">RANK(BP24,BP$7:BP$31,0)</f>
        <v>#VALUE!</v>
      </c>
      <c r="BQ57" s="3"/>
    </row>
    <row r="58" spans="53:69" x14ac:dyDescent="0.3">
      <c r="BA58" s="24">
        <f t="shared" si="74"/>
        <v>19</v>
      </c>
      <c r="BB58" s="3">
        <f t="shared" ref="BB58:BM58" si="95">RANK(BB25,BB$7:BB$31,0)</f>
        <v>11</v>
      </c>
      <c r="BC58" s="3">
        <f t="shared" si="95"/>
        <v>8</v>
      </c>
      <c r="BD58" s="3">
        <f t="shared" si="95"/>
        <v>10</v>
      </c>
      <c r="BE58" s="3">
        <f t="shared" si="95"/>
        <v>11</v>
      </c>
      <c r="BF58" s="29">
        <f t="shared" si="95"/>
        <v>15</v>
      </c>
      <c r="BG58" s="3">
        <f t="shared" si="95"/>
        <v>20</v>
      </c>
      <c r="BH58" s="3" t="e">
        <f t="shared" si="95"/>
        <v>#VALUE!</v>
      </c>
      <c r="BI58" s="3" t="e">
        <f t="shared" si="95"/>
        <v>#VALUE!</v>
      </c>
      <c r="BJ58" s="3" t="e">
        <f t="shared" si="95"/>
        <v>#VALUE!</v>
      </c>
      <c r="BK58" s="29" t="e">
        <f t="shared" si="95"/>
        <v>#VALUE!</v>
      </c>
      <c r="BL58" s="3" t="e">
        <f t="shared" si="95"/>
        <v>#VALUE!</v>
      </c>
      <c r="BM58" s="3" t="e">
        <f t="shared" si="95"/>
        <v>#VALUE!</v>
      </c>
      <c r="BN58" s="3" t="e">
        <f t="shared" si="92"/>
        <v>#VALUE!</v>
      </c>
      <c r="BO58" s="3" t="e">
        <f t="shared" si="92"/>
        <v>#VALUE!</v>
      </c>
      <c r="BP58" s="29" t="e">
        <f t="shared" si="94"/>
        <v>#VALUE!</v>
      </c>
      <c r="BQ58" s="3" t="e">
        <f>RANK(BQ25,BQ$7:BQ$31,0)</f>
        <v>#VALUE!</v>
      </c>
    </row>
    <row r="59" spans="53:69" x14ac:dyDescent="0.3">
      <c r="BA59" s="24">
        <f t="shared" si="74"/>
        <v>20</v>
      </c>
      <c r="BB59" s="3">
        <f t="shared" ref="BB59:BM59" si="96">RANK(BB26,BB$7:BB$31,0)</f>
        <v>20</v>
      </c>
      <c r="BC59" s="3">
        <f t="shared" si="96"/>
        <v>11</v>
      </c>
      <c r="BD59" s="3">
        <f t="shared" si="96"/>
        <v>20</v>
      </c>
      <c r="BE59" s="3">
        <f t="shared" si="96"/>
        <v>6</v>
      </c>
      <c r="BF59" s="29">
        <f t="shared" si="96"/>
        <v>8</v>
      </c>
      <c r="BG59" s="3">
        <f t="shared" si="96"/>
        <v>8</v>
      </c>
      <c r="BH59" s="3" t="e">
        <f t="shared" si="96"/>
        <v>#VALUE!</v>
      </c>
      <c r="BI59" s="3" t="e">
        <f t="shared" si="96"/>
        <v>#VALUE!</v>
      </c>
      <c r="BJ59" s="3" t="e">
        <f t="shared" si="96"/>
        <v>#VALUE!</v>
      </c>
      <c r="BK59" s="29" t="e">
        <f t="shared" si="96"/>
        <v>#VALUE!</v>
      </c>
      <c r="BL59" s="3" t="e">
        <f t="shared" si="96"/>
        <v>#VALUE!</v>
      </c>
      <c r="BM59" s="3" t="e">
        <f t="shared" si="96"/>
        <v>#VALUE!</v>
      </c>
      <c r="BN59" s="3" t="e">
        <f t="shared" si="92"/>
        <v>#VALUE!</v>
      </c>
      <c r="BO59" s="3" t="e">
        <f t="shared" si="92"/>
        <v>#VALUE!</v>
      </c>
      <c r="BP59" s="29" t="e">
        <f t="shared" si="94"/>
        <v>#VALUE!</v>
      </c>
      <c r="BQ59" s="3"/>
    </row>
    <row r="60" spans="53:69" x14ac:dyDescent="0.3">
      <c r="BA60" s="24">
        <f t="shared" si="74"/>
        <v>21</v>
      </c>
      <c r="BB60" s="3">
        <f t="shared" ref="BB60:BM60" si="97">RANK(BB27,BB$7:BB$31,0)</f>
        <v>25</v>
      </c>
      <c r="BC60" s="3">
        <f t="shared" si="97"/>
        <v>17</v>
      </c>
      <c r="BD60" s="3">
        <f t="shared" si="97"/>
        <v>14</v>
      </c>
      <c r="BE60" s="3">
        <f t="shared" si="97"/>
        <v>23</v>
      </c>
      <c r="BF60" s="29">
        <f t="shared" si="97"/>
        <v>25</v>
      </c>
      <c r="BG60" s="3">
        <f t="shared" si="97"/>
        <v>21</v>
      </c>
      <c r="BH60" s="3" t="e">
        <f t="shared" si="97"/>
        <v>#VALUE!</v>
      </c>
      <c r="BI60" s="3" t="e">
        <f t="shared" si="97"/>
        <v>#VALUE!</v>
      </c>
      <c r="BJ60" s="3" t="e">
        <f t="shared" si="97"/>
        <v>#VALUE!</v>
      </c>
      <c r="BK60" s="29" t="e">
        <f t="shared" si="97"/>
        <v>#VALUE!</v>
      </c>
      <c r="BL60" s="3" t="e">
        <f t="shared" si="97"/>
        <v>#VALUE!</v>
      </c>
      <c r="BM60" s="3" t="e">
        <f t="shared" si="97"/>
        <v>#VALUE!</v>
      </c>
      <c r="BN60" s="3" t="e">
        <f t="shared" si="92"/>
        <v>#VALUE!</v>
      </c>
      <c r="BO60" s="3" t="e">
        <f t="shared" si="92"/>
        <v>#VALUE!</v>
      </c>
      <c r="BP60" s="29" t="e">
        <f t="shared" si="94"/>
        <v>#VALUE!</v>
      </c>
      <c r="BQ60" s="3" t="e">
        <f>RANK(BQ27,BQ$7:BQ$31,0)</f>
        <v>#VALUE!</v>
      </c>
    </row>
    <row r="61" spans="53:69" x14ac:dyDescent="0.3">
      <c r="BA61" s="24">
        <f t="shared" si="74"/>
        <v>22</v>
      </c>
      <c r="BB61" s="3">
        <f t="shared" ref="BB61:BM61" si="98">RANK(BB28,BB$7:BB$31,0)</f>
        <v>23</v>
      </c>
      <c r="BC61" s="3">
        <f t="shared" si="98"/>
        <v>19</v>
      </c>
      <c r="BD61" s="3">
        <f t="shared" si="98"/>
        <v>23</v>
      </c>
      <c r="BE61" s="3">
        <f t="shared" si="98"/>
        <v>22</v>
      </c>
      <c r="BF61" s="29">
        <f t="shared" si="98"/>
        <v>23</v>
      </c>
      <c r="BG61" s="3">
        <f t="shared" si="98"/>
        <v>19</v>
      </c>
      <c r="BH61" s="3" t="e">
        <f t="shared" si="98"/>
        <v>#VALUE!</v>
      </c>
      <c r="BI61" s="3" t="e">
        <f t="shared" si="98"/>
        <v>#VALUE!</v>
      </c>
      <c r="BJ61" s="3" t="e">
        <f t="shared" si="98"/>
        <v>#VALUE!</v>
      </c>
      <c r="BK61" s="29" t="e">
        <f t="shared" si="98"/>
        <v>#VALUE!</v>
      </c>
      <c r="BL61" s="3" t="e">
        <f t="shared" si="98"/>
        <v>#VALUE!</v>
      </c>
      <c r="BM61" s="3" t="e">
        <f t="shared" si="98"/>
        <v>#VALUE!</v>
      </c>
      <c r="BN61" s="3" t="e">
        <f t="shared" si="92"/>
        <v>#VALUE!</v>
      </c>
      <c r="BO61" s="3" t="e">
        <f t="shared" si="92"/>
        <v>#VALUE!</v>
      </c>
      <c r="BP61" s="29" t="e">
        <f t="shared" si="94"/>
        <v>#VALUE!</v>
      </c>
      <c r="BQ61" s="3" t="e">
        <f>RANK(BQ28,BQ$7:BQ$31,0)</f>
        <v>#VALUE!</v>
      </c>
    </row>
    <row r="62" spans="53:69" x14ac:dyDescent="0.3">
      <c r="BA62" s="24">
        <f t="shared" si="74"/>
        <v>23</v>
      </c>
      <c r="BB62" s="3">
        <f t="shared" ref="BB62:BM62" si="99">RANK(BB29,BB$7:BB$31,0)</f>
        <v>8</v>
      </c>
      <c r="BC62" s="3">
        <f t="shared" si="99"/>
        <v>5</v>
      </c>
      <c r="BD62" s="3">
        <f t="shared" si="99"/>
        <v>5</v>
      </c>
      <c r="BE62" s="3">
        <f t="shared" si="99"/>
        <v>15</v>
      </c>
      <c r="BF62" s="29">
        <f t="shared" si="99"/>
        <v>9</v>
      </c>
      <c r="BG62" s="3">
        <f t="shared" si="99"/>
        <v>5</v>
      </c>
      <c r="BH62" s="3" t="e">
        <f t="shared" si="99"/>
        <v>#VALUE!</v>
      </c>
      <c r="BI62" s="3" t="e">
        <f t="shared" si="99"/>
        <v>#VALUE!</v>
      </c>
      <c r="BJ62" s="3" t="e">
        <f t="shared" si="99"/>
        <v>#VALUE!</v>
      </c>
      <c r="BK62" s="29" t="e">
        <f t="shared" si="99"/>
        <v>#VALUE!</v>
      </c>
      <c r="BL62" s="3" t="e">
        <f t="shared" si="99"/>
        <v>#VALUE!</v>
      </c>
      <c r="BM62" s="3" t="e">
        <f t="shared" si="99"/>
        <v>#VALUE!</v>
      </c>
      <c r="BN62" s="3" t="e">
        <f t="shared" si="92"/>
        <v>#VALUE!</v>
      </c>
      <c r="BO62" s="3" t="e">
        <f t="shared" si="92"/>
        <v>#VALUE!</v>
      </c>
      <c r="BP62" s="29" t="e">
        <f t="shared" si="94"/>
        <v>#VALUE!</v>
      </c>
      <c r="BQ62" s="3" t="e">
        <f>RANK(BQ29,BQ$7:BQ$31,0)</f>
        <v>#VALUE!</v>
      </c>
    </row>
    <row r="63" spans="53:69" x14ac:dyDescent="0.3">
      <c r="BA63" s="24">
        <f t="shared" si="74"/>
        <v>24</v>
      </c>
      <c r="BB63" s="3">
        <f t="shared" ref="BB63:BM63" si="100">RANK(BB30,BB$7:BB$31,0)</f>
        <v>5</v>
      </c>
      <c r="BC63" s="3">
        <f t="shared" si="100"/>
        <v>12</v>
      </c>
      <c r="BD63" s="3">
        <f t="shared" si="100"/>
        <v>13</v>
      </c>
      <c r="BE63" s="3">
        <f t="shared" si="100"/>
        <v>3</v>
      </c>
      <c r="BF63" s="29">
        <f t="shared" si="100"/>
        <v>7</v>
      </c>
      <c r="BG63" s="3">
        <f t="shared" si="100"/>
        <v>6</v>
      </c>
      <c r="BH63" s="3" t="e">
        <f t="shared" si="100"/>
        <v>#VALUE!</v>
      </c>
      <c r="BI63" s="3" t="e">
        <f t="shared" si="100"/>
        <v>#VALUE!</v>
      </c>
      <c r="BJ63" s="3" t="e">
        <f t="shared" si="100"/>
        <v>#VALUE!</v>
      </c>
      <c r="BK63" s="29" t="e">
        <f t="shared" si="100"/>
        <v>#VALUE!</v>
      </c>
      <c r="BL63" s="3" t="e">
        <f t="shared" si="100"/>
        <v>#VALUE!</v>
      </c>
      <c r="BM63" s="3" t="e">
        <f t="shared" si="100"/>
        <v>#VALUE!</v>
      </c>
      <c r="BN63" s="3" t="e">
        <f t="shared" si="92"/>
        <v>#VALUE!</v>
      </c>
      <c r="BO63" s="3" t="e">
        <f t="shared" si="92"/>
        <v>#VALUE!</v>
      </c>
      <c r="BP63" s="29" t="e">
        <f t="shared" si="94"/>
        <v>#VALUE!</v>
      </c>
      <c r="BQ63" s="3" t="e">
        <f>RANK(BQ30,BQ$7:BQ$31,0)</f>
        <v>#VALUE!</v>
      </c>
    </row>
    <row r="64" spans="53:69" x14ac:dyDescent="0.3">
      <c r="BA64" s="24">
        <f t="shared" si="74"/>
        <v>25</v>
      </c>
      <c r="BB64" s="3">
        <f t="shared" ref="BB64:BM64" si="101">RANK(BB31,BB$7:BB$31,0)</f>
        <v>15</v>
      </c>
      <c r="BC64" s="3">
        <f t="shared" si="101"/>
        <v>9</v>
      </c>
      <c r="BD64" s="3">
        <f t="shared" si="101"/>
        <v>15</v>
      </c>
      <c r="BE64" s="3">
        <f t="shared" si="101"/>
        <v>16</v>
      </c>
      <c r="BF64" s="29">
        <f t="shared" si="101"/>
        <v>16</v>
      </c>
      <c r="BG64" s="3" t="e">
        <f t="shared" si="101"/>
        <v>#VALUE!</v>
      </c>
      <c r="BH64" s="3" t="e">
        <f t="shared" si="101"/>
        <v>#VALUE!</v>
      </c>
      <c r="BI64" s="3" t="e">
        <f t="shared" si="101"/>
        <v>#VALUE!</v>
      </c>
      <c r="BJ64" s="3" t="e">
        <f t="shared" si="101"/>
        <v>#VALUE!</v>
      </c>
      <c r="BK64" s="29" t="e">
        <f t="shared" si="101"/>
        <v>#VALUE!</v>
      </c>
      <c r="BL64" s="3" t="e">
        <f t="shared" si="101"/>
        <v>#VALUE!</v>
      </c>
      <c r="BM64" s="3" t="e">
        <f t="shared" si="101"/>
        <v>#VALUE!</v>
      </c>
      <c r="BN64" s="3" t="e">
        <f t="shared" si="92"/>
        <v>#VALUE!</v>
      </c>
      <c r="BO64" s="3" t="e">
        <f t="shared" si="92"/>
        <v>#VALUE!</v>
      </c>
      <c r="BP64" s="29" t="e">
        <f t="shared" si="94"/>
        <v>#VALUE!</v>
      </c>
      <c r="BQ64" s="3"/>
    </row>
    <row r="65" spans="53:69" x14ac:dyDescent="0.3">
      <c r="BA65" s="23" t="s">
        <v>677</v>
      </c>
      <c r="BB65" s="3">
        <f t="shared" ref="BB65:BQ65" si="102">BB6</f>
        <v>1</v>
      </c>
      <c r="BC65" s="3">
        <f t="shared" si="102"/>
        <v>2</v>
      </c>
      <c r="BD65" s="3">
        <f t="shared" si="102"/>
        <v>3</v>
      </c>
      <c r="BE65" s="3">
        <f t="shared" si="102"/>
        <v>4</v>
      </c>
      <c r="BF65" s="27">
        <f t="shared" si="102"/>
        <v>5</v>
      </c>
      <c r="BG65" s="3">
        <f t="shared" si="102"/>
        <v>6</v>
      </c>
      <c r="BH65" s="3">
        <f t="shared" si="102"/>
        <v>7</v>
      </c>
      <c r="BI65" s="3">
        <f t="shared" si="102"/>
        <v>8</v>
      </c>
      <c r="BJ65" s="3">
        <f t="shared" si="102"/>
        <v>9</v>
      </c>
      <c r="BK65" s="27">
        <f t="shared" si="102"/>
        <v>10</v>
      </c>
      <c r="BL65" s="3">
        <f t="shared" si="102"/>
        <v>11</v>
      </c>
      <c r="BM65" s="3">
        <f t="shared" si="102"/>
        <v>12</v>
      </c>
      <c r="BN65" s="3">
        <f t="shared" si="102"/>
        <v>13</v>
      </c>
      <c r="BO65" s="3">
        <f t="shared" si="102"/>
        <v>14</v>
      </c>
      <c r="BP65" s="27">
        <f t="shared" si="102"/>
        <v>15</v>
      </c>
      <c r="BQ65" s="3">
        <f t="shared" si="102"/>
        <v>16</v>
      </c>
    </row>
    <row r="66" spans="53:69" x14ac:dyDescent="0.3">
      <c r="BA66" s="23" t="s">
        <v>676</v>
      </c>
      <c r="BB66" s="3">
        <f t="shared" ref="BB66:BQ66" si="103">INT(ROUND(BB35*0.1,0))</f>
        <v>3</v>
      </c>
      <c r="BC66" s="3">
        <f t="shared" si="103"/>
        <v>3</v>
      </c>
      <c r="BD66" s="3">
        <f t="shared" si="103"/>
        <v>3</v>
      </c>
      <c r="BE66" s="3">
        <f t="shared" si="103"/>
        <v>3</v>
      </c>
      <c r="BF66" s="29">
        <f t="shared" si="103"/>
        <v>3</v>
      </c>
      <c r="BG66" s="3">
        <f t="shared" si="103"/>
        <v>2</v>
      </c>
      <c r="BH66" s="3">
        <f t="shared" si="103"/>
        <v>1</v>
      </c>
      <c r="BI66" s="3">
        <f t="shared" si="103"/>
        <v>0</v>
      </c>
      <c r="BJ66" s="3">
        <f t="shared" si="103"/>
        <v>0</v>
      </c>
      <c r="BK66" s="29">
        <f t="shared" si="103"/>
        <v>0</v>
      </c>
      <c r="BL66" s="3">
        <f t="shared" si="103"/>
        <v>0</v>
      </c>
      <c r="BM66" s="3">
        <f t="shared" si="103"/>
        <v>0</v>
      </c>
      <c r="BN66" s="3">
        <f t="shared" si="103"/>
        <v>0</v>
      </c>
      <c r="BO66" s="3">
        <f t="shared" si="103"/>
        <v>0</v>
      </c>
      <c r="BP66" s="29">
        <f t="shared" si="103"/>
        <v>0</v>
      </c>
      <c r="BQ66" s="3">
        <f t="shared" si="103"/>
        <v>0</v>
      </c>
    </row>
    <row r="67" spans="53:69" x14ac:dyDescent="0.3">
      <c r="BA67" s="23" t="s">
        <v>674</v>
      </c>
      <c r="BB67">
        <f t="shared" ref="BB67:BQ67" si="104">MATCH(BB66,BB$40:BB$64,0)</f>
        <v>14</v>
      </c>
      <c r="BC67">
        <f t="shared" si="104"/>
        <v>15</v>
      </c>
      <c r="BD67">
        <f t="shared" si="104"/>
        <v>10</v>
      </c>
      <c r="BE67">
        <f t="shared" si="104"/>
        <v>24</v>
      </c>
      <c r="BF67" s="23">
        <f t="shared" si="104"/>
        <v>1</v>
      </c>
      <c r="BG67">
        <f t="shared" si="104"/>
        <v>14</v>
      </c>
      <c r="BH67">
        <f t="shared" si="104"/>
        <v>5</v>
      </c>
      <c r="BI67" t="e">
        <f t="shared" si="104"/>
        <v>#N/A</v>
      </c>
      <c r="BJ67" t="e">
        <f t="shared" si="104"/>
        <v>#N/A</v>
      </c>
      <c r="BK67" s="23" t="e">
        <f t="shared" si="104"/>
        <v>#N/A</v>
      </c>
      <c r="BL67" t="e">
        <f t="shared" si="104"/>
        <v>#N/A</v>
      </c>
      <c r="BM67" t="e">
        <f t="shared" si="104"/>
        <v>#N/A</v>
      </c>
      <c r="BN67" t="e">
        <f t="shared" si="104"/>
        <v>#N/A</v>
      </c>
      <c r="BO67" t="e">
        <f t="shared" si="104"/>
        <v>#N/A</v>
      </c>
      <c r="BP67" s="23" t="e">
        <f t="shared" si="104"/>
        <v>#N/A</v>
      </c>
      <c r="BQ67" t="e">
        <f t="shared" si="104"/>
        <v>#N/A</v>
      </c>
    </row>
    <row r="68" spans="53:69" x14ac:dyDescent="0.3">
      <c r="BA68" s="23" t="s">
        <v>675</v>
      </c>
      <c r="BB68" s="2">
        <f t="shared" ref="BB68:BQ68" si="105">VLOOKUP(BB67,$BA$7:$BQ$31,BB6+1)</f>
        <v>1.0720738119885183</v>
      </c>
      <c r="BC68" s="2">
        <f t="shared" si="105"/>
        <v>1.0199578330004546</v>
      </c>
      <c r="BD68" s="2">
        <f t="shared" si="105"/>
        <v>1.0242918752603836</v>
      </c>
      <c r="BE68" s="2">
        <f t="shared" si="105"/>
        <v>1.0182440803003641</v>
      </c>
      <c r="BF68" s="20">
        <f t="shared" si="105"/>
        <v>0.99943031326231635</v>
      </c>
      <c r="BG68" s="2">
        <f t="shared" si="105"/>
        <v>1.0833371997658616</v>
      </c>
      <c r="BH68" s="2">
        <f t="shared" si="105"/>
        <v>1.0833510197913643</v>
      </c>
      <c r="BI68" s="2" t="e">
        <f t="shared" si="105"/>
        <v>#N/A</v>
      </c>
      <c r="BJ68" s="2" t="e">
        <f t="shared" si="105"/>
        <v>#N/A</v>
      </c>
      <c r="BK68" s="20" t="e">
        <f t="shared" si="105"/>
        <v>#N/A</v>
      </c>
      <c r="BL68" s="2" t="e">
        <f t="shared" si="105"/>
        <v>#N/A</v>
      </c>
      <c r="BM68" s="2" t="e">
        <f t="shared" si="105"/>
        <v>#N/A</v>
      </c>
      <c r="BN68" s="2" t="e">
        <f t="shared" si="105"/>
        <v>#N/A</v>
      </c>
      <c r="BO68" s="2" t="e">
        <f t="shared" si="105"/>
        <v>#N/A</v>
      </c>
      <c r="BP68" s="20" t="e">
        <f t="shared" si="105"/>
        <v>#N/A</v>
      </c>
      <c r="BQ68" s="2" t="e">
        <f t="shared" si="105"/>
        <v>#N/A</v>
      </c>
    </row>
  </sheetData>
  <sortState xmlns:xlrd2="http://schemas.microsoft.com/office/spreadsheetml/2017/richdata2" ref="K37:K61">
    <sortCondition ref="K37:K61"/>
  </sortState>
  <conditionalFormatting sqref="CC7:CC31">
    <cfRule type="top10" dxfId="6" priority="1" percent="1" bottom="1" rank="10"/>
    <cfRule type="top10" dxfId="5" priority="2" percent="1" rank="10"/>
    <cfRule type="top10" dxfId="4" priority="3" percent="1" rank="10"/>
    <cfRule type="top10" dxfId="3" priority="4" percent="1" bottom="1" rank="10"/>
    <cfRule type="top10" dxfId="2" priority="5" percent="1" rank="10"/>
  </conditionalFormatting>
  <dataValidations count="3">
    <dataValidation type="list" showInputMessage="1" showErrorMessage="1" sqref="G7:G31" xr:uid="{B1CBFA3D-BFF6-42EB-9ADC-6EFF83C618EA}">
      <formula1>$DP$7:$DP$11</formula1>
    </dataValidation>
    <dataValidation type="list" showInputMessage="1" showErrorMessage="1" sqref="I7:I31" xr:uid="{570CA320-FBD7-4668-9E65-5281B39A973D}">
      <formula1>$C$3:$C$4</formula1>
    </dataValidation>
    <dataValidation type="list" showInputMessage="1" showErrorMessage="1" sqref="H7:H31" xr:uid="{CDC3DCB4-9A39-4E2B-B761-10A35BBAA9FB}">
      <formula1>$DJ$7:$DJ$17</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6BAD1-3B79-46FE-A582-7CBB32C4B0CC}">
  <dimension ref="A1:R106"/>
  <sheetViews>
    <sheetView topLeftCell="M21" workbookViewId="0">
      <selection activeCell="AI50" sqref="AI50"/>
    </sheetView>
  </sheetViews>
  <sheetFormatPr defaultRowHeight="14.4" x14ac:dyDescent="0.3"/>
  <cols>
    <col min="2" max="2" width="10.5546875" bestFit="1" customWidth="1"/>
  </cols>
  <sheetData>
    <row r="1" spans="1:18" x14ac:dyDescent="0.3">
      <c r="A1" s="18" t="s">
        <v>970</v>
      </c>
    </row>
    <row r="2" spans="1:18" x14ac:dyDescent="0.3">
      <c r="A2" s="220" t="s">
        <v>841</v>
      </c>
      <c r="B2" s="219" t="s">
        <v>669</v>
      </c>
      <c r="C2" t="s">
        <v>968</v>
      </c>
    </row>
    <row r="3" spans="1:18" x14ac:dyDescent="0.3">
      <c r="A3" s="221" t="s">
        <v>966</v>
      </c>
      <c r="B3" s="223">
        <f>PlantData!S4</f>
        <v>41.449578002982236</v>
      </c>
      <c r="C3" t="s">
        <v>969</v>
      </c>
    </row>
    <row r="4" spans="1:18" x14ac:dyDescent="0.3">
      <c r="A4" s="222" t="s">
        <v>967</v>
      </c>
      <c r="B4" s="224">
        <f>Newer25!S4</f>
        <v>37.515461700560003</v>
      </c>
      <c r="I4" s="7" t="s">
        <v>978</v>
      </c>
      <c r="J4" s="128">
        <f>MIN(J$7:J$106)</f>
        <v>30.490623999999997</v>
      </c>
      <c r="K4" s="7" t="s">
        <v>976</v>
      </c>
      <c r="L4" s="47">
        <f>MEDIAN(L7:L106)</f>
        <v>0.86694532997956797</v>
      </c>
      <c r="M4" s="7" t="s">
        <v>976</v>
      </c>
      <c r="N4" s="47">
        <f>MEDIAN(N7:N106)</f>
        <v>0.87758749585857598</v>
      </c>
      <c r="P4" s="3"/>
    </row>
    <row r="5" spans="1:18" x14ac:dyDescent="0.3">
      <c r="I5" s="7" t="s">
        <v>979</v>
      </c>
      <c r="J5" s="128">
        <f>MAX(J$7:J$106)</f>
        <v>54.992374999999996</v>
      </c>
      <c r="K5" s="227" t="s">
        <v>974</v>
      </c>
      <c r="L5" s="51" t="s">
        <v>972</v>
      </c>
      <c r="M5" s="51" t="s">
        <v>669</v>
      </c>
      <c r="N5" s="51" t="s">
        <v>971</v>
      </c>
      <c r="O5" s="28" t="s">
        <v>973</v>
      </c>
      <c r="Q5" s="28" t="s">
        <v>959</v>
      </c>
      <c r="R5" s="23"/>
    </row>
    <row r="6" spans="1:18" s="33" customFormat="1" x14ac:dyDescent="0.3">
      <c r="A6" s="33" t="str">
        <f>PlantData!A6</f>
        <v>Line#</v>
      </c>
      <c r="B6" s="33" t="str">
        <f>PlantData!B6</f>
        <v>EIA#</v>
      </c>
      <c r="C6" s="33" t="str">
        <f>PlantData!C6</f>
        <v>Name</v>
      </c>
      <c r="D6" s="33" t="str">
        <f>PlantData!G6</f>
        <v>Module type</v>
      </c>
      <c r="E6" s="33" t="str">
        <f>PlantData!I6</f>
        <v>(F)ix,(T)rkr</v>
      </c>
      <c r="F6" s="33" t="str">
        <f>PlantData!J6</f>
        <v>Slope/Tilt</v>
      </c>
      <c r="G6" s="33" t="str">
        <f>PlantData!K6</f>
        <v>State</v>
      </c>
      <c r="H6" s="33" t="str">
        <f>PlantData!L6</f>
        <v>Lat</v>
      </c>
      <c r="I6" s="33" t="str">
        <f>PlantData!M6</f>
        <v>Long</v>
      </c>
      <c r="J6" s="54" t="str">
        <f>PlantData!S6</f>
        <v>Estim. Tmod</v>
      </c>
      <c r="K6" s="138" t="str">
        <f>PlantData!AZ6</f>
        <v>PR</v>
      </c>
      <c r="L6" s="138" t="s">
        <v>965</v>
      </c>
      <c r="M6" s="138" t="s">
        <v>975</v>
      </c>
      <c r="N6" s="138" t="s">
        <v>188</v>
      </c>
      <c r="O6" s="222" t="str">
        <f>K6</f>
        <v>PR</v>
      </c>
      <c r="P6" s="54" t="str">
        <f>J6</f>
        <v>Estim. Tmod</v>
      </c>
      <c r="Q6" s="222" t="str">
        <f>K6</f>
        <v>PR</v>
      </c>
      <c r="R6" s="226" t="str">
        <f>P6</f>
        <v>Estim. Tmod</v>
      </c>
    </row>
    <row r="7" spans="1:18" x14ac:dyDescent="0.3">
      <c r="A7">
        <f>PlantData!A7</f>
        <v>1</v>
      </c>
      <c r="B7">
        <f>PlantData!B7</f>
        <v>141</v>
      </c>
      <c r="C7" t="str">
        <f>PlantData!C7</f>
        <v>Agua Fria PV-3</v>
      </c>
      <c r="D7" t="str">
        <f>PlantData!G7</f>
        <v>c-Si</v>
      </c>
      <c r="E7" t="str">
        <f>PlantData!I7</f>
        <v>Tracker</v>
      </c>
      <c r="F7">
        <f>PlantData!J7</f>
        <v>0</v>
      </c>
      <c r="G7" t="str">
        <f>PlantData!K7</f>
        <v>AZ</v>
      </c>
      <c r="H7" s="2">
        <f>PlantData!L7</f>
        <v>33.556699999999999</v>
      </c>
      <c r="I7" s="2">
        <f>PlantData!M7</f>
        <v>-112.21534</v>
      </c>
      <c r="J7" s="3">
        <f>PlantData!S7</f>
        <v>54.682000000000002</v>
      </c>
      <c r="K7" s="1">
        <f>PlantData!AZ7</f>
        <v>0.28783061184089043</v>
      </c>
      <c r="L7" s="2">
        <f>PlantData!CB7</f>
        <v>0.4223254391495242</v>
      </c>
      <c r="M7" s="1">
        <f>PlantData!CH7</f>
        <v>0.94707031201192893</v>
      </c>
      <c r="N7" s="2">
        <f>L7*M7</f>
        <v>0.39997188542591477</v>
      </c>
      <c r="O7" s="225"/>
      <c r="P7" s="3"/>
      <c r="Q7" s="225">
        <f>IF($E7="Tracker",$K7,"")</f>
        <v>0.28783061184089043</v>
      </c>
      <c r="R7" s="29">
        <f>IF($E7="Tracker",$J7,"")</f>
        <v>54.682000000000002</v>
      </c>
    </row>
    <row r="8" spans="1:18" x14ac:dyDescent="0.3">
      <c r="A8">
        <f>PlantData!A8</f>
        <v>2</v>
      </c>
      <c r="B8">
        <f>PlantData!B8</f>
        <v>56568</v>
      </c>
      <c r="C8" t="str">
        <f>PlantData!C8</f>
        <v>Nellis Sunpower</v>
      </c>
      <c r="D8" t="str">
        <f>PlantData!G8</f>
        <v>Si_IBC</v>
      </c>
      <c r="E8" t="str">
        <f>PlantData!I8</f>
        <v>Tracker</v>
      </c>
      <c r="F8">
        <f>PlantData!J8</f>
        <v>20</v>
      </c>
      <c r="G8" t="str">
        <f>PlantData!K8</f>
        <v>NV</v>
      </c>
      <c r="H8" s="2">
        <f>PlantData!L8</f>
        <v>36.26</v>
      </c>
      <c r="I8" s="2">
        <f>PlantData!M8</f>
        <v>-115.05</v>
      </c>
      <c r="J8" s="3">
        <f>PlantData!S8</f>
        <v>53.1695102112676</v>
      </c>
      <c r="K8" s="1">
        <f>PlantData!AZ8</f>
        <v>0.61133723477531254</v>
      </c>
      <c r="L8" s="2">
        <f>PlantData!CB8</f>
        <v>0.8883293062644867</v>
      </c>
      <c r="M8" s="1">
        <f>PlantData!CH8</f>
        <v>0.95312027116685849</v>
      </c>
      <c r="N8" s="2">
        <f>L8</f>
        <v>0.8883293062644867</v>
      </c>
      <c r="O8" s="225"/>
      <c r="P8" s="3"/>
      <c r="Q8" s="225">
        <f t="shared" ref="Q8:Q71" si="0">IF($E8="Tracker",$K8,"")</f>
        <v>0.61133723477531254</v>
      </c>
      <c r="R8" s="29">
        <f t="shared" ref="R8:R71" si="1">IF($E8="Tracker",$J8,"")</f>
        <v>53.1695102112676</v>
      </c>
    </row>
    <row r="9" spans="1:18" x14ac:dyDescent="0.3">
      <c r="A9">
        <f>PlantData!A9</f>
        <v>3</v>
      </c>
      <c r="B9">
        <f>PlantData!B9</f>
        <v>56481</v>
      </c>
      <c r="C9" t="str">
        <f>PlantData!C9</f>
        <v>SunE Alamosa1</v>
      </c>
      <c r="D9" t="str">
        <f>PlantData!G9</f>
        <v>c-Si</v>
      </c>
      <c r="E9" t="str">
        <f>PlantData!I9</f>
        <v>Tracker</v>
      </c>
      <c r="F9">
        <f>PlantData!J9</f>
        <v>0</v>
      </c>
      <c r="G9" t="str">
        <f>PlantData!K9</f>
        <v>CO</v>
      </c>
      <c r="H9" s="2">
        <f>PlantData!L9</f>
        <v>37.690300000000001</v>
      </c>
      <c r="I9" s="2">
        <f>PlantData!M9</f>
        <v>-105.8805</v>
      </c>
      <c r="J9" s="3">
        <f>PlantData!S9</f>
        <v>36.71661358695652</v>
      </c>
      <c r="K9" s="1">
        <f>PlantData!AZ9</f>
        <v>0.57797579724949855</v>
      </c>
      <c r="L9" s="2">
        <f>PlantData!CB9</f>
        <v>0.77666786901755636</v>
      </c>
      <c r="M9" s="1">
        <f>PlantData!CH9</f>
        <v>1.0189318576641029</v>
      </c>
      <c r="N9" s="2">
        <f t="shared" ref="N9:N71" si="2">L9*M9</f>
        <v>0.79137163456607884</v>
      </c>
      <c r="O9" s="225"/>
      <c r="P9" s="3"/>
      <c r="Q9" s="225">
        <f t="shared" si="0"/>
        <v>0.57797579724949855</v>
      </c>
      <c r="R9" s="29">
        <f t="shared" si="1"/>
        <v>36.71661358695652</v>
      </c>
    </row>
    <row r="10" spans="1:18" x14ac:dyDescent="0.3">
      <c r="A10">
        <f>PlantData!A10</f>
        <v>4</v>
      </c>
      <c r="B10">
        <f>PlantData!B10</f>
        <v>56900</v>
      </c>
      <c r="C10" t="str">
        <f>PlantData!C10</f>
        <v>Atlantic Cty ConvCtr</v>
      </c>
      <c r="D10" t="str">
        <f>PlantData!G10</f>
        <v>c-Si</v>
      </c>
      <c r="E10" t="str">
        <f>PlantData!I10</f>
        <v>Fixed</v>
      </c>
      <c r="F10">
        <f>PlantData!J10</f>
        <v>10</v>
      </c>
      <c r="G10" t="str">
        <f>PlantData!K10</f>
        <v>NJ</v>
      </c>
      <c r="H10" s="2">
        <f>PlantData!L10</f>
        <v>39.36</v>
      </c>
      <c r="I10" s="2">
        <f>PlantData!M10</f>
        <v>-74.44</v>
      </c>
      <c r="J10" s="3">
        <f>PlantData!S10</f>
        <v>34.822499999999998</v>
      </c>
      <c r="K10" s="1">
        <f>PlantData!AZ10</f>
        <v>0.77657001947269855</v>
      </c>
      <c r="L10" s="2">
        <f>PlantData!CB10</f>
        <v>0.98161033978231671</v>
      </c>
      <c r="M10" s="1">
        <f>PlantData!CH10</f>
        <v>1.0265083120119289</v>
      </c>
      <c r="N10" s="2">
        <f t="shared" si="2"/>
        <v>1.007631172943402</v>
      </c>
      <c r="O10" s="225">
        <f t="shared" ref="O10:O69" si="3">IF($E10="Fixed",$K10,"")</f>
        <v>0.77657001947269855</v>
      </c>
      <c r="P10" s="3">
        <f t="shared" ref="P10:P69" si="4">IF($E10="Fixed",$J10,"")</f>
        <v>34.822499999999998</v>
      </c>
      <c r="Q10" s="225"/>
      <c r="R10" s="29"/>
    </row>
    <row r="11" spans="1:18" x14ac:dyDescent="0.3">
      <c r="A11">
        <f>PlantData!A11</f>
        <v>5</v>
      </c>
      <c r="B11">
        <f>PlantData!B11</f>
        <v>56862</v>
      </c>
      <c r="C11" t="str">
        <f>PlantData!C11</f>
        <v>MMA Bolthouse</v>
      </c>
      <c r="D11" t="str">
        <f>PlantData!G11</f>
        <v>c-Si</v>
      </c>
      <c r="E11" t="str">
        <f>PlantData!I11</f>
        <v>Tracker</v>
      </c>
      <c r="F11">
        <f>PlantData!J11</f>
        <v>15</v>
      </c>
      <c r="G11" t="str">
        <f>PlantData!K11</f>
        <v>CA</v>
      </c>
      <c r="H11" s="2">
        <f>PlantData!L11</f>
        <v>34.56</v>
      </c>
      <c r="I11" s="2">
        <f>PlantData!M11</f>
        <v>-117.69</v>
      </c>
      <c r="J11" s="3">
        <f>PlantData!S11</f>
        <v>53.300587500000006</v>
      </c>
      <c r="K11" s="1">
        <f>PlantData!AZ11</f>
        <v>0.43741403352927921</v>
      </c>
      <c r="L11" s="2">
        <f>PlantData!CB11</f>
        <v>0.62716432381056253</v>
      </c>
      <c r="M11" s="1">
        <f>PlantData!CH11</f>
        <v>0.95259596201192887</v>
      </c>
      <c r="N11" s="2">
        <f t="shared" si="2"/>
        <v>0.59743420237988365</v>
      </c>
      <c r="O11" s="225"/>
      <c r="P11" s="3"/>
      <c r="Q11" s="225">
        <f t="shared" si="0"/>
        <v>0.43741403352927921</v>
      </c>
      <c r="R11" s="29">
        <f t="shared" si="1"/>
        <v>53.300587500000006</v>
      </c>
    </row>
    <row r="12" spans="1:18" x14ac:dyDescent="0.3">
      <c r="A12">
        <f>PlantData!A12</f>
        <v>6</v>
      </c>
      <c r="B12">
        <f>PlantData!B12</f>
        <v>56944</v>
      </c>
      <c r="C12" t="str">
        <f>PlantData!C12</f>
        <v>Copper Mtn10 (FS)</v>
      </c>
      <c r="D12" t="str">
        <f>PlantData!G12</f>
        <v>CdSCdTe</v>
      </c>
      <c r="E12" t="str">
        <f>PlantData!I12</f>
        <v>Fixed</v>
      </c>
      <c r="F12">
        <f>PlantData!J12</f>
        <v>25</v>
      </c>
      <c r="G12" t="str">
        <f>PlantData!K12</f>
        <v>NV</v>
      </c>
      <c r="H12" s="2">
        <f>PlantData!L12</f>
        <v>35.79</v>
      </c>
      <c r="I12" s="2">
        <f>PlantData!M12</f>
        <v>-114.99</v>
      </c>
      <c r="J12" s="3">
        <f>PlantData!S12</f>
        <v>48.323999999999998</v>
      </c>
      <c r="K12" s="1">
        <f>PlantData!AZ12</f>
        <v>0.69654170392572479</v>
      </c>
      <c r="L12" s="2">
        <f>PlantData!CB12</f>
        <v>0.91959539690607461</v>
      </c>
      <c r="M12" s="1">
        <f>PlantData!CH12</f>
        <v>0.98281394500745556</v>
      </c>
      <c r="N12" s="2">
        <f t="shared" si="2"/>
        <v>0.90379117984395607</v>
      </c>
      <c r="O12" s="225">
        <f t="shared" si="3"/>
        <v>0.69654170392572479</v>
      </c>
      <c r="P12" s="3">
        <f t="shared" si="4"/>
        <v>48.323999999999998</v>
      </c>
      <c r="Q12" s="225"/>
      <c r="R12" s="29"/>
    </row>
    <row r="13" spans="1:18" x14ac:dyDescent="0.3">
      <c r="A13">
        <f>PlantData!A13</f>
        <v>7</v>
      </c>
      <c r="B13">
        <f>PlantData!B13</f>
        <v>56813</v>
      </c>
      <c r="C13" t="str">
        <f>PlantData!C13</f>
        <v>CSU Fresno MMA</v>
      </c>
      <c r="D13" t="str">
        <f>PlantData!G13</f>
        <v>c-Si</v>
      </c>
      <c r="E13" t="str">
        <f>PlantData!I13</f>
        <v>Fixed</v>
      </c>
      <c r="F13">
        <f>PlantData!J13</f>
        <v>2</v>
      </c>
      <c r="G13" t="str">
        <f>PlantData!K13</f>
        <v>CA</v>
      </c>
      <c r="H13" s="2">
        <f>PlantData!L13</f>
        <v>36.809840000000001</v>
      </c>
      <c r="I13" s="2">
        <f>PlantData!M13</f>
        <v>-119.74167</v>
      </c>
      <c r="J13" s="3">
        <f>PlantData!S13</f>
        <v>43.248359999999998</v>
      </c>
      <c r="K13" s="1">
        <f>PlantData!AZ13</f>
        <v>0.57590427500299135</v>
      </c>
      <c r="L13" s="2">
        <f>PlantData!CB13</f>
        <v>0.88031106349258481</v>
      </c>
      <c r="M13" s="1">
        <f>PlantData!CH13</f>
        <v>0.99280487201192891</v>
      </c>
      <c r="N13" s="2">
        <f>L13</f>
        <v>0.88031106349258481</v>
      </c>
      <c r="O13" s="225">
        <f t="shared" si="3"/>
        <v>0.57590427500299135</v>
      </c>
      <c r="P13" s="3">
        <f t="shared" si="4"/>
        <v>43.248359999999998</v>
      </c>
      <c r="Q13" s="225"/>
      <c r="R13" s="29"/>
    </row>
    <row r="14" spans="1:18" x14ac:dyDescent="0.3">
      <c r="A14">
        <f>PlantData!A14</f>
        <v>8</v>
      </c>
      <c r="B14">
        <f>PlantData!B14</f>
        <v>10823</v>
      </c>
      <c r="C14" t="str">
        <f>PlantData!C14</f>
        <v>Deer Island</v>
      </c>
      <c r="D14" t="str">
        <f>PlantData!G14</f>
        <v>c-Si</v>
      </c>
      <c r="E14" t="str">
        <f>PlantData!I14</f>
        <v>Fixed</v>
      </c>
      <c r="F14">
        <f>PlantData!J14</f>
        <v>15</v>
      </c>
      <c r="G14" t="str">
        <f>PlantData!K14</f>
        <v>MA</v>
      </c>
      <c r="H14" s="2">
        <f>PlantData!L14</f>
        <v>42.353000000000002</v>
      </c>
      <c r="I14" s="2">
        <f>PlantData!M14</f>
        <v>-70.962999999999994</v>
      </c>
      <c r="J14" s="3">
        <f>PlantData!S14</f>
        <v>33.551000000000002</v>
      </c>
      <c r="K14" s="1">
        <f>PlantData!AZ14</f>
        <v>0.65523486423406074</v>
      </c>
      <c r="L14" s="2">
        <f>PlantData!CB14</f>
        <v>0.82211896532774376</v>
      </c>
      <c r="M14" s="1">
        <f>PlantData!CH14</f>
        <v>1.0315943120119289</v>
      </c>
      <c r="N14" s="2">
        <f t="shared" si="2"/>
        <v>0.84809324842923262</v>
      </c>
      <c r="O14" s="225">
        <f t="shared" si="3"/>
        <v>0.65523486423406074</v>
      </c>
      <c r="P14" s="3">
        <f t="shared" si="4"/>
        <v>33.551000000000002</v>
      </c>
      <c r="Q14" s="225"/>
      <c r="R14" s="29"/>
    </row>
    <row r="15" spans="1:18" x14ac:dyDescent="0.3">
      <c r="A15">
        <f>PlantData!A15</f>
        <v>9</v>
      </c>
      <c r="B15">
        <f>PlantData!B15</f>
        <v>56815</v>
      </c>
      <c r="C15" t="str">
        <f>PlantData!C15</f>
        <v>Denver airport MMA</v>
      </c>
      <c r="D15" t="str">
        <f>PlantData!G15</f>
        <v>c-Si</v>
      </c>
      <c r="E15" t="str">
        <f>PlantData!I15</f>
        <v>Tracker</v>
      </c>
      <c r="F15">
        <f>PlantData!J15</f>
        <v>0</v>
      </c>
      <c r="G15" t="str">
        <f>PlantData!K15</f>
        <v>CO</v>
      </c>
      <c r="H15" s="2">
        <f>PlantData!L15</f>
        <v>39.902979999999999</v>
      </c>
      <c r="I15" s="2">
        <f>PlantData!M15</f>
        <v>-104.65925</v>
      </c>
      <c r="J15" s="3">
        <f>PlantData!S15</f>
        <v>38.155199999999994</v>
      </c>
      <c r="K15" s="1">
        <f>PlantData!AZ15</f>
        <v>0.51398870636550309</v>
      </c>
      <c r="L15" s="2">
        <f>PlantData!CB15</f>
        <v>0.69289177196237006</v>
      </c>
      <c r="M15" s="1">
        <f>PlantData!CH15</f>
        <v>1.0131775120119291</v>
      </c>
      <c r="N15" s="2">
        <f t="shared" si="2"/>
        <v>0.70202236161037102</v>
      </c>
      <c r="O15" s="225"/>
      <c r="P15" s="3"/>
      <c r="Q15" s="225">
        <f t="shared" si="0"/>
        <v>0.51398870636550309</v>
      </c>
      <c r="R15" s="29">
        <f t="shared" si="1"/>
        <v>38.155199999999994</v>
      </c>
    </row>
    <row r="16" spans="1:18" x14ac:dyDescent="0.3">
      <c r="A16">
        <f>PlantData!A16</f>
        <v>10</v>
      </c>
      <c r="B16">
        <f>PlantData!B16</f>
        <v>56667</v>
      </c>
      <c r="C16" t="str">
        <f>PlantData!C16</f>
        <v>Lanai Sunpower</v>
      </c>
      <c r="D16" t="str">
        <f>PlantData!G16</f>
        <v>Si_IBC</v>
      </c>
      <c r="E16" t="str">
        <f>PlantData!I16</f>
        <v>Tracker</v>
      </c>
      <c r="F16">
        <f>PlantData!J16</f>
        <v>0</v>
      </c>
      <c r="G16" t="str">
        <f>PlantData!K16</f>
        <v>HI</v>
      </c>
      <c r="H16" s="2">
        <f>PlantData!L16</f>
        <v>20.765999999999998</v>
      </c>
      <c r="I16" s="2">
        <f>PlantData!M16</f>
        <v>-156.9</v>
      </c>
      <c r="J16" s="3">
        <f>PlantData!S16</f>
        <v>54.992374999999996</v>
      </c>
      <c r="K16" s="1">
        <f>PlantData!AZ16</f>
        <v>0.32547164220675512</v>
      </c>
      <c r="L16" s="2">
        <f>PlantData!CB16</f>
        <v>0.47000013773752236</v>
      </c>
      <c r="M16" s="1">
        <f>PlantData!CH16</f>
        <v>0.94582881201192892</v>
      </c>
      <c r="N16" s="2">
        <f t="shared" si="2"/>
        <v>0.44453967192172372</v>
      </c>
      <c r="O16" s="225"/>
      <c r="P16" s="3"/>
      <c r="Q16" s="225">
        <f t="shared" si="0"/>
        <v>0.32547164220675512</v>
      </c>
      <c r="R16" s="29">
        <f t="shared" si="1"/>
        <v>54.992374999999996</v>
      </c>
    </row>
    <row r="17" spans="1:18" x14ac:dyDescent="0.3">
      <c r="A17">
        <f>PlantData!A17</f>
        <v>11</v>
      </c>
      <c r="B17">
        <f>PlantData!B17</f>
        <v>56993</v>
      </c>
      <c r="C17" t="str">
        <f>PlantData!C17</f>
        <v>MF Mesa Ln</v>
      </c>
      <c r="D17" t="str">
        <f>PlantData!G17</f>
        <v>c-Si</v>
      </c>
      <c r="E17" t="str">
        <f>PlantData!I17</f>
        <v>Fixed</v>
      </c>
      <c r="F17">
        <f>PlantData!J17</f>
        <v>30</v>
      </c>
      <c r="G17" t="str">
        <f>PlantData!K17</f>
        <v>PA</v>
      </c>
      <c r="H17" s="2">
        <f>PlantData!L17</f>
        <v>40.15</v>
      </c>
      <c r="I17" s="2">
        <f>PlantData!M17</f>
        <v>-74.78</v>
      </c>
      <c r="J17" s="3">
        <f>PlantData!S17</f>
        <v>36.0655</v>
      </c>
      <c r="K17" s="1">
        <f>PlantData!AZ17</f>
        <v>0.71825650914211558</v>
      </c>
      <c r="L17" s="2">
        <f>PlantData!CB17</f>
        <v>0.91231903506818879</v>
      </c>
      <c r="M17" s="1">
        <f>PlantData!CH17</f>
        <v>1.021536312011929</v>
      </c>
      <c r="N17" s="2">
        <f t="shared" si="2"/>
        <v>0.93196702246183927</v>
      </c>
      <c r="O17" s="225">
        <f t="shared" si="3"/>
        <v>0.71825650914211558</v>
      </c>
      <c r="P17" s="3">
        <f t="shared" si="4"/>
        <v>36.0655</v>
      </c>
      <c r="Q17" s="225"/>
      <c r="R17" s="29"/>
    </row>
    <row r="18" spans="1:18" x14ac:dyDescent="0.3">
      <c r="A18">
        <f>PlantData!A18</f>
        <v>12</v>
      </c>
      <c r="B18">
        <f>PlantData!B18</f>
        <v>56883</v>
      </c>
      <c r="C18" t="str">
        <f>PlantData!C18</f>
        <v>Pennsauken</v>
      </c>
      <c r="D18" t="str">
        <f>PlantData!G18</f>
        <v>c-Si</v>
      </c>
      <c r="E18" t="str">
        <f>PlantData!I18</f>
        <v>Fixed</v>
      </c>
      <c r="F18">
        <f>PlantData!J18</f>
        <v>25</v>
      </c>
      <c r="G18" t="str">
        <f>PlantData!K18</f>
        <v>NJ</v>
      </c>
      <c r="H18" s="2">
        <f>PlantData!L18</f>
        <v>39.989400000000003</v>
      </c>
      <c r="I18" s="2">
        <f>PlantData!M18</f>
        <v>-75.040000000000006</v>
      </c>
      <c r="J18" s="3">
        <f>PlantData!S18</f>
        <v>36.0655</v>
      </c>
      <c r="K18" s="1">
        <f>PlantData!AZ18</f>
        <v>0.59861966689482093</v>
      </c>
      <c r="L18" s="2">
        <f>PlantData!CB18</f>
        <v>0.7603580474705659</v>
      </c>
      <c r="M18" s="1">
        <f>PlantData!CH18</f>
        <v>1.021536312011929</v>
      </c>
      <c r="N18" s="2">
        <f t="shared" si="2"/>
        <v>0.77673335562167312</v>
      </c>
      <c r="O18" s="225">
        <f t="shared" si="3"/>
        <v>0.59861966689482093</v>
      </c>
      <c r="P18" s="3">
        <f t="shared" si="4"/>
        <v>36.0655</v>
      </c>
      <c r="Q18" s="225"/>
      <c r="R18" s="29"/>
    </row>
    <row r="19" spans="1:18" x14ac:dyDescent="0.3">
      <c r="A19">
        <f>PlantData!A19</f>
        <v>13</v>
      </c>
      <c r="B19">
        <f>PlantData!B19</f>
        <v>56915</v>
      </c>
      <c r="C19" t="str">
        <f>PlantData!C19</f>
        <v>SAS Solar Farm</v>
      </c>
      <c r="D19" t="str">
        <f>PlantData!G19</f>
        <v>c-Si</v>
      </c>
      <c r="E19" t="str">
        <f>PlantData!I19</f>
        <v>Tracker</v>
      </c>
      <c r="F19">
        <f>PlantData!J19</f>
        <v>0</v>
      </c>
      <c r="G19" t="str">
        <f>PlantData!K19</f>
        <v>NC</v>
      </c>
      <c r="H19" s="2">
        <f>PlantData!L19</f>
        <v>35.81</v>
      </c>
      <c r="I19" s="2">
        <f>PlantData!M19</f>
        <v>-78.75</v>
      </c>
      <c r="J19" s="3">
        <f>PlantData!S19</f>
        <v>41.349724999999999</v>
      </c>
      <c r="K19" s="1">
        <f>PlantData!AZ19</f>
        <v>0.50884397852948593</v>
      </c>
      <c r="L19" s="2">
        <f>PlantData!CB19</f>
        <v>0.69471804757805666</v>
      </c>
      <c r="M19" s="1">
        <f>PlantData!CH19</f>
        <v>1.0003994120119288</v>
      </c>
      <c r="N19" s="2">
        <f t="shared" si="2"/>
        <v>0.69499552631116313</v>
      </c>
      <c r="O19" s="225"/>
      <c r="P19" s="3"/>
      <c r="Q19" s="225">
        <f t="shared" si="0"/>
        <v>0.50884397852948593</v>
      </c>
      <c r="R19" s="29">
        <f t="shared" si="1"/>
        <v>41.349724999999999</v>
      </c>
    </row>
    <row r="20" spans="1:18" x14ac:dyDescent="0.3">
      <c r="A20">
        <f>PlantData!A20</f>
        <v>14</v>
      </c>
      <c r="B20">
        <f>PlantData!B20</f>
        <v>56875</v>
      </c>
      <c r="C20" t="str">
        <f>PlantData!C20</f>
        <v>Sacramento Soleil</v>
      </c>
      <c r="D20" t="str">
        <f>PlantData!G20</f>
        <v>CdSCdTe</v>
      </c>
      <c r="E20" t="str">
        <f>PlantData!I20</f>
        <v>Fixed</v>
      </c>
      <c r="F20">
        <f>PlantData!J20</f>
        <v>45</v>
      </c>
      <c r="G20" t="str">
        <f>PlantData!K20</f>
        <v>CA</v>
      </c>
      <c r="H20" s="2">
        <f>PlantData!L20</f>
        <v>38.449800000000003</v>
      </c>
      <c r="I20" s="2">
        <f>PlantData!M20</f>
        <v>-121.1647</v>
      </c>
      <c r="J20" s="3">
        <f>PlantData!S20</f>
        <v>42.231175</v>
      </c>
      <c r="K20" s="1">
        <f>PlantData!AZ20</f>
        <v>0.67289478178385598</v>
      </c>
      <c r="L20" s="2">
        <f>PlantData!CB20</f>
        <v>0.86619296642192156</v>
      </c>
      <c r="M20" s="1">
        <f>PlantData!CH20</f>
        <v>0.99804600750745553</v>
      </c>
      <c r="N20" s="2">
        <f t="shared" si="2"/>
        <v>0.86450043186843828</v>
      </c>
      <c r="O20" s="225">
        <f t="shared" si="3"/>
        <v>0.67289478178385598</v>
      </c>
      <c r="P20" s="3">
        <f t="shared" si="4"/>
        <v>42.231175</v>
      </c>
      <c r="Q20" s="225"/>
      <c r="R20" s="29"/>
    </row>
    <row r="21" spans="1:18" x14ac:dyDescent="0.3">
      <c r="A21">
        <f>PlantData!A21</f>
        <v>15</v>
      </c>
      <c r="B21">
        <f>PlantData!B21</f>
        <v>56500</v>
      </c>
      <c r="C21" t="str">
        <f>PlantData!C21</f>
        <v>Western 102</v>
      </c>
      <c r="D21" t="str">
        <f>PlantData!G21</f>
        <v>c-Si</v>
      </c>
      <c r="E21" t="str">
        <f>PlantData!I21</f>
        <v>Fixed</v>
      </c>
      <c r="F21">
        <f>PlantData!J21</f>
        <v>21</v>
      </c>
      <c r="G21" t="str">
        <f>PlantData!K21</f>
        <v>NV</v>
      </c>
      <c r="H21" s="2">
        <f>PlantData!L21</f>
        <v>39.560299999999998</v>
      </c>
      <c r="I21" s="2">
        <f>PlantData!M21</f>
        <v>-119.5108</v>
      </c>
      <c r="J21" s="3">
        <f>PlantData!S21</f>
        <v>37.594999999999999</v>
      </c>
      <c r="K21" s="1">
        <f>PlantData!AZ21</f>
        <v>0.63004660115755495</v>
      </c>
      <c r="L21" s="2">
        <f>PlantData!CB21</f>
        <v>0.80509783098090337</v>
      </c>
      <c r="M21" s="1">
        <f>PlantData!CH21</f>
        <v>1.0154183120119289</v>
      </c>
      <c r="N21" s="2">
        <f t="shared" si="2"/>
        <v>0.81751108053909416</v>
      </c>
      <c r="O21" s="225">
        <f t="shared" si="3"/>
        <v>0.63004660115755495</v>
      </c>
      <c r="P21" s="3">
        <f t="shared" si="4"/>
        <v>37.594999999999999</v>
      </c>
      <c r="Q21" s="225"/>
      <c r="R21" s="29"/>
    </row>
    <row r="22" spans="1:18" x14ac:dyDescent="0.3">
      <c r="A22">
        <f>PlantData!A22</f>
        <v>16</v>
      </c>
      <c r="B22">
        <f>PlantData!B22</f>
        <v>56322</v>
      </c>
      <c r="C22" t="str">
        <f>PlantData!C22</f>
        <v>Wild Horse</v>
      </c>
      <c r="D22" t="str">
        <f>PlantData!G22</f>
        <v>c-Si</v>
      </c>
      <c r="E22" t="str">
        <f>PlantData!I22</f>
        <v>Fixed</v>
      </c>
      <c r="F22">
        <f>PlantData!J22</f>
        <v>37</v>
      </c>
      <c r="G22" t="str">
        <f>PlantData!K22</f>
        <v>WA</v>
      </c>
      <c r="H22" s="2">
        <f>PlantData!L22</f>
        <v>47.036000000000001</v>
      </c>
      <c r="I22" s="2">
        <f>PlantData!M22</f>
        <v>-120.206</v>
      </c>
      <c r="J22" s="3">
        <f>PlantData!S22</f>
        <v>34.379999999999995</v>
      </c>
      <c r="K22" s="1">
        <f>PlantData!AZ22</f>
        <v>0.69313255760894366</v>
      </c>
      <c r="L22" s="2">
        <f>PlantData!CB22</f>
        <v>0.87247347249856833</v>
      </c>
      <c r="M22" s="1">
        <f>PlantData!CH22</f>
        <v>1.028278312011929</v>
      </c>
      <c r="N22" s="2">
        <f t="shared" si="2"/>
        <v>0.897145549576014</v>
      </c>
      <c r="O22" s="225">
        <f t="shared" si="3"/>
        <v>0.69313255760894366</v>
      </c>
      <c r="P22" s="3">
        <f t="shared" si="4"/>
        <v>34.379999999999995</v>
      </c>
      <c r="Q22" s="225"/>
      <c r="R22" s="29"/>
    </row>
    <row r="23" spans="1:18" x14ac:dyDescent="0.3">
      <c r="A23">
        <f>PlantData!A23</f>
        <v>17</v>
      </c>
      <c r="B23">
        <f>PlantData!B23</f>
        <v>57280</v>
      </c>
      <c r="C23" t="str">
        <f>PlantData!C23</f>
        <v>Aqua Ingrams Mill</v>
      </c>
      <c r="D23" t="str">
        <f>PlantData!G23</f>
        <v>c-Si</v>
      </c>
      <c r="E23" t="str">
        <f>PlantData!I23</f>
        <v>Fixed</v>
      </c>
      <c r="F23">
        <f>PlantData!J23</f>
        <v>20</v>
      </c>
      <c r="G23" t="str">
        <f>PlantData!K23</f>
        <v>PA</v>
      </c>
      <c r="H23" s="2">
        <f>PlantData!L23</f>
        <v>39.965000000000003</v>
      </c>
      <c r="I23" s="2">
        <f>PlantData!M23</f>
        <v>-75.658000000000001</v>
      </c>
      <c r="J23" s="3">
        <f>PlantData!S23</f>
        <v>36.0655</v>
      </c>
      <c r="K23" s="1">
        <f>PlantData!AZ23</f>
        <v>0.55771034552690957</v>
      </c>
      <c r="L23" s="2">
        <f>PlantData!CB23</f>
        <v>0.70489791257871792</v>
      </c>
      <c r="M23" s="1">
        <f>PlantData!CH23</f>
        <v>1.021536312011929</v>
      </c>
      <c r="N23" s="2">
        <f t="shared" si="2"/>
        <v>0.72007881396057061</v>
      </c>
      <c r="O23" s="225">
        <f t="shared" si="3"/>
        <v>0.55771034552690957</v>
      </c>
      <c r="P23" s="3">
        <f t="shared" si="4"/>
        <v>36.0655</v>
      </c>
      <c r="Q23" s="225"/>
      <c r="R23" s="29"/>
    </row>
    <row r="24" spans="1:18" x14ac:dyDescent="0.3">
      <c r="A24">
        <f>PlantData!A24</f>
        <v>18</v>
      </c>
      <c r="B24">
        <f>PlantData!B24</f>
        <v>57081</v>
      </c>
      <c r="C24" t="str">
        <f>PlantData!C24</f>
        <v>Calpine Vineland Solar LLC</v>
      </c>
      <c r="D24" t="str">
        <f>PlantData!G24</f>
        <v>c-Si</v>
      </c>
      <c r="E24" t="str">
        <f>PlantData!I24</f>
        <v>Fixed</v>
      </c>
      <c r="F24">
        <f>PlantData!J24</f>
        <v>25</v>
      </c>
      <c r="G24" t="str">
        <f>PlantData!K24</f>
        <v>NJ</v>
      </c>
      <c r="H24" s="2">
        <f>PlantData!L24</f>
        <v>39.4636</v>
      </c>
      <c r="I24" s="2">
        <f>PlantData!M24</f>
        <v>-75.066699999999997</v>
      </c>
      <c r="J24" s="3">
        <f>PlantData!S24</f>
        <v>35.637</v>
      </c>
      <c r="K24" s="1">
        <f>PlantData!AZ24</f>
        <v>0.78043050327501673</v>
      </c>
      <c r="L24" s="2">
        <f>PlantData!CB24</f>
        <v>0.98718593254235454</v>
      </c>
      <c r="M24" s="1">
        <f>PlantData!CH24</f>
        <v>1.023250312011929</v>
      </c>
      <c r="N24" s="2">
        <f t="shared" si="2"/>
        <v>1.0101383134877513</v>
      </c>
      <c r="O24" s="225">
        <f t="shared" si="3"/>
        <v>0.78043050327501673</v>
      </c>
      <c r="P24" s="3">
        <f t="shared" si="4"/>
        <v>35.637</v>
      </c>
      <c r="Q24" s="225"/>
      <c r="R24" s="29"/>
    </row>
    <row r="25" spans="1:18" x14ac:dyDescent="0.3">
      <c r="A25">
        <f>PlantData!A25</f>
        <v>19</v>
      </c>
      <c r="B25">
        <f>PlantData!B25</f>
        <v>57011</v>
      </c>
      <c r="C25" t="str">
        <f>PlantData!C25</f>
        <v>Chuckawalla SunE</v>
      </c>
      <c r="D25" t="str">
        <f>PlantData!G25</f>
        <v>c-Si</v>
      </c>
      <c r="E25" t="str">
        <f>PlantData!I25</f>
        <v>Fixed</v>
      </c>
      <c r="F25">
        <f>PlantData!J25</f>
        <v>20</v>
      </c>
      <c r="G25" t="str">
        <f>PlantData!K25</f>
        <v>CA</v>
      </c>
      <c r="H25" s="2">
        <f>PlantData!L25</f>
        <v>33.564999999999998</v>
      </c>
      <c r="I25" s="2">
        <f>PlantData!M25</f>
        <v>-114.904</v>
      </c>
      <c r="J25" s="3">
        <f>PlantData!S25</f>
        <v>48.895499999999998</v>
      </c>
      <c r="K25" s="1">
        <f>PlantData!AZ25</f>
        <v>0.62402376314080632</v>
      </c>
      <c r="L25" s="2">
        <f>PlantData!CB25</f>
        <v>0.83455224708120468</v>
      </c>
      <c r="M25" s="1">
        <f>PlantData!CH25</f>
        <v>0.97021631201192893</v>
      </c>
      <c r="N25" s="2">
        <f t="shared" si="2"/>
        <v>0.80969620334439452</v>
      </c>
      <c r="O25" s="225">
        <f t="shared" si="3"/>
        <v>0.62402376314080632</v>
      </c>
      <c r="P25" s="3">
        <f t="shared" si="4"/>
        <v>48.895499999999998</v>
      </c>
      <c r="Q25" s="225"/>
      <c r="R25" s="29"/>
    </row>
    <row r="26" spans="1:18" x14ac:dyDescent="0.3">
      <c r="A26">
        <f>PlantData!A26</f>
        <v>20</v>
      </c>
      <c r="B26">
        <f>PlantData!B26</f>
        <v>56929</v>
      </c>
      <c r="C26" t="str">
        <f>PlantData!C26</f>
        <v>DeSoto</v>
      </c>
      <c r="D26" t="str">
        <f>PlantData!G26</f>
        <v>c-Si</v>
      </c>
      <c r="E26" t="str">
        <f>PlantData!I26</f>
        <v>Tracker</v>
      </c>
      <c r="F26">
        <f>PlantData!J26</f>
        <v>0</v>
      </c>
      <c r="G26" t="str">
        <f>PlantData!K26</f>
        <v>FL</v>
      </c>
      <c r="H26" s="2">
        <f>PlantData!L26</f>
        <v>27.32</v>
      </c>
      <c r="I26" s="2">
        <f>PlantData!M26</f>
        <v>-81.802000000000007</v>
      </c>
      <c r="J26" s="3">
        <f>PlantData!S26</f>
        <v>50.097274999999996</v>
      </c>
      <c r="K26" s="1">
        <f>PlantData!AZ26</f>
        <v>0.7110465750071342</v>
      </c>
      <c r="L26" s="2">
        <f>PlantData!CB26</f>
        <v>1.0034820611743425</v>
      </c>
      <c r="M26" s="1">
        <f>PlantData!CH26</f>
        <v>0.96540921201192897</v>
      </c>
      <c r="N26" s="2">
        <f t="shared" si="2"/>
        <v>0.96877082594642827</v>
      </c>
      <c r="O26" s="225"/>
      <c r="P26" s="3"/>
      <c r="Q26" s="225">
        <f t="shared" si="0"/>
        <v>0.7110465750071342</v>
      </c>
      <c r="R26" s="29">
        <f t="shared" si="1"/>
        <v>50.097274999999996</v>
      </c>
    </row>
    <row r="27" spans="1:18" x14ac:dyDescent="0.3">
      <c r="A27">
        <f>PlantData!A27</f>
        <v>21</v>
      </c>
      <c r="B27">
        <f>PlantData!B27</f>
        <v>57191</v>
      </c>
      <c r="C27" t="str">
        <f>PlantData!C27</f>
        <v>Exelon Chicago</v>
      </c>
      <c r="D27" t="str">
        <f>PlantData!G27</f>
        <v>Si_IBC</v>
      </c>
      <c r="E27" t="str">
        <f>PlantData!I27</f>
        <v>Tracker</v>
      </c>
      <c r="F27">
        <f>PlantData!J27</f>
        <v>0</v>
      </c>
      <c r="G27" t="str">
        <f>PlantData!K27</f>
        <v>IL</v>
      </c>
      <c r="H27" s="2">
        <f>PlantData!L27</f>
        <v>41.68</v>
      </c>
      <c r="I27" s="2">
        <f>PlantData!M27</f>
        <v>-87.65</v>
      </c>
      <c r="J27" s="3">
        <f>PlantData!S27</f>
        <v>34.002174999999994</v>
      </c>
      <c r="K27" s="1">
        <f>PlantData!AZ27</f>
        <v>0.73847821127081914</v>
      </c>
      <c r="L27" s="2">
        <f>PlantData!CB27</f>
        <v>0.97945964878553882</v>
      </c>
      <c r="M27" s="1">
        <f>PlantData!CH27</f>
        <v>1.029789612011929</v>
      </c>
      <c r="N27" s="2">
        <f t="shared" si="2"/>
        <v>1.0086373717042003</v>
      </c>
      <c r="O27" s="225"/>
      <c r="P27" s="3"/>
      <c r="Q27" s="225">
        <f t="shared" si="0"/>
        <v>0.73847821127081914</v>
      </c>
      <c r="R27" s="29">
        <f t="shared" si="1"/>
        <v>34.002174999999994</v>
      </c>
    </row>
    <row r="28" spans="1:18" x14ac:dyDescent="0.3">
      <c r="A28">
        <f>PlantData!A28</f>
        <v>22</v>
      </c>
      <c r="B28">
        <f>PlantData!B28</f>
        <v>56877</v>
      </c>
      <c r="C28" t="str">
        <f>PlantData!C28</f>
        <v>Hall's Warehouse</v>
      </c>
      <c r="D28" t="str">
        <f>PlantData!G28</f>
        <v>CdSCdTe</v>
      </c>
      <c r="E28" t="str">
        <f>PlantData!I28</f>
        <v>Fixed</v>
      </c>
      <c r="F28">
        <f>PlantData!J28</f>
        <v>5</v>
      </c>
      <c r="G28" t="str">
        <f>PlantData!K28</f>
        <v>NJ</v>
      </c>
      <c r="H28" s="2">
        <f>PlantData!L28</f>
        <v>40.573709999999998</v>
      </c>
      <c r="I28" s="2">
        <f>PlantData!M28</f>
        <v>-74.394409999999993</v>
      </c>
      <c r="J28" s="3">
        <f>PlantData!S28</f>
        <v>35.007999999999996</v>
      </c>
      <c r="K28" s="1">
        <f>PlantData!AZ28</f>
        <v>0.63082268613582781</v>
      </c>
      <c r="L28" s="2">
        <f>PlantData!CB28</f>
        <v>0.80554561998610741</v>
      </c>
      <c r="M28" s="1">
        <f>PlantData!CH28</f>
        <v>1.0161039450074556</v>
      </c>
      <c r="N28" s="2">
        <f t="shared" si="2"/>
        <v>0.81851808235136037</v>
      </c>
      <c r="O28" s="225">
        <f t="shared" si="3"/>
        <v>0.63082268613582781</v>
      </c>
      <c r="P28" s="3">
        <f t="shared" si="4"/>
        <v>35.007999999999996</v>
      </c>
      <c r="Q28" s="225"/>
      <c r="R28" s="29"/>
    </row>
    <row r="29" spans="1:18" x14ac:dyDescent="0.3">
      <c r="A29">
        <f>PlantData!A29</f>
        <v>23</v>
      </c>
      <c r="B29">
        <f>PlantData!B29</f>
        <v>57009</v>
      </c>
      <c r="C29" t="str">
        <f>PlantData!C29</f>
        <v>Kohl's San Bernardino SunE</v>
      </c>
      <c r="D29" t="str">
        <f>PlantData!G29</f>
        <v>c-Si</v>
      </c>
      <c r="E29" t="str">
        <f>PlantData!I29</f>
        <v>Fixed</v>
      </c>
      <c r="F29">
        <f>PlantData!J29</f>
        <v>10</v>
      </c>
      <c r="G29" t="str">
        <f>PlantData!K29</f>
        <v>CA</v>
      </c>
      <c r="H29" s="2">
        <f>PlantData!L29</f>
        <v>34.094700000000003</v>
      </c>
      <c r="I29" s="2">
        <f>PlantData!M29</f>
        <v>-117.26683</v>
      </c>
      <c r="J29" s="3">
        <f>PlantData!S29</f>
        <v>45.585049999999995</v>
      </c>
      <c r="K29" s="1">
        <f>PlantData!AZ29</f>
        <v>0.59671854357532061</v>
      </c>
      <c r="L29" s="2">
        <f>PlantData!CB29</f>
        <v>0.78728983102034367</v>
      </c>
      <c r="M29" s="1">
        <f>PlantData!CH29</f>
        <v>0.98345811201192901</v>
      </c>
      <c r="N29" s="2">
        <f t="shared" si="2"/>
        <v>0.77426657082145778</v>
      </c>
      <c r="O29" s="225">
        <f t="shared" si="3"/>
        <v>0.59671854357532061</v>
      </c>
      <c r="P29" s="3">
        <f t="shared" si="4"/>
        <v>45.585049999999995</v>
      </c>
      <c r="Q29" s="225"/>
      <c r="R29" s="29"/>
    </row>
    <row r="30" spans="1:18" x14ac:dyDescent="0.3">
      <c r="A30">
        <f>PlantData!A30</f>
        <v>24</v>
      </c>
      <c r="B30">
        <f>PlantData!B30</f>
        <v>57005</v>
      </c>
      <c r="C30" t="str">
        <f>PlantData!C30</f>
        <v>Mariani Packing SunE</v>
      </c>
      <c r="D30" t="str">
        <f>PlantData!G30</f>
        <v>c-Si</v>
      </c>
      <c r="E30" t="str">
        <f>PlantData!I30</f>
        <v>Tracker</v>
      </c>
      <c r="F30">
        <f>PlantData!J30</f>
        <v>0</v>
      </c>
      <c r="G30" t="str">
        <f>PlantData!K30</f>
        <v>CA</v>
      </c>
      <c r="H30" s="2">
        <f>PlantData!L30</f>
        <v>38.4</v>
      </c>
      <c r="I30" s="2">
        <f>PlantData!M30</f>
        <v>-121.964</v>
      </c>
      <c r="J30" s="3">
        <f>PlantData!S30</f>
        <v>44.986899999999999</v>
      </c>
      <c r="K30" s="1">
        <f>PlantData!AZ30</f>
        <v>0.59428382142478053</v>
      </c>
      <c r="L30" s="2">
        <f>PlantData!CB30</f>
        <v>0.82334171999690065</v>
      </c>
      <c r="M30" s="1">
        <f>PlantData!CH30</f>
        <v>0.98585071201192898</v>
      </c>
      <c r="N30" s="2">
        <f t="shared" si="2"/>
        <v>0.8116920208880708</v>
      </c>
      <c r="O30" s="225"/>
      <c r="P30" s="3"/>
      <c r="Q30" s="225">
        <f t="shared" si="0"/>
        <v>0.59428382142478053</v>
      </c>
      <c r="R30" s="29">
        <f t="shared" si="1"/>
        <v>44.986899999999999</v>
      </c>
    </row>
    <row r="31" spans="1:18" x14ac:dyDescent="0.3">
      <c r="A31">
        <f>PlantData!A31</f>
        <v>25</v>
      </c>
      <c r="B31">
        <f>PlantData!B31</f>
        <v>56889</v>
      </c>
      <c r="C31" t="str">
        <f>PlantData!C31</f>
        <v>PPL Merck</v>
      </c>
      <c r="D31" t="str">
        <f>PlantData!G31</f>
        <v>c-Si</v>
      </c>
      <c r="E31" t="str">
        <f>PlantData!I31</f>
        <v>Fixed</v>
      </c>
      <c r="F31">
        <f>PlantData!J31</f>
        <v>2</v>
      </c>
      <c r="G31" t="str">
        <f>PlantData!K31</f>
        <v>NJ</v>
      </c>
      <c r="H31" s="2">
        <f>PlantData!L31</f>
        <v>40.726999999999997</v>
      </c>
      <c r="I31" s="2">
        <f>PlantData!M31</f>
        <v>-74.378</v>
      </c>
      <c r="J31" s="3">
        <f>PlantData!S31</f>
        <v>34.736499999999999</v>
      </c>
      <c r="K31" s="1">
        <f>PlantData!AZ31</f>
        <v>0.4961412034193235</v>
      </c>
      <c r="L31" s="2">
        <f>PlantData!CB31</f>
        <v>0.62537989993170884</v>
      </c>
      <c r="M31" s="1">
        <f>PlantData!CH31</f>
        <v>1.0268523120119288</v>
      </c>
      <c r="N31" s="2">
        <f t="shared" si="2"/>
        <v>0.64217279613066391</v>
      </c>
      <c r="O31" s="225">
        <f t="shared" si="3"/>
        <v>0.4961412034193235</v>
      </c>
      <c r="P31" s="3">
        <f t="shared" si="4"/>
        <v>34.736499999999999</v>
      </c>
      <c r="Q31" s="225"/>
      <c r="R31" s="29"/>
    </row>
    <row r="32" spans="1:18" x14ac:dyDescent="0.3">
      <c r="A32">
        <f>PlantData!A32</f>
        <v>26</v>
      </c>
      <c r="B32">
        <f>PlantData!B32</f>
        <v>57204</v>
      </c>
      <c r="C32" t="str">
        <f>PlantData!C32</f>
        <v>PSEG Hackettstown</v>
      </c>
      <c r="D32" t="str">
        <f>PlantData!G32</f>
        <v>c-Si</v>
      </c>
      <c r="E32" t="str">
        <f>PlantData!I32</f>
        <v>Fixed</v>
      </c>
      <c r="F32">
        <f>PlantData!J32</f>
        <v>20</v>
      </c>
      <c r="G32" t="str">
        <f>PlantData!K32</f>
        <v>NJ</v>
      </c>
      <c r="H32" s="2">
        <f>PlantData!L32</f>
        <v>40.86063</v>
      </c>
      <c r="I32" s="2">
        <f>PlantData!M32</f>
        <v>-74.822940000000003</v>
      </c>
      <c r="J32" s="3">
        <f>PlantData!S32</f>
        <v>34.094000000000001</v>
      </c>
      <c r="K32" s="1">
        <f>PlantData!AZ32</f>
        <v>0.68240742312050862</v>
      </c>
      <c r="L32" s="2">
        <f>PlantData!CB32</f>
        <v>0.85801874031390035</v>
      </c>
      <c r="M32" s="1">
        <f>PlantData!CH32</f>
        <v>1.029422312011929</v>
      </c>
      <c r="N32" s="2">
        <f t="shared" si="2"/>
        <v>0.88326363540349828</v>
      </c>
      <c r="O32" s="225">
        <f t="shared" si="3"/>
        <v>0.68240742312050862</v>
      </c>
      <c r="P32" s="3">
        <f t="shared" si="4"/>
        <v>34.094000000000001</v>
      </c>
      <c r="Q32" s="225"/>
      <c r="R32" s="29"/>
    </row>
    <row r="33" spans="1:18" x14ac:dyDescent="0.3">
      <c r="A33">
        <f>PlantData!A33</f>
        <v>27</v>
      </c>
      <c r="B33">
        <f>PlantData!B33</f>
        <v>57141</v>
      </c>
      <c r="C33" t="str">
        <f>PlantData!C33</f>
        <v>RV CSU</v>
      </c>
      <c r="D33" t="str">
        <f>PlantData!G33</f>
        <v>c-Si</v>
      </c>
      <c r="E33" t="str">
        <f>PlantData!I33</f>
        <v>Tracker</v>
      </c>
      <c r="F33">
        <f>PlantData!J33</f>
        <v>0</v>
      </c>
      <c r="G33" t="str">
        <f>PlantData!K33</f>
        <v>CO</v>
      </c>
      <c r="H33" s="2">
        <f>PlantData!L33</f>
        <v>40.591000000000001</v>
      </c>
      <c r="I33" s="2">
        <f>PlantData!M33</f>
        <v>-105.146</v>
      </c>
      <c r="J33" s="3">
        <f>PlantData!S33</f>
        <v>38.155199999999994</v>
      </c>
      <c r="K33" s="1">
        <f>PlantData!AZ33</f>
        <v>0.66509810631987232</v>
      </c>
      <c r="L33" s="2">
        <f>PlantData!CB33</f>
        <v>0.89438225168448626</v>
      </c>
      <c r="M33" s="1">
        <f>PlantData!CH33</f>
        <v>1.0131775120119291</v>
      </c>
      <c r="N33" s="2">
        <f t="shared" si="2"/>
        <v>0.9061679845493148</v>
      </c>
      <c r="O33" s="225"/>
      <c r="P33" s="3"/>
      <c r="Q33" s="225">
        <f t="shared" si="0"/>
        <v>0.66509810631987232</v>
      </c>
      <c r="R33" s="29">
        <f t="shared" si="1"/>
        <v>38.155199999999994</v>
      </c>
    </row>
    <row r="34" spans="1:18" x14ac:dyDescent="0.3">
      <c r="A34">
        <f>PlantData!A34</f>
        <v>28</v>
      </c>
      <c r="B34">
        <f>PlantData!B34</f>
        <v>56939</v>
      </c>
      <c r="C34" t="str">
        <f>PlantData!C34</f>
        <v>Solar Blythe (NRG)</v>
      </c>
      <c r="D34" t="str">
        <f>PlantData!G34</f>
        <v>CdSCdTe</v>
      </c>
      <c r="E34" t="str">
        <f>PlantData!I34</f>
        <v>Fixed</v>
      </c>
      <c r="F34">
        <f>PlantData!J34</f>
        <v>24</v>
      </c>
      <c r="G34" t="str">
        <f>PlantData!K34</f>
        <v>CA</v>
      </c>
      <c r="H34" s="2">
        <f>PlantData!L34</f>
        <v>33.591999999999999</v>
      </c>
      <c r="I34" s="2">
        <f>PlantData!M34</f>
        <v>-114.744</v>
      </c>
      <c r="J34" s="3">
        <f>PlantData!S34</f>
        <v>48.895499999999998</v>
      </c>
      <c r="K34" s="1">
        <f>PlantData!AZ34</f>
        <v>0.71405680029910013</v>
      </c>
      <c r="L34" s="2">
        <f>PlantData!CB34</f>
        <v>0.94175918744763809</v>
      </c>
      <c r="M34" s="1">
        <f>PlantData!CH34</f>
        <v>0.98138519500745558</v>
      </c>
      <c r="N34" s="2">
        <f t="shared" si="2"/>
        <v>0.92422852382336318</v>
      </c>
      <c r="O34" s="225">
        <f t="shared" si="3"/>
        <v>0.71405680029910013</v>
      </c>
      <c r="P34" s="3">
        <f t="shared" si="4"/>
        <v>48.895499999999998</v>
      </c>
      <c r="Q34" s="225"/>
      <c r="R34" s="29"/>
    </row>
    <row r="35" spans="1:18" x14ac:dyDescent="0.3">
      <c r="A35">
        <f>PlantData!A35</f>
        <v>29</v>
      </c>
      <c r="B35">
        <f>PlantData!B35</f>
        <v>56996</v>
      </c>
      <c r="C35" t="str">
        <f>PlantData!C35</f>
        <v>Solar PV #02 (SCE)</v>
      </c>
      <c r="D35" t="str">
        <f>PlantData!G35</f>
        <v>CdSCdTe</v>
      </c>
      <c r="E35" t="str">
        <f>PlantData!I35</f>
        <v>Fixed</v>
      </c>
      <c r="F35">
        <f>PlantData!J35</f>
        <v>2</v>
      </c>
      <c r="G35" t="str">
        <f>PlantData!K35</f>
        <v>CA</v>
      </c>
      <c r="H35" s="2">
        <f>PlantData!L35</f>
        <v>33.99</v>
      </c>
      <c r="I35" s="2">
        <f>PlantData!M35</f>
        <v>-117.7</v>
      </c>
      <c r="J35" s="3">
        <f>PlantData!S35</f>
        <v>43.130250000000004</v>
      </c>
      <c r="K35" s="1">
        <f>PlantData!AZ35</f>
        <v>0.330550442390318</v>
      </c>
      <c r="L35" s="2">
        <f>PlantData!CB35</f>
        <v>0.42964816540808276</v>
      </c>
      <c r="M35" s="1">
        <f>PlantData!CH35</f>
        <v>0.99579832000745561</v>
      </c>
      <c r="N35" s="2">
        <f t="shared" si="2"/>
        <v>0.42784292130765422</v>
      </c>
      <c r="O35" s="225">
        <f t="shared" si="3"/>
        <v>0.330550442390318</v>
      </c>
      <c r="P35" s="3">
        <f t="shared" si="4"/>
        <v>43.130250000000004</v>
      </c>
      <c r="Q35" s="225"/>
      <c r="R35" s="29"/>
    </row>
    <row r="36" spans="1:18" x14ac:dyDescent="0.3">
      <c r="A36">
        <f>PlantData!A36</f>
        <v>30</v>
      </c>
      <c r="B36">
        <f>PlantData!B36</f>
        <v>57010</v>
      </c>
      <c r="C36" t="str">
        <f>PlantData!C36</f>
        <v>SunE Anheuser</v>
      </c>
      <c r="D36" t="str">
        <f>PlantData!G36</f>
        <v>c-Si</v>
      </c>
      <c r="E36" t="str">
        <f>PlantData!I36</f>
        <v>Tracker</v>
      </c>
      <c r="F36">
        <f>PlantData!J36</f>
        <v>0</v>
      </c>
      <c r="G36" t="str">
        <f>PlantData!K36</f>
        <v>CA</v>
      </c>
      <c r="H36" s="2">
        <f>PlantData!L36</f>
        <v>38.231999999999999</v>
      </c>
      <c r="I36" s="2">
        <f>PlantData!M36</f>
        <v>-122.093</v>
      </c>
      <c r="J36" s="3">
        <f>PlantData!S36</f>
        <v>44.986899999999999</v>
      </c>
      <c r="K36" s="1">
        <f>PlantData!AZ36</f>
        <v>0.61182241548227789</v>
      </c>
      <c r="L36" s="2">
        <f>PlantData!CB36</f>
        <v>0.84764030541524016</v>
      </c>
      <c r="M36" s="1">
        <f>PlantData!CH36</f>
        <v>0.98585071201192898</v>
      </c>
      <c r="N36" s="2">
        <f t="shared" si="2"/>
        <v>0.83564679862362345</v>
      </c>
      <c r="O36" s="225"/>
      <c r="P36" s="3"/>
      <c r="Q36" s="225">
        <f t="shared" si="0"/>
        <v>0.61182241548227789</v>
      </c>
      <c r="R36" s="29">
        <f t="shared" si="1"/>
        <v>44.986899999999999</v>
      </c>
    </row>
    <row r="37" spans="1:18" x14ac:dyDescent="0.3">
      <c r="A37">
        <f>PlantData!A37</f>
        <v>31</v>
      </c>
      <c r="B37">
        <f>PlantData!B37</f>
        <v>57007</v>
      </c>
      <c r="C37" t="str">
        <f>PlantData!C37</f>
        <v>SunE Ironwood</v>
      </c>
      <c r="D37" t="str">
        <f>PlantData!G37</f>
        <v>c-Si</v>
      </c>
      <c r="E37" t="str">
        <f>PlantData!I37</f>
        <v>Tracker</v>
      </c>
      <c r="F37">
        <f>PlantData!J37</f>
        <v>0</v>
      </c>
      <c r="G37" t="str">
        <f>PlantData!K37</f>
        <v>CA</v>
      </c>
      <c r="H37" s="2">
        <f>PlantData!L37</f>
        <v>33.563360000000003</v>
      </c>
      <c r="I37" s="2">
        <f>PlantData!M37</f>
        <v>-114.9192</v>
      </c>
      <c r="J37" s="3">
        <f>PlantData!S37</f>
        <v>52.913699999999999</v>
      </c>
      <c r="K37" s="1">
        <f>PlantData!AZ37</f>
        <v>0.55578642590962923</v>
      </c>
      <c r="L37" s="2">
        <f>PlantData!CB37</f>
        <v>0.79559419125408937</v>
      </c>
      <c r="M37" s="1">
        <f>PlantData!CH37</f>
        <v>0.95414351201192893</v>
      </c>
      <c r="N37" s="2">
        <f t="shared" si="2"/>
        <v>0.75911103577946715</v>
      </c>
      <c r="O37" s="225"/>
      <c r="P37" s="3"/>
      <c r="Q37" s="225">
        <f t="shared" si="0"/>
        <v>0.55578642590962923</v>
      </c>
      <c r="R37" s="29">
        <f t="shared" si="1"/>
        <v>52.913699999999999</v>
      </c>
    </row>
    <row r="38" spans="1:18" x14ac:dyDescent="0.3">
      <c r="A38">
        <f>PlantData!A38</f>
        <v>32</v>
      </c>
      <c r="B38">
        <f>PlantData!B38</f>
        <v>56938</v>
      </c>
      <c r="C38" t="str">
        <f>PlantData!C38</f>
        <v>SunE LV Sutton</v>
      </c>
      <c r="D38" t="str">
        <f>PlantData!G38</f>
        <v>c-Si</v>
      </c>
      <c r="E38" t="str">
        <f>PlantData!I38</f>
        <v>Tracker</v>
      </c>
      <c r="F38">
        <f>PlantData!J38</f>
        <v>0</v>
      </c>
      <c r="G38" t="str">
        <f>PlantData!K38</f>
        <v>NC</v>
      </c>
      <c r="H38" s="2">
        <f>PlantData!L38</f>
        <v>34.286700000000003</v>
      </c>
      <c r="I38" s="2">
        <f>PlantData!M38</f>
        <v>-77.981399999999994</v>
      </c>
      <c r="J38" s="3">
        <f>PlantData!S38</f>
        <v>38.965575000000001</v>
      </c>
      <c r="K38" s="1">
        <f>PlantData!AZ38</f>
        <v>0.56818621252373391</v>
      </c>
      <c r="L38" s="2">
        <f>PlantData!CB38</f>
        <v>0.76841211249920605</v>
      </c>
      <c r="M38" s="1">
        <f>PlantData!CH38</f>
        <v>1.009936012011929</v>
      </c>
      <c r="N38" s="2">
        <f t="shared" si="2"/>
        <v>0.77604706447910987</v>
      </c>
      <c r="O38" s="225"/>
      <c r="P38" s="3"/>
      <c r="Q38" s="225">
        <f t="shared" si="0"/>
        <v>0.56818621252373391</v>
      </c>
      <c r="R38" s="29">
        <f t="shared" si="1"/>
        <v>38.965575000000001</v>
      </c>
    </row>
    <row r="39" spans="1:18" x14ac:dyDescent="0.3">
      <c r="A39">
        <f>PlantData!A39</f>
        <v>33</v>
      </c>
      <c r="B39">
        <f>PlantData!B39</f>
        <v>57008</v>
      </c>
      <c r="C39" t="str">
        <f>PlantData!C39</f>
        <v>SunE Oxnard</v>
      </c>
      <c r="D39" t="str">
        <f>PlantData!G39</f>
        <v>CdSCdTe</v>
      </c>
      <c r="E39" t="str">
        <f>PlantData!I39</f>
        <v>Fixed</v>
      </c>
      <c r="F39">
        <f>PlantData!J39</f>
        <v>20</v>
      </c>
      <c r="G39" t="str">
        <f>PlantData!K39</f>
        <v>CA</v>
      </c>
      <c r="H39" s="2">
        <f>PlantData!L39</f>
        <v>34.209299999999999</v>
      </c>
      <c r="I39" s="2">
        <f>PlantData!M39</f>
        <v>-119.1345</v>
      </c>
      <c r="J39" s="3">
        <f>PlantData!S39</f>
        <v>43.580500000000001</v>
      </c>
      <c r="K39" s="1">
        <f>PlantData!AZ39</f>
        <v>0.74820760652382834</v>
      </c>
      <c r="L39" s="2">
        <f>PlantData!CB39</f>
        <v>0.973617858036258</v>
      </c>
      <c r="M39" s="1">
        <f>PlantData!CH39</f>
        <v>0.99467269500745559</v>
      </c>
      <c r="N39" s="2">
        <f t="shared" si="2"/>
        <v>0.96843109876031108</v>
      </c>
      <c r="O39" s="225">
        <f t="shared" si="3"/>
        <v>0.74820760652382834</v>
      </c>
      <c r="P39" s="3">
        <f t="shared" si="4"/>
        <v>43.580500000000001</v>
      </c>
      <c r="Q39" s="225"/>
      <c r="R39" s="29"/>
    </row>
    <row r="40" spans="1:18" x14ac:dyDescent="0.3">
      <c r="A40">
        <f>PlantData!A40</f>
        <v>34</v>
      </c>
      <c r="B40">
        <f>PlantData!B40</f>
        <v>57004</v>
      </c>
      <c r="C40" t="str">
        <f>PlantData!C40</f>
        <v>SunE Moreno Valley</v>
      </c>
      <c r="D40" t="str">
        <f>PlantData!G40</f>
        <v>c-Si</v>
      </c>
      <c r="E40" t="str">
        <f>PlantData!I40</f>
        <v>Fixed</v>
      </c>
      <c r="F40">
        <f>PlantData!J40</f>
        <v>20</v>
      </c>
      <c r="G40" t="str">
        <f>PlantData!K40</f>
        <v>CA</v>
      </c>
      <c r="H40" s="2">
        <f>PlantData!L40</f>
        <v>33.865900000000003</v>
      </c>
      <c r="I40" s="2">
        <f>PlantData!M40</f>
        <v>-117.22150000000001</v>
      </c>
      <c r="J40" s="3">
        <f>PlantData!S40</f>
        <v>44.79365</v>
      </c>
      <c r="K40" s="1">
        <f>PlantData!AZ40</f>
        <v>0.58097776635076381</v>
      </c>
      <c r="L40" s="2">
        <f>PlantData!CB40</f>
        <v>0.76406259370075247</v>
      </c>
      <c r="M40" s="1">
        <f>PlantData!CH40</f>
        <v>0.986623712011929</v>
      </c>
      <c r="N40" s="2">
        <f t="shared" si="2"/>
        <v>0.7538422724064987</v>
      </c>
      <c r="O40" s="225">
        <f t="shared" si="3"/>
        <v>0.58097776635076381</v>
      </c>
      <c r="P40" s="3">
        <f t="shared" si="4"/>
        <v>44.79365</v>
      </c>
      <c r="Q40" s="225"/>
      <c r="R40" s="29"/>
    </row>
    <row r="41" spans="1:18" x14ac:dyDescent="0.3">
      <c r="A41">
        <f>PlantData!A41</f>
        <v>35</v>
      </c>
      <c r="B41">
        <f>PlantData!B41</f>
        <v>57012</v>
      </c>
      <c r="C41" t="str">
        <f>PlantData!C41</f>
        <v>SunE Apple Valley</v>
      </c>
      <c r="D41" t="str">
        <f>PlantData!G41</f>
        <v>c-Si</v>
      </c>
      <c r="E41" t="str">
        <f>PlantData!I41</f>
        <v>Tracker</v>
      </c>
      <c r="F41">
        <f>PlantData!J41</f>
        <v>0</v>
      </c>
      <c r="G41" t="str">
        <f>PlantData!K41</f>
        <v>CA</v>
      </c>
      <c r="H41" s="2">
        <f>PlantData!L41</f>
        <v>34.597499999999997</v>
      </c>
      <c r="I41" s="2">
        <f>PlantData!M41</f>
        <v>-117.2</v>
      </c>
      <c r="J41" s="3">
        <f>PlantData!S41</f>
        <v>52.913699999999999</v>
      </c>
      <c r="K41" s="1">
        <f>PlantData!AZ41</f>
        <v>0.57496677277649222</v>
      </c>
      <c r="L41" s="2">
        <f>PlantData!CB41</f>
        <v>0.82101680962123635</v>
      </c>
      <c r="M41" s="1">
        <f>PlantData!CH41</f>
        <v>0.95414351201192893</v>
      </c>
      <c r="N41" s="2">
        <f t="shared" si="2"/>
        <v>0.78336786215283571</v>
      </c>
      <c r="O41" s="225"/>
      <c r="P41" s="3"/>
      <c r="Q41" s="225">
        <f t="shared" si="0"/>
        <v>0.57496677277649222</v>
      </c>
      <c r="R41" s="29">
        <f t="shared" si="1"/>
        <v>52.913699999999999</v>
      </c>
    </row>
    <row r="42" spans="1:18" x14ac:dyDescent="0.3">
      <c r="A42">
        <f>PlantData!A42</f>
        <v>36</v>
      </c>
      <c r="B42">
        <f>PlantData!B42</f>
        <v>57041</v>
      </c>
      <c r="C42" t="str">
        <f>PlantData!C42</f>
        <v>PG&amp;E Vaca-Dixon</v>
      </c>
      <c r="D42" t="str">
        <f>PlantData!G42</f>
        <v>c-Si</v>
      </c>
      <c r="E42" t="str">
        <f>PlantData!I42</f>
        <v>Fixed</v>
      </c>
      <c r="F42">
        <f>PlantData!J42</f>
        <v>30</v>
      </c>
      <c r="G42" t="str">
        <f>PlantData!K42</f>
        <v>CA</v>
      </c>
      <c r="H42" s="2">
        <f>PlantData!L42</f>
        <v>38.410600000000002</v>
      </c>
      <c r="I42" s="2">
        <f>PlantData!M42</f>
        <v>-121.9264</v>
      </c>
      <c r="J42" s="3">
        <f>PlantData!S42</f>
        <v>42.380499999999998</v>
      </c>
      <c r="K42" s="1">
        <f>PlantData!AZ42</f>
        <v>0.74179801489863084</v>
      </c>
      <c r="L42" s="2">
        <f>PlantData!CB42</f>
        <v>0.96372354744028332</v>
      </c>
      <c r="M42" s="1">
        <f>PlantData!CH42</f>
        <v>0.9962763120119289</v>
      </c>
      <c r="N42" s="2">
        <f t="shared" si="2"/>
        <v>0.96013494164285862</v>
      </c>
      <c r="O42" s="225">
        <f t="shared" si="3"/>
        <v>0.74179801489863084</v>
      </c>
      <c r="P42" s="3">
        <f t="shared" si="4"/>
        <v>42.380499999999998</v>
      </c>
      <c r="Q42" s="225"/>
      <c r="R42" s="29"/>
    </row>
    <row r="43" spans="1:18" x14ac:dyDescent="0.3">
      <c r="A43">
        <f>PlantData!A43</f>
        <v>37</v>
      </c>
      <c r="B43">
        <f>PlantData!B43</f>
        <v>56922</v>
      </c>
      <c r="C43" t="str">
        <f>PlantData!C43</f>
        <v>WWRF Rifle SunE</v>
      </c>
      <c r="D43" t="str">
        <f>PlantData!G43</f>
        <v>c-Si</v>
      </c>
      <c r="E43" t="str">
        <f>PlantData!I43</f>
        <v>Tracker</v>
      </c>
      <c r="F43">
        <f>PlantData!J43</f>
        <v>0</v>
      </c>
      <c r="G43" t="str">
        <f>PlantData!K43</f>
        <v>CO</v>
      </c>
      <c r="H43" s="2">
        <f>PlantData!L43</f>
        <v>39.523000000000003</v>
      </c>
      <c r="I43" s="2">
        <f>PlantData!M43</f>
        <v>-107.813</v>
      </c>
      <c r="J43" s="3">
        <f>PlantData!S43</f>
        <v>41.202749999999995</v>
      </c>
      <c r="K43" s="1">
        <f>PlantData!AZ43</f>
        <v>0.4299847995946558</v>
      </c>
      <c r="L43" s="2">
        <f>PlantData!CB43</f>
        <v>0.58525823520585085</v>
      </c>
      <c r="M43" s="1">
        <f>PlantData!CH43</f>
        <v>1.000987312011929</v>
      </c>
      <c r="N43" s="2">
        <f t="shared" si="2"/>
        <v>0.58583606769154994</v>
      </c>
      <c r="O43" s="225"/>
      <c r="P43" s="3"/>
      <c r="Q43" s="225">
        <f t="shared" si="0"/>
        <v>0.4299847995946558</v>
      </c>
      <c r="R43" s="29">
        <f t="shared" si="1"/>
        <v>41.202749999999995</v>
      </c>
    </row>
    <row r="44" spans="1:18" x14ac:dyDescent="0.3">
      <c r="A44">
        <f>PlantData!A44</f>
        <v>38</v>
      </c>
      <c r="B44">
        <f>PlantData!B44</f>
        <v>57006</v>
      </c>
      <c r="C44" t="str">
        <f>PlantData!C44</f>
        <v>Woodland Walgreens SunE</v>
      </c>
      <c r="D44" t="str">
        <f>PlantData!G44</f>
        <v>c-Si</v>
      </c>
      <c r="E44" t="str">
        <f>PlantData!I44</f>
        <v>Fixed</v>
      </c>
      <c r="F44">
        <f>PlantData!J44</f>
        <v>15</v>
      </c>
      <c r="G44" t="str">
        <f>PlantData!K44</f>
        <v>CA</v>
      </c>
      <c r="H44" s="2">
        <f>PlantData!L44</f>
        <v>38.674999999999997</v>
      </c>
      <c r="I44" s="2">
        <f>PlantData!M44</f>
        <v>-121.71299999999999</v>
      </c>
      <c r="J44" s="3">
        <f>PlantData!S44</f>
        <v>41.260562499999999</v>
      </c>
      <c r="K44" s="1">
        <f>PlantData!AZ44</f>
        <v>0.56668578229153177</v>
      </c>
      <c r="L44" s="2">
        <f>PlantData!CB44</f>
        <v>0.73474233126129429</v>
      </c>
      <c r="M44" s="1">
        <f>PlantData!CH44</f>
        <v>1.0007560620119289</v>
      </c>
      <c r="N44" s="2">
        <f t="shared" si="2"/>
        <v>0.73529784202651705</v>
      </c>
      <c r="O44" s="225">
        <f t="shared" si="3"/>
        <v>0.56668578229153177</v>
      </c>
      <c r="P44" s="3">
        <f t="shared" si="4"/>
        <v>41.260562499999999</v>
      </c>
      <c r="Q44" s="225"/>
      <c r="R44" s="29"/>
    </row>
    <row r="45" spans="1:18" x14ac:dyDescent="0.3">
      <c r="A45">
        <f>PlantData!A45</f>
        <v>39</v>
      </c>
      <c r="B45">
        <f>PlantData!B45</f>
        <v>54569</v>
      </c>
      <c r="C45" t="str">
        <f>PlantData!C45</f>
        <v>Bayville Central</v>
      </c>
      <c r="D45" t="str">
        <f>PlantData!G45</f>
        <v>c-Si</v>
      </c>
      <c r="E45" t="str">
        <f>PlantData!I45</f>
        <v>Fixed</v>
      </c>
      <c r="F45">
        <f>PlantData!J45</f>
        <v>10</v>
      </c>
      <c r="G45" t="str">
        <f>PlantData!K45</f>
        <v>NJ</v>
      </c>
      <c r="H45" s="2">
        <f>PlantData!L45</f>
        <v>39.908999999999999</v>
      </c>
      <c r="I45" s="2">
        <f>PlantData!M45</f>
        <v>-74.177999999999997</v>
      </c>
      <c r="J45" s="3">
        <f>PlantData!S45</f>
        <v>34.822499999999998</v>
      </c>
      <c r="K45" s="1">
        <f>PlantData!AZ45</f>
        <v>0.48602157383972955</v>
      </c>
      <c r="L45" s="2">
        <f>PlantData!CB45</f>
        <v>0.61282953156478992</v>
      </c>
      <c r="M45" s="1">
        <f>PlantData!CH45</f>
        <v>1.0265083120119289</v>
      </c>
      <c r="N45" s="2">
        <f t="shared" si="2"/>
        <v>0.62907460799763359</v>
      </c>
      <c r="O45" s="225">
        <f t="shared" si="3"/>
        <v>0.48602157383972955</v>
      </c>
      <c r="P45" s="3">
        <f t="shared" si="4"/>
        <v>34.822499999999998</v>
      </c>
      <c r="Q45" s="225"/>
      <c r="R45" s="29"/>
    </row>
    <row r="46" spans="1:18" x14ac:dyDescent="0.3">
      <c r="A46">
        <f>PlantData!A46</f>
        <v>40</v>
      </c>
      <c r="B46">
        <f>PlantData!B46</f>
        <v>57197</v>
      </c>
      <c r="C46" t="str">
        <f>PlantData!C46</f>
        <v>Blue Wing</v>
      </c>
      <c r="D46" t="str">
        <f>PlantData!G46</f>
        <v>CdSCdTe</v>
      </c>
      <c r="E46" t="str">
        <f>PlantData!I46</f>
        <v>Fixed</v>
      </c>
      <c r="F46">
        <f>PlantData!J46</f>
        <v>20</v>
      </c>
      <c r="G46" t="str">
        <f>PlantData!K46</f>
        <v>TX</v>
      </c>
      <c r="H46" s="2">
        <f>PlantData!L46</f>
        <v>29.303999999999998</v>
      </c>
      <c r="I46" s="2">
        <f>PlantData!M46</f>
        <v>-98.4</v>
      </c>
      <c r="J46" s="3">
        <f>PlantData!S46</f>
        <v>46.300399999999996</v>
      </c>
      <c r="K46" s="1">
        <f>PlantData!AZ46</f>
        <v>0.67812475555449869</v>
      </c>
      <c r="L46" s="2">
        <f>PlantData!CB46</f>
        <v>0.88629814450810263</v>
      </c>
      <c r="M46" s="1">
        <f>PlantData!CH46</f>
        <v>0.98787294500745559</v>
      </c>
      <c r="N46" s="2">
        <f t="shared" si="2"/>
        <v>0.87554995816986281</v>
      </c>
      <c r="O46" s="225">
        <f t="shared" si="3"/>
        <v>0.67812475555449869</v>
      </c>
      <c r="P46" s="3">
        <f t="shared" si="4"/>
        <v>46.300399999999996</v>
      </c>
      <c r="Q46" s="225"/>
      <c r="R46" s="29"/>
    </row>
    <row r="47" spans="1:18" x14ac:dyDescent="0.3">
      <c r="A47">
        <f>PlantData!A47</f>
        <v>41</v>
      </c>
      <c r="B47">
        <f>PlantData!B47</f>
        <v>57205</v>
      </c>
      <c r="C47" t="str">
        <f>PlantData!C47</f>
        <v>Copper Mtn 48 (FS)</v>
      </c>
      <c r="D47" t="str">
        <f>PlantData!G47</f>
        <v>CdSCdTe</v>
      </c>
      <c r="E47" t="str">
        <f>PlantData!I47</f>
        <v>Fixed</v>
      </c>
      <c r="F47">
        <f>PlantData!J47</f>
        <v>24</v>
      </c>
      <c r="G47" t="str">
        <f>PlantData!K47</f>
        <v>NV</v>
      </c>
      <c r="H47" s="2">
        <f>PlantData!L47</f>
        <v>35.781399999999998</v>
      </c>
      <c r="I47" s="2">
        <f>PlantData!M47</f>
        <v>-114.99299999999999</v>
      </c>
      <c r="J47" s="3">
        <f>PlantData!S47</f>
        <v>48.323999999999998</v>
      </c>
      <c r="K47" s="1">
        <f>PlantData!AZ47</f>
        <v>0.70865273579012622</v>
      </c>
      <c r="L47" s="2">
        <f>PlantData!CB47</f>
        <v>0.93096529348537627</v>
      </c>
      <c r="M47" s="1">
        <f>PlantData!CH47</f>
        <v>0.98281394500745556</v>
      </c>
      <c r="N47" s="2">
        <f t="shared" si="2"/>
        <v>0.91496567275538632</v>
      </c>
      <c r="O47" s="225">
        <f t="shared" si="3"/>
        <v>0.70865273579012622</v>
      </c>
      <c r="P47" s="3">
        <f t="shared" si="4"/>
        <v>48.323999999999998</v>
      </c>
      <c r="Q47" s="225"/>
      <c r="R47" s="29"/>
    </row>
    <row r="48" spans="1:18" x14ac:dyDescent="0.3">
      <c r="A48">
        <f>PlantData!A48</f>
        <v>42</v>
      </c>
      <c r="B48">
        <f>PlantData!B48</f>
        <v>56768</v>
      </c>
      <c r="C48" t="str">
        <f>PlantData!C48</f>
        <v>CalRenew-1</v>
      </c>
      <c r="D48" t="str">
        <f>PlantData!G48</f>
        <v>c-Si</v>
      </c>
      <c r="E48" t="str">
        <f>PlantData!I48</f>
        <v>Fixed</v>
      </c>
      <c r="F48">
        <f>PlantData!J48</f>
        <v>20</v>
      </c>
      <c r="G48" t="str">
        <f>PlantData!K48</f>
        <v>CA</v>
      </c>
      <c r="H48" s="2">
        <f>PlantData!L48</f>
        <v>36.7575</v>
      </c>
      <c r="I48" s="2">
        <f>PlantData!M48</f>
        <v>-120.366</v>
      </c>
      <c r="J48" s="3">
        <f>PlantData!S48</f>
        <v>44.323499999999996</v>
      </c>
      <c r="K48" s="1">
        <f>PlantData!AZ48</f>
        <v>0.65538181361620862</v>
      </c>
      <c r="L48" s="2">
        <f>PlantData!CB48</f>
        <v>0.85602638378363893</v>
      </c>
      <c r="M48" s="1">
        <f>PlantData!CH48</f>
        <v>0.98850431201192901</v>
      </c>
      <c r="N48" s="2">
        <f t="shared" si="2"/>
        <v>0.84618577156610553</v>
      </c>
      <c r="O48" s="225">
        <f t="shared" si="3"/>
        <v>0.65538181361620862</v>
      </c>
      <c r="P48" s="3">
        <f t="shared" si="4"/>
        <v>44.323499999999996</v>
      </c>
      <c r="Q48" s="225"/>
      <c r="R48" s="29"/>
    </row>
    <row r="49" spans="1:18" x14ac:dyDescent="0.3">
      <c r="A49">
        <f>PlantData!A49</f>
        <v>43</v>
      </c>
      <c r="B49">
        <f>PlantData!B49</f>
        <v>57509</v>
      </c>
      <c r="C49" t="str">
        <f>PlantData!C49</f>
        <v>Carson</v>
      </c>
      <c r="D49" t="str">
        <f>PlantData!G49</f>
        <v>c-Si</v>
      </c>
      <c r="E49" t="str">
        <f>PlantData!I49</f>
        <v>Fixed</v>
      </c>
      <c r="F49">
        <f>PlantData!J49</f>
        <v>25</v>
      </c>
      <c r="G49" t="str">
        <f>PlantData!K49</f>
        <v>CO</v>
      </c>
      <c r="H49" s="2">
        <f>PlantData!L49</f>
        <v>38.722799999999999</v>
      </c>
      <c r="I49" s="2">
        <f>PlantData!M49</f>
        <v>-104.7817</v>
      </c>
      <c r="J49" s="3">
        <f>PlantData!S49</f>
        <v>35.580500000000001</v>
      </c>
      <c r="K49" s="1">
        <f>PlantData!AZ49</f>
        <v>0.6232675834318544</v>
      </c>
      <c r="L49" s="2">
        <f>PlantData!CB49</f>
        <v>0.78821256226159175</v>
      </c>
      <c r="M49" s="1">
        <f>PlantData!CH49</f>
        <v>1.023476312011929</v>
      </c>
      <c r="N49" s="2">
        <f t="shared" si="2"/>
        <v>0.80671688630496685</v>
      </c>
      <c r="O49" s="225">
        <f t="shared" si="3"/>
        <v>0.6232675834318544</v>
      </c>
      <c r="P49" s="3">
        <f t="shared" si="4"/>
        <v>35.580500000000001</v>
      </c>
      <c r="Q49" s="225"/>
      <c r="R49" s="29"/>
    </row>
    <row r="50" spans="1:18" x14ac:dyDescent="0.3">
      <c r="A50">
        <f>PlantData!A50</f>
        <v>44</v>
      </c>
      <c r="B50">
        <f>PlantData!B50</f>
        <v>57243</v>
      </c>
      <c r="C50" t="str">
        <f>PlantData!C50</f>
        <v>Cimarron</v>
      </c>
      <c r="D50" t="str">
        <f>PlantData!G50</f>
        <v>CdSCdTe</v>
      </c>
      <c r="E50" t="str">
        <f>PlantData!I50</f>
        <v>Fixed</v>
      </c>
      <c r="F50">
        <f>PlantData!J50</f>
        <v>25</v>
      </c>
      <c r="G50" t="str">
        <f>PlantData!K50</f>
        <v>NM</v>
      </c>
      <c r="H50" s="2">
        <f>PlantData!L50</f>
        <v>36.468000000000004</v>
      </c>
      <c r="I50" s="2">
        <f>PlantData!M50</f>
        <v>-104.636</v>
      </c>
      <c r="J50" s="3">
        <f>PlantData!S50</f>
        <v>33.109499999999997</v>
      </c>
      <c r="K50" s="1">
        <f>PlantData!AZ50</f>
        <v>0.74188285008075949</v>
      </c>
      <c r="L50" s="2">
        <f>PlantData!CB50</f>
        <v>0.93830633455926238</v>
      </c>
      <c r="M50" s="1">
        <f>PlantData!CH50</f>
        <v>1.0208501950074556</v>
      </c>
      <c r="N50" s="2">
        <f t="shared" si="2"/>
        <v>0.95787020461155381</v>
      </c>
      <c r="O50" s="225">
        <f t="shared" si="3"/>
        <v>0.74188285008075949</v>
      </c>
      <c r="P50" s="3">
        <f t="shared" si="4"/>
        <v>33.109499999999997</v>
      </c>
      <c r="Q50" s="225"/>
      <c r="R50" s="29"/>
    </row>
    <row r="51" spans="1:18" x14ac:dyDescent="0.3">
      <c r="A51">
        <f>PlantData!A51</f>
        <v>45</v>
      </c>
      <c r="B51">
        <f>PlantData!B51</f>
        <v>57216</v>
      </c>
      <c r="C51" t="str">
        <f>PlantData!C51</f>
        <v>Crayola</v>
      </c>
      <c r="D51" t="str">
        <f>PlantData!G51</f>
        <v>c-Si</v>
      </c>
      <c r="E51" t="str">
        <f>PlantData!I51</f>
        <v>Fixed</v>
      </c>
      <c r="F51">
        <f>PlantData!J51</f>
        <v>25</v>
      </c>
      <c r="G51" t="str">
        <f>PlantData!K51</f>
        <v>PA</v>
      </c>
      <c r="H51" s="2">
        <f>PlantData!L51</f>
        <v>40.7605</v>
      </c>
      <c r="I51" s="2">
        <f>PlantData!M51</f>
        <v>-75.238</v>
      </c>
      <c r="J51" s="3">
        <f>PlantData!S51</f>
        <v>34.094000000000001</v>
      </c>
      <c r="K51" s="1">
        <f>PlantData!AZ51</f>
        <v>0.56387497600983716</v>
      </c>
      <c r="L51" s="2">
        <f>PlantData!CB51</f>
        <v>0.70547949042681068</v>
      </c>
      <c r="M51" s="1">
        <f>PlantData!CH51</f>
        <v>1.029422312011929</v>
      </c>
      <c r="N51" s="2">
        <f t="shared" si="2"/>
        <v>0.72623632811216499</v>
      </c>
      <c r="O51" s="225">
        <f t="shared" si="3"/>
        <v>0.56387497600983716</v>
      </c>
      <c r="P51" s="3">
        <f t="shared" si="4"/>
        <v>34.094000000000001</v>
      </c>
      <c r="Q51" s="225"/>
      <c r="R51" s="29"/>
    </row>
    <row r="52" spans="1:18" x14ac:dyDescent="0.3">
      <c r="A52">
        <f>PlantData!A52</f>
        <v>46</v>
      </c>
      <c r="B52">
        <f>PlantData!B52</f>
        <v>57334</v>
      </c>
      <c r="C52" t="str">
        <f>PlantData!C52</f>
        <v>Duke Egy 10240</v>
      </c>
      <c r="D52" t="str">
        <f>PlantData!G52</f>
        <v>c-Si</v>
      </c>
      <c r="E52" t="str">
        <f>PlantData!I52</f>
        <v>Fixed</v>
      </c>
      <c r="F52">
        <f>PlantData!J52</f>
        <v>5</v>
      </c>
      <c r="G52" t="str">
        <f>PlantData!K52</f>
        <v>NC</v>
      </c>
      <c r="H52" s="2">
        <f>PlantData!L52</f>
        <v>35.246000000000002</v>
      </c>
      <c r="I52" s="2">
        <f>PlantData!M52</f>
        <v>-80.996700000000004</v>
      </c>
      <c r="J52" s="3">
        <f>PlantData!S52</f>
        <v>39.333375000000004</v>
      </c>
      <c r="K52" s="1">
        <f>PlantData!AZ52</f>
        <v>0.60394980698564482</v>
      </c>
      <c r="L52" s="2">
        <f>PlantData!CB52</f>
        <v>0.77132115984055394</v>
      </c>
      <c r="M52" s="1">
        <f>PlantData!CH52</f>
        <v>1.0084648120119288</v>
      </c>
      <c r="N52" s="2">
        <f t="shared" si="2"/>
        <v>0.77785024845942718</v>
      </c>
      <c r="O52" s="225">
        <f t="shared" si="3"/>
        <v>0.60394980698564482</v>
      </c>
      <c r="P52" s="3">
        <f t="shared" si="4"/>
        <v>39.333375000000004</v>
      </c>
      <c r="Q52" s="225"/>
      <c r="R52" s="29"/>
    </row>
    <row r="53" spans="1:18" x14ac:dyDescent="0.3">
      <c r="A53">
        <f>PlantData!A53</f>
        <v>47</v>
      </c>
      <c r="B53">
        <f>PlantData!B53</f>
        <v>57336</v>
      </c>
      <c r="C53" t="str">
        <f>PlantData!C53</f>
        <v>Duke Egy 1725</v>
      </c>
      <c r="D53" t="str">
        <f>PlantData!G53</f>
        <v>c-Si</v>
      </c>
      <c r="E53" t="str">
        <f>PlantData!I53</f>
        <v>Fixed</v>
      </c>
      <c r="F53">
        <f>PlantData!J53</f>
        <v>11</v>
      </c>
      <c r="G53" t="str">
        <f>PlantData!K53</f>
        <v>NC</v>
      </c>
      <c r="H53" s="2">
        <f>PlantData!L53</f>
        <v>35.326000000000001</v>
      </c>
      <c r="I53" s="2">
        <f>PlantData!M53</f>
        <v>-80.997</v>
      </c>
      <c r="J53" s="3">
        <f>PlantData!S53</f>
        <v>39.672750000000001</v>
      </c>
      <c r="K53" s="1">
        <f>PlantData!AZ53</f>
        <v>0.57923371252730282</v>
      </c>
      <c r="L53" s="2">
        <f>PlantData!CB53</f>
        <v>0.74443141109319233</v>
      </c>
      <c r="M53" s="1">
        <f>PlantData!CH53</f>
        <v>1.0071073120119289</v>
      </c>
      <c r="N53" s="2">
        <f t="shared" si="2"/>
        <v>0.74972231740331219</v>
      </c>
      <c r="O53" s="225">
        <f t="shared" si="3"/>
        <v>0.57923371252730282</v>
      </c>
      <c r="P53" s="3">
        <f t="shared" si="4"/>
        <v>39.672750000000001</v>
      </c>
      <c r="Q53" s="225"/>
      <c r="R53" s="29"/>
    </row>
    <row r="54" spans="1:18" x14ac:dyDescent="0.3">
      <c r="A54">
        <f>PlantData!A54</f>
        <v>48</v>
      </c>
      <c r="B54">
        <f>PlantData!B54</f>
        <v>57335</v>
      </c>
      <c r="C54" t="str">
        <f>PlantData!C54</f>
        <v>Duke Egy 657</v>
      </c>
      <c r="D54" t="str">
        <f>PlantData!G54</f>
        <v>c-Si</v>
      </c>
      <c r="E54" t="str">
        <f>PlantData!I54</f>
        <v>Fixed</v>
      </c>
      <c r="F54">
        <f>PlantData!J54</f>
        <v>15</v>
      </c>
      <c r="G54" t="str">
        <f>PlantData!K54</f>
        <v>NC</v>
      </c>
      <c r="H54" s="2">
        <f>PlantData!L54</f>
        <v>36.106999999999999</v>
      </c>
      <c r="I54" s="2">
        <f>PlantData!M54</f>
        <v>-79.97</v>
      </c>
      <c r="J54" s="3">
        <f>PlantData!S54</f>
        <v>38.664612500000004</v>
      </c>
      <c r="K54" s="1">
        <f>PlantData!AZ54</f>
        <v>0.59635815650581048</v>
      </c>
      <c r="L54" s="2">
        <f>PlantData!CB54</f>
        <v>0.7577291341019049</v>
      </c>
      <c r="M54" s="1">
        <f>PlantData!CH54</f>
        <v>1.011139862011929</v>
      </c>
      <c r="N54" s="2">
        <f t="shared" si="2"/>
        <v>0.76617013209821849</v>
      </c>
      <c r="O54" s="225">
        <f t="shared" si="3"/>
        <v>0.59635815650581048</v>
      </c>
      <c r="P54" s="3">
        <f t="shared" si="4"/>
        <v>38.664612500000004</v>
      </c>
      <c r="Q54" s="225"/>
      <c r="R54" s="29"/>
    </row>
    <row r="55" spans="1:18" x14ac:dyDescent="0.3">
      <c r="A55">
        <f>PlantData!A55</f>
        <v>49</v>
      </c>
      <c r="B55">
        <f>PlantData!B55</f>
        <v>57397</v>
      </c>
      <c r="C55" t="str">
        <f>PlantData!C55</f>
        <v>Dow Jones</v>
      </c>
      <c r="D55" t="str">
        <f>PlantData!G55</f>
        <v>c-Si</v>
      </c>
      <c r="E55" t="str">
        <f>PlantData!I55</f>
        <v>Fixed</v>
      </c>
      <c r="F55">
        <f>PlantData!J55</f>
        <v>12</v>
      </c>
      <c r="G55" t="str">
        <f>PlantData!K55</f>
        <v>NJ</v>
      </c>
      <c r="H55" s="2">
        <f>PlantData!L55</f>
        <v>40.369799999999998</v>
      </c>
      <c r="I55" s="2">
        <f>PlantData!M55</f>
        <v>-74.587000000000003</v>
      </c>
      <c r="J55" s="3">
        <f>PlantData!S55</f>
        <v>35.41525</v>
      </c>
      <c r="K55" s="1">
        <f>PlantData!AZ55</f>
        <v>0.68950256736006832</v>
      </c>
      <c r="L55" s="2">
        <f>PlantData!CB55</f>
        <v>0.86925867059040318</v>
      </c>
      <c r="M55" s="1">
        <f>PlantData!CH55</f>
        <v>1.024137312011929</v>
      </c>
      <c r="N55" s="2">
        <f t="shared" si="2"/>
        <v>0.89024023834151833</v>
      </c>
      <c r="O55" s="225">
        <f t="shared" si="3"/>
        <v>0.68950256736006832</v>
      </c>
      <c r="P55" s="3">
        <f t="shared" si="4"/>
        <v>35.41525</v>
      </c>
      <c r="Q55" s="225"/>
      <c r="R55" s="29"/>
    </row>
    <row r="56" spans="1:18" x14ac:dyDescent="0.3">
      <c r="A56">
        <f>PlantData!A56</f>
        <v>50</v>
      </c>
      <c r="B56">
        <f>PlantData!B56</f>
        <v>57589</v>
      </c>
      <c r="C56" t="str">
        <f>PlantData!C56</f>
        <v>Long Island Solar Farm LLC</v>
      </c>
      <c r="D56" t="str">
        <f>PlantData!G56</f>
        <v>c-Si</v>
      </c>
      <c r="E56" t="str">
        <f>PlantData!I56</f>
        <v>Fixed</v>
      </c>
      <c r="F56">
        <f>PlantData!J56</f>
        <v>28</v>
      </c>
      <c r="G56" t="str">
        <f>PlantData!K56</f>
        <v>NY</v>
      </c>
      <c r="H56" s="2">
        <f>PlantData!L56</f>
        <v>40.861109999999996</v>
      </c>
      <c r="I56" s="2">
        <f>PlantData!M56</f>
        <v>-72.84778</v>
      </c>
      <c r="J56" s="3">
        <f>PlantData!S56</f>
        <v>34.293999999999997</v>
      </c>
      <c r="K56" s="1">
        <f>PlantData!AZ56</f>
        <v>0.8170898704071542</v>
      </c>
      <c r="L56" s="2">
        <f>PlantData!CB56</f>
        <v>1.0256170186128266</v>
      </c>
      <c r="M56" s="1">
        <f>PlantData!CH56</f>
        <v>1.0286223120119289</v>
      </c>
      <c r="N56" s="2">
        <f t="shared" si="2"/>
        <v>1.0549725489243071</v>
      </c>
      <c r="O56" s="225">
        <f t="shared" si="3"/>
        <v>0.8170898704071542</v>
      </c>
      <c r="P56" s="3">
        <f t="shared" si="4"/>
        <v>34.293999999999997</v>
      </c>
      <c r="Q56" s="225"/>
      <c r="R56" s="29"/>
    </row>
    <row r="57" spans="1:18" x14ac:dyDescent="0.3">
      <c r="A57">
        <f>PlantData!A57</f>
        <v>51</v>
      </c>
      <c r="B57">
        <f>PlantData!B57</f>
        <v>57377</v>
      </c>
      <c r="C57" t="str">
        <f>PlantData!C57</f>
        <v>Greater Sandhill</v>
      </c>
      <c r="D57" t="str">
        <f>PlantData!G57</f>
        <v>c-Si</v>
      </c>
      <c r="E57" t="str">
        <f>PlantData!I57</f>
        <v>Tracker</v>
      </c>
      <c r="F57">
        <f>PlantData!J57</f>
        <v>20</v>
      </c>
      <c r="G57" t="str">
        <f>PlantData!K57</f>
        <v>CO</v>
      </c>
      <c r="H57" s="2">
        <f>PlantData!L57</f>
        <v>37.685000000000002</v>
      </c>
      <c r="I57" s="2">
        <f>PlantData!M57</f>
        <v>-105.89100000000001</v>
      </c>
      <c r="J57" s="3">
        <f>PlantData!S57</f>
        <v>38.213700000000003</v>
      </c>
      <c r="K57" s="1">
        <f>PlantData!AZ57</f>
        <v>0.76062358813898867</v>
      </c>
      <c r="L57" s="2">
        <f>PlantData!CB57</f>
        <v>1.0180195189881553</v>
      </c>
      <c r="M57" s="1">
        <f>PlantData!CH57</f>
        <v>1.012943512011929</v>
      </c>
      <c r="N57" s="2">
        <f t="shared" si="2"/>
        <v>1.0311962668605568</v>
      </c>
      <c r="O57" s="225"/>
      <c r="P57" s="3"/>
      <c r="Q57" s="225">
        <f t="shared" si="0"/>
        <v>0.76062358813898867</v>
      </c>
      <c r="R57" s="29">
        <f t="shared" si="1"/>
        <v>38.213700000000003</v>
      </c>
    </row>
    <row r="58" spans="1:18" x14ac:dyDescent="0.3">
      <c r="A58">
        <f>PlantData!A58</f>
        <v>52</v>
      </c>
      <c r="B58">
        <f>PlantData!B58</f>
        <v>57390</v>
      </c>
      <c r="C58" t="str">
        <f>PlantData!C58</f>
        <v>Haleon York RDC Solar Facility</v>
      </c>
      <c r="D58" t="str">
        <f>PlantData!G58</f>
        <v>c-Si</v>
      </c>
      <c r="E58" t="str">
        <f>PlantData!I58</f>
        <v>Fixed</v>
      </c>
      <c r="F58">
        <f>PlantData!J58</f>
        <v>5</v>
      </c>
      <c r="G58" t="str">
        <f>PlantData!K58</f>
        <v>PA</v>
      </c>
      <c r="H58" s="2">
        <f>PlantData!L58</f>
        <v>40.043860000000002</v>
      </c>
      <c r="I58" s="2">
        <f>PlantData!M58</f>
        <v>-76.735470000000007</v>
      </c>
      <c r="J58" s="3">
        <f>PlantData!S58</f>
        <v>33.962299999999999</v>
      </c>
      <c r="K58" s="1">
        <f>PlantData!AZ58</f>
        <v>0.57730966431815378</v>
      </c>
      <c r="L58" s="2">
        <f>PlantData!CB58</f>
        <v>0.7237096988614492</v>
      </c>
      <c r="M58" s="1">
        <f>PlantData!CH58</f>
        <v>1.0299491120119288</v>
      </c>
      <c r="N58" s="2">
        <f t="shared" si="2"/>
        <v>0.74538416169677002</v>
      </c>
      <c r="O58" s="225">
        <f t="shared" si="3"/>
        <v>0.57730966431815378</v>
      </c>
      <c r="P58" s="3">
        <f t="shared" si="4"/>
        <v>33.962299999999999</v>
      </c>
      <c r="Q58" s="225"/>
      <c r="R58" s="29"/>
    </row>
    <row r="59" spans="1:18" x14ac:dyDescent="0.3">
      <c r="A59">
        <f>PlantData!A59</f>
        <v>53</v>
      </c>
      <c r="B59">
        <f>PlantData!B59</f>
        <v>57269</v>
      </c>
      <c r="C59" t="str">
        <f>PlantData!C59</f>
        <v>Haverhill</v>
      </c>
      <c r="D59" t="str">
        <f>PlantData!G59</f>
        <v>c-Si</v>
      </c>
      <c r="E59" t="str">
        <f>PlantData!I59</f>
        <v>Fixed</v>
      </c>
      <c r="F59">
        <f>PlantData!J59</f>
        <v>20</v>
      </c>
      <c r="G59" t="str">
        <f>PlantData!K59</f>
        <v>MA</v>
      </c>
      <c r="H59" s="2">
        <f>PlantData!L59</f>
        <v>42.8</v>
      </c>
      <c r="I59" s="2">
        <f>PlantData!M59</f>
        <v>-71.099999999999994</v>
      </c>
      <c r="J59" s="3">
        <f>PlantData!S59</f>
        <v>34.365499999999997</v>
      </c>
      <c r="K59" s="1">
        <f>PlantData!AZ59</f>
        <v>0.68763512706017849</v>
      </c>
      <c r="L59" s="2">
        <f>PlantData!CB59</f>
        <v>0.86336455517906363</v>
      </c>
      <c r="M59" s="1">
        <f>PlantData!CH59</f>
        <v>1.0283363120119289</v>
      </c>
      <c r="N59" s="2">
        <f t="shared" si="2"/>
        <v>0.88782912259465774</v>
      </c>
      <c r="O59" s="225">
        <f t="shared" si="3"/>
        <v>0.68763512706017849</v>
      </c>
      <c r="P59" s="3">
        <f t="shared" si="4"/>
        <v>34.365499999999997</v>
      </c>
      <c r="Q59" s="225"/>
      <c r="R59" s="29"/>
    </row>
    <row r="60" spans="1:18" x14ac:dyDescent="0.3">
      <c r="A60">
        <f>PlantData!A60</f>
        <v>54</v>
      </c>
      <c r="B60">
        <f>PlantData!B60</f>
        <v>57202</v>
      </c>
      <c r="C60" t="str">
        <f>PlantData!C60</f>
        <v>Jacksonville</v>
      </c>
      <c r="D60" t="str">
        <f>PlantData!G60</f>
        <v>CdSCdTe</v>
      </c>
      <c r="E60" t="str">
        <f>PlantData!I60</f>
        <v>Fixed</v>
      </c>
      <c r="F60">
        <f>PlantData!J60</f>
        <v>20</v>
      </c>
      <c r="G60" t="str">
        <f>PlantData!K60</f>
        <v>FL</v>
      </c>
      <c r="H60" s="2">
        <f>PlantData!L60</f>
        <v>30.321000000000002</v>
      </c>
      <c r="I60" s="2">
        <f>PlantData!M60</f>
        <v>-81.956000000000003</v>
      </c>
      <c r="J60" s="3">
        <f>PlantData!S60</f>
        <v>44.7515</v>
      </c>
      <c r="K60" s="1">
        <f>PlantData!AZ60</f>
        <v>0.69495380043089883</v>
      </c>
      <c r="L60" s="2">
        <f>PlantData!CB60</f>
        <v>0.90474702116995132</v>
      </c>
      <c r="M60" s="1">
        <f>PlantData!CH60</f>
        <v>0.99174519500745562</v>
      </c>
      <c r="N60" s="2">
        <f t="shared" si="2"/>
        <v>0.89727851094260791</v>
      </c>
      <c r="O60" s="225">
        <f t="shared" si="3"/>
        <v>0.69495380043089883</v>
      </c>
      <c r="P60" s="3">
        <f t="shared" si="4"/>
        <v>44.7515</v>
      </c>
      <c r="Q60" s="225"/>
      <c r="R60" s="29"/>
    </row>
    <row r="61" spans="1:18" x14ac:dyDescent="0.3">
      <c r="A61">
        <f>PlantData!A61</f>
        <v>55</v>
      </c>
      <c r="B61">
        <f>PlantData!B61</f>
        <v>57525</v>
      </c>
      <c r="C61" t="str">
        <f>PlantData!C61</f>
        <v>Kapaa</v>
      </c>
      <c r="D61" t="str">
        <f>PlantData!G61</f>
        <v>c-Si</v>
      </c>
      <c r="E61" t="str">
        <f>PlantData!I61</f>
        <v>Fixed</v>
      </c>
      <c r="F61">
        <f>PlantData!J61</f>
        <v>20</v>
      </c>
      <c r="G61" t="str">
        <f>PlantData!K61</f>
        <v>HI</v>
      </c>
      <c r="H61" s="2">
        <f>PlantData!L61</f>
        <v>22.08</v>
      </c>
      <c r="I61" s="2">
        <f>PlantData!M61</f>
        <v>-159.33000000000001</v>
      </c>
      <c r="J61" s="3">
        <f>PlantData!S61</f>
        <v>49.765999999999991</v>
      </c>
      <c r="K61" s="1">
        <f>PlantData!AZ61</f>
        <v>0.78255648070843142</v>
      </c>
      <c r="L61" s="2">
        <f>PlantData!CB61</f>
        <v>1.0451530490491237</v>
      </c>
      <c r="M61" s="1">
        <f>PlantData!CH61</f>
        <v>0.96673431201192894</v>
      </c>
      <c r="N61" s="2">
        <f t="shared" si="2"/>
        <v>1.0103853138196743</v>
      </c>
      <c r="O61" s="225">
        <f t="shared" si="3"/>
        <v>0.78255648070843142</v>
      </c>
      <c r="P61" s="3">
        <f t="shared" si="4"/>
        <v>49.765999999999991</v>
      </c>
      <c r="Q61" s="225"/>
      <c r="R61" s="29"/>
    </row>
    <row r="62" spans="1:18" x14ac:dyDescent="0.3">
      <c r="A62">
        <f>PlantData!A62</f>
        <v>56</v>
      </c>
      <c r="B62">
        <f>PlantData!B62</f>
        <v>57412</v>
      </c>
      <c r="C62" t="str">
        <f>PlantData!C62</f>
        <v>Knouse</v>
      </c>
      <c r="D62" t="str">
        <f>PlantData!G62</f>
        <v>c-Si</v>
      </c>
      <c r="E62" t="str">
        <f>PlantData!I62</f>
        <v>Fixed</v>
      </c>
      <c r="F62">
        <f>PlantData!J62</f>
        <v>32</v>
      </c>
      <c r="G62" t="str">
        <f>PlantData!K62</f>
        <v>PA</v>
      </c>
      <c r="H62" s="2">
        <f>PlantData!L62</f>
        <v>40.026000000000003</v>
      </c>
      <c r="I62" s="2">
        <f>PlantData!M62</f>
        <v>-77.233999999999995</v>
      </c>
      <c r="J62" s="3">
        <f>PlantData!S62</f>
        <v>35.265500000000003</v>
      </c>
      <c r="K62" s="1">
        <f>PlantData!AZ62</f>
        <v>0.79287669893419366</v>
      </c>
      <c r="L62" s="2">
        <f>PlantData!CB62</f>
        <v>0.99899855886389732</v>
      </c>
      <c r="M62" s="1">
        <f>PlantData!CH62</f>
        <v>1.0247363120119288</v>
      </c>
      <c r="N62" s="2">
        <f t="shared" si="2"/>
        <v>1.023710098915422</v>
      </c>
      <c r="O62" s="225">
        <f t="shared" si="3"/>
        <v>0.79287669893419366</v>
      </c>
      <c r="P62" s="3">
        <f t="shared" si="4"/>
        <v>35.265500000000003</v>
      </c>
      <c r="Q62" s="225"/>
      <c r="R62" s="29"/>
    </row>
    <row r="63" spans="1:18" x14ac:dyDescent="0.3">
      <c r="A63">
        <f>PlantData!A63</f>
        <v>57</v>
      </c>
      <c r="B63">
        <f>PlantData!B63</f>
        <v>57381</v>
      </c>
      <c r="C63" t="str">
        <f>PlantData!C63</f>
        <v>Linden</v>
      </c>
      <c r="D63" t="str">
        <f>PlantData!G63</f>
        <v>c-Si</v>
      </c>
      <c r="E63" t="str">
        <f>PlantData!I63</f>
        <v>Fixed</v>
      </c>
      <c r="F63">
        <f>PlantData!J63</f>
        <v>20</v>
      </c>
      <c r="G63" t="str">
        <f>PlantData!K63</f>
        <v>NJ</v>
      </c>
      <c r="H63" s="2">
        <f>PlantData!L63</f>
        <v>40.619999999999997</v>
      </c>
      <c r="I63" s="2">
        <f>PlantData!M63</f>
        <v>-74.214399999999998</v>
      </c>
      <c r="J63" s="3">
        <f>PlantData!S63</f>
        <v>36.094000000000001</v>
      </c>
      <c r="K63" s="1">
        <f>PlantData!AZ63</f>
        <v>0.72775551792492243</v>
      </c>
      <c r="L63" s="2">
        <f>PlantData!CB63</f>
        <v>0.91992304657942037</v>
      </c>
      <c r="M63" s="1">
        <f>PlantData!CH63</f>
        <v>1.021422312011929</v>
      </c>
      <c r="N63" s="2">
        <f t="shared" si="2"/>
        <v>0.93962992511020904</v>
      </c>
      <c r="O63" s="225">
        <f t="shared" si="3"/>
        <v>0.72775551792492243</v>
      </c>
      <c r="P63" s="3">
        <f t="shared" si="4"/>
        <v>36.094000000000001</v>
      </c>
      <c r="Q63" s="225"/>
      <c r="R63" s="29"/>
    </row>
    <row r="64" spans="1:18" x14ac:dyDescent="0.3">
      <c r="A64">
        <f>PlantData!A64</f>
        <v>58</v>
      </c>
      <c r="B64">
        <f>PlantData!B64</f>
        <v>57314</v>
      </c>
      <c r="C64" t="str">
        <f>PlantData!C64</f>
        <v>LA Harbor College</v>
      </c>
      <c r="D64" t="str">
        <f>PlantData!G64</f>
        <v>c-Si</v>
      </c>
      <c r="E64" t="str">
        <f>PlantData!I64</f>
        <v>Fixed</v>
      </c>
      <c r="F64">
        <f>PlantData!J64</f>
        <v>2</v>
      </c>
      <c r="G64" t="str">
        <f>PlantData!K64</f>
        <v>CA</v>
      </c>
      <c r="H64" s="2">
        <f>PlantData!L64</f>
        <v>33.783000000000001</v>
      </c>
      <c r="I64" s="2">
        <f>PlantData!M64</f>
        <v>-118.285</v>
      </c>
      <c r="J64" s="3">
        <f>PlantData!S64</f>
        <v>43.194499999999998</v>
      </c>
      <c r="K64" s="1">
        <f>PlantData!AZ64</f>
        <v>0.57489085246060723</v>
      </c>
      <c r="L64" s="2">
        <f>PlantData!CB64</f>
        <v>0.74562835349594958</v>
      </c>
      <c r="M64" s="1">
        <f>PlantData!CH64</f>
        <v>0.99302031201192897</v>
      </c>
      <c r="N64" s="2">
        <f t="shared" si="2"/>
        <v>0.7404241002334887</v>
      </c>
      <c r="O64" s="225">
        <f t="shared" si="3"/>
        <v>0.57489085246060723</v>
      </c>
      <c r="P64" s="3">
        <f t="shared" si="4"/>
        <v>43.194499999999998</v>
      </c>
      <c r="Q64" s="225"/>
      <c r="R64" s="29"/>
    </row>
    <row r="65" spans="1:18" x14ac:dyDescent="0.3">
      <c r="A65">
        <f>PlantData!A65</f>
        <v>59</v>
      </c>
      <c r="B65">
        <f>PlantData!B65</f>
        <v>57313</v>
      </c>
      <c r="C65" t="str">
        <f>PlantData!C65</f>
        <v>Metro Support Services</v>
      </c>
      <c r="D65" t="str">
        <f>PlantData!G65</f>
        <v>c-Si</v>
      </c>
      <c r="E65" t="str">
        <f>PlantData!I65</f>
        <v>Fixed</v>
      </c>
      <c r="F65">
        <f>PlantData!J65</f>
        <v>5</v>
      </c>
      <c r="G65" t="str">
        <f>PlantData!K65</f>
        <v>CA</v>
      </c>
      <c r="H65" s="2">
        <f>PlantData!L65</f>
        <v>34.058</v>
      </c>
      <c r="I65" s="2">
        <f>PlantData!M65</f>
        <v>-118.23</v>
      </c>
      <c r="J65" s="3">
        <f>PlantData!S65</f>
        <v>42.358750000000001</v>
      </c>
      <c r="K65" s="1">
        <f>PlantData!AZ65</f>
        <v>0.5141699268196106</v>
      </c>
      <c r="L65" s="2">
        <f>PlantData!CB65</f>
        <v>0.6662853690633892</v>
      </c>
      <c r="M65" s="1">
        <f>PlantData!CH65</f>
        <v>0.99636331201192896</v>
      </c>
      <c r="N65" s="2">
        <f t="shared" si="2"/>
        <v>0.66386229706508892</v>
      </c>
      <c r="O65" s="225">
        <f t="shared" si="3"/>
        <v>0.5141699268196106</v>
      </c>
      <c r="P65" s="3">
        <f t="shared" si="4"/>
        <v>42.358750000000001</v>
      </c>
      <c r="Q65" s="225"/>
      <c r="R65" s="29"/>
    </row>
    <row r="66" spans="1:18" x14ac:dyDescent="0.3">
      <c r="A66">
        <f>PlantData!A66</f>
        <v>60</v>
      </c>
      <c r="B66">
        <f>PlantData!B66</f>
        <v>57270</v>
      </c>
      <c r="C66" t="str">
        <f>PlantData!C66</f>
        <v>NEDC Solar Site</v>
      </c>
      <c r="D66" t="str">
        <f>PlantData!G66</f>
        <v>c-Si</v>
      </c>
      <c r="E66" t="str">
        <f>PlantData!I66</f>
        <v>Fixed</v>
      </c>
      <c r="F66">
        <f>PlantData!J66</f>
        <v>2.4</v>
      </c>
      <c r="G66" t="str">
        <f>PlantData!K66</f>
        <v>MA</v>
      </c>
      <c r="H66" s="2">
        <f>PlantData!L66</f>
        <v>42.104999999999997</v>
      </c>
      <c r="I66" s="2">
        <f>PlantData!M66</f>
        <v>-71.702979999999997</v>
      </c>
      <c r="J66" s="3">
        <f>PlantData!S66</f>
        <v>30.490623999999997</v>
      </c>
      <c r="K66" s="1">
        <f>PlantData!AZ66</f>
        <v>0.69917284688845271</v>
      </c>
      <c r="L66" s="2">
        <f>PlantData!CB66</f>
        <v>0.86481595248123344</v>
      </c>
      <c r="M66" s="1">
        <f>PlantData!CH66</f>
        <v>1.043835816011929</v>
      </c>
      <c r="N66" s="2">
        <f t="shared" si="2"/>
        <v>0.90272586545838196</v>
      </c>
      <c r="O66" s="225">
        <f t="shared" si="3"/>
        <v>0.69917284688845271</v>
      </c>
      <c r="P66" s="3">
        <f t="shared" si="4"/>
        <v>30.490623999999997</v>
      </c>
      <c r="Q66" s="225"/>
      <c r="R66" s="29"/>
    </row>
    <row r="67" spans="1:18" x14ac:dyDescent="0.3">
      <c r="A67">
        <f>PlantData!A67</f>
        <v>61</v>
      </c>
      <c r="B67">
        <f>PlantData!B67</f>
        <v>57309</v>
      </c>
      <c r="C67" t="str">
        <f>PlantData!C67</f>
        <v>Pacific Cruise</v>
      </c>
      <c r="D67" t="str">
        <f>PlantData!G67</f>
        <v>c-Si</v>
      </c>
      <c r="E67" t="str">
        <f>PlantData!I67</f>
        <v>Fixed</v>
      </c>
      <c r="F67">
        <f>PlantData!J67</f>
        <v>5</v>
      </c>
      <c r="G67" t="str">
        <f>PlantData!K67</f>
        <v>CA</v>
      </c>
      <c r="H67" s="2">
        <f>PlantData!L67</f>
        <v>33.747</v>
      </c>
      <c r="I67" s="2">
        <f>PlantData!M67</f>
        <v>-118.277</v>
      </c>
      <c r="J67" s="3">
        <f>PlantData!S67</f>
        <v>43.194499999999998</v>
      </c>
      <c r="K67" s="1">
        <f>PlantData!AZ67</f>
        <v>0.26614232683588018</v>
      </c>
      <c r="L67" s="2">
        <f>PlantData!CB67</f>
        <v>0.34604067474432193</v>
      </c>
      <c r="M67" s="1">
        <f>PlantData!CH67</f>
        <v>0.99302031201192897</v>
      </c>
      <c r="N67" s="2">
        <f t="shared" si="2"/>
        <v>0.34362541880342501</v>
      </c>
      <c r="O67" s="225">
        <f t="shared" si="3"/>
        <v>0.26614232683588018</v>
      </c>
      <c r="P67" s="3">
        <f t="shared" si="4"/>
        <v>43.194499999999998</v>
      </c>
      <c r="Q67" s="225"/>
      <c r="R67" s="29"/>
    </row>
    <row r="68" spans="1:18" x14ac:dyDescent="0.3">
      <c r="A68">
        <f>PlantData!A68</f>
        <v>62</v>
      </c>
      <c r="B68">
        <f>PlantData!B68</f>
        <v>57367</v>
      </c>
      <c r="C68" t="str">
        <f>PlantData!C68</f>
        <v>Pocono</v>
      </c>
      <c r="D68" t="str">
        <f>PlantData!G68</f>
        <v>CdSCdTe</v>
      </c>
      <c r="E68" t="str">
        <f>PlantData!I68</f>
        <v>Fixed</v>
      </c>
      <c r="F68">
        <f>PlantData!J68</f>
        <v>25</v>
      </c>
      <c r="G68" t="str">
        <f>PlantData!K68</f>
        <v>PA</v>
      </c>
      <c r="H68" s="2">
        <f>PlantData!L68</f>
        <v>41.061</v>
      </c>
      <c r="I68" s="2">
        <f>PlantData!M68</f>
        <v>-75.515000000000001</v>
      </c>
      <c r="J68" s="3">
        <f>PlantData!S68</f>
        <v>32.350999999999999</v>
      </c>
      <c r="K68" s="1">
        <f>PlantData!AZ68</f>
        <v>0.75758069597905331</v>
      </c>
      <c r="L68" s="2">
        <f>PlantData!CB68</f>
        <v>0.95638389421698122</v>
      </c>
      <c r="M68" s="1">
        <f>PlantData!CH68</f>
        <v>1.0227464450074555</v>
      </c>
      <c r="N68" s="2">
        <f t="shared" si="2"/>
        <v>0.97813822787280391</v>
      </c>
      <c r="O68" s="225">
        <f t="shared" si="3"/>
        <v>0.75758069597905331</v>
      </c>
      <c r="P68" s="3">
        <f t="shared" si="4"/>
        <v>32.350999999999999</v>
      </c>
      <c r="Q68" s="225"/>
      <c r="R68" s="29"/>
    </row>
    <row r="69" spans="1:18" x14ac:dyDescent="0.3">
      <c r="A69">
        <f>PlantData!A69</f>
        <v>63</v>
      </c>
      <c r="B69">
        <f>PlantData!B69</f>
        <v>57507</v>
      </c>
      <c r="C69" t="str">
        <f>PlantData!C69</f>
        <v>RV CSU Power II</v>
      </c>
      <c r="D69" t="str">
        <f>PlantData!G69</f>
        <v>c-Si</v>
      </c>
      <c r="E69" t="str">
        <f>PlantData!I69</f>
        <v>Fixed</v>
      </c>
      <c r="F69">
        <f>PlantData!J69</f>
        <v>25</v>
      </c>
      <c r="G69" t="str">
        <f>PlantData!K69</f>
        <v>CO</v>
      </c>
      <c r="H69" s="2">
        <f>PlantData!L69</f>
        <v>40.593000000000004</v>
      </c>
      <c r="I69" s="2">
        <f>PlantData!M69</f>
        <v>-105.14700000000001</v>
      </c>
      <c r="J69" s="3">
        <f>PlantData!S69</f>
        <v>36.308999999999997</v>
      </c>
      <c r="K69" s="1">
        <f>PlantData!AZ69</f>
        <v>0.63389344703513084</v>
      </c>
      <c r="L69" s="2">
        <f>PlantData!CB69</f>
        <v>0.80195143430654292</v>
      </c>
      <c r="M69" s="1">
        <f>PlantData!CH69</f>
        <v>1.0205623120119289</v>
      </c>
      <c r="N69" s="2">
        <f t="shared" si="2"/>
        <v>0.81844140991716796</v>
      </c>
      <c r="O69" s="225">
        <f t="shared" si="3"/>
        <v>0.63389344703513084</v>
      </c>
      <c r="P69" s="3">
        <f t="shared" si="4"/>
        <v>36.308999999999997</v>
      </c>
      <c r="Q69" s="225"/>
      <c r="R69" s="29"/>
    </row>
    <row r="70" spans="1:18" x14ac:dyDescent="0.3">
      <c r="A70">
        <f>PlantData!A70</f>
        <v>64</v>
      </c>
      <c r="B70">
        <f>PlantData!B70</f>
        <v>57579</v>
      </c>
      <c r="C70" t="str">
        <f>PlantData!C70</f>
        <v>Robert O Schulz</v>
      </c>
      <c r="D70" t="str">
        <f>PlantData!G70</f>
        <v>c-Si</v>
      </c>
      <c r="E70" t="str">
        <f>PlantData!I70</f>
        <v>Tracker</v>
      </c>
      <c r="F70">
        <f>PlantData!J70</f>
        <v>0</v>
      </c>
      <c r="G70" t="str">
        <f>PlantData!K70</f>
        <v>CA</v>
      </c>
      <c r="H70" s="2">
        <f>PlantData!L70</f>
        <v>37.857999999999997</v>
      </c>
      <c r="I70" s="2">
        <f>PlantData!M70</f>
        <v>-120.8917</v>
      </c>
      <c r="J70" s="3">
        <f>PlantData!S70</f>
        <v>44.986899999999999</v>
      </c>
      <c r="K70" s="1">
        <f>PlantData!AZ70</f>
        <v>0.65368787324682243</v>
      </c>
      <c r="L70" s="2">
        <f>PlantData!CB70</f>
        <v>0.90564218391443563</v>
      </c>
      <c r="M70" s="1">
        <f>PlantData!CH70</f>
        <v>0.98585071201192898</v>
      </c>
      <c r="N70" s="2">
        <f t="shared" si="2"/>
        <v>0.89282799184008466</v>
      </c>
      <c r="O70" s="225"/>
      <c r="P70" s="3"/>
      <c r="Q70" s="225">
        <f t="shared" si="0"/>
        <v>0.65368787324682243</v>
      </c>
      <c r="R70" s="29">
        <f t="shared" si="1"/>
        <v>44.986899999999999</v>
      </c>
    </row>
    <row r="71" spans="1:18" x14ac:dyDescent="0.3">
      <c r="A71">
        <f>PlantData!A71</f>
        <v>65</v>
      </c>
      <c r="B71">
        <f>PlantData!B71</f>
        <v>57524</v>
      </c>
      <c r="C71" t="str">
        <f>PlantData!C71</f>
        <v>Roger Rd. WWTP SunE</v>
      </c>
      <c r="D71" t="str">
        <f>PlantData!G71</f>
        <v>c-Si</v>
      </c>
      <c r="E71" t="str">
        <f>PlantData!I71</f>
        <v>Tracker</v>
      </c>
      <c r="F71">
        <f>PlantData!J71</f>
        <v>0</v>
      </c>
      <c r="G71" t="str">
        <f>PlantData!K71</f>
        <v>AZ</v>
      </c>
      <c r="H71" s="2">
        <f>PlantData!L71</f>
        <v>32.289400000000001</v>
      </c>
      <c r="I71" s="2">
        <f>PlantData!M71</f>
        <v>-111.0331</v>
      </c>
      <c r="J71" s="3">
        <f>PlantData!S71</f>
        <v>52.539924999999997</v>
      </c>
      <c r="K71" s="1">
        <f>PlantData!AZ71</f>
        <v>0.48128581096867656</v>
      </c>
      <c r="L71" s="2">
        <f>PlantData!CB71</f>
        <v>0.6844742218646962</v>
      </c>
      <c r="M71" s="1">
        <f>PlantData!CH71</f>
        <v>0.9556386120119289</v>
      </c>
      <c r="N71" s="2">
        <f t="shared" si="2"/>
        <v>0.65410999534072334</v>
      </c>
      <c r="O71" s="225"/>
      <c r="P71" s="3"/>
      <c r="Q71" s="225">
        <f t="shared" si="0"/>
        <v>0.48128581096867656</v>
      </c>
      <c r="R71" s="29">
        <f t="shared" si="1"/>
        <v>52.539924999999997</v>
      </c>
    </row>
    <row r="72" spans="1:18" x14ac:dyDescent="0.3">
      <c r="A72">
        <f>PlantData!A72</f>
        <v>66</v>
      </c>
      <c r="B72">
        <f>PlantData!B72</f>
        <v>57200</v>
      </c>
      <c r="C72" t="str">
        <f>PlantData!C72</f>
        <v>Shelby</v>
      </c>
      <c r="D72" t="str">
        <f>PlantData!G72</f>
        <v>Si_IBC</v>
      </c>
      <c r="E72" t="str">
        <f>PlantData!I72</f>
        <v>Tracker</v>
      </c>
      <c r="F72">
        <f>PlantData!J72</f>
        <v>0</v>
      </c>
      <c r="G72" t="str">
        <f>PlantData!K72</f>
        <v>NC</v>
      </c>
      <c r="H72" s="2">
        <f>PlantData!L72</f>
        <v>35.253599999999999</v>
      </c>
      <c r="I72" s="2">
        <f>PlantData!M72</f>
        <v>-81.595600000000005</v>
      </c>
      <c r="J72" s="3">
        <f>PlantData!S72</f>
        <v>42.007649999999998</v>
      </c>
      <c r="K72" s="1">
        <f>PlantData!AZ72</f>
        <v>0.70715269789244106</v>
      </c>
      <c r="L72" s="2">
        <f>PlantData!CB72</f>
        <v>0.96323329069185337</v>
      </c>
      <c r="M72" s="1">
        <f>PlantData!CH72</f>
        <v>0.99776771201192893</v>
      </c>
      <c r="N72" s="2">
        <f t="shared" ref="N72:N106" si="5">L72*M72</f>
        <v>0.96108307658733183</v>
      </c>
      <c r="O72" s="225"/>
      <c r="P72" s="3"/>
      <c r="Q72" s="225">
        <f t="shared" ref="Q72:Q105" si="6">IF($E72="Tracker",$K72,"")</f>
        <v>0.70715269789244106</v>
      </c>
      <c r="R72" s="29">
        <f t="shared" ref="R72:R105" si="7">IF($E72="Tracker",$J72,"")</f>
        <v>42.007649999999998</v>
      </c>
    </row>
    <row r="73" spans="1:18" x14ac:dyDescent="0.3">
      <c r="A73">
        <f>PlantData!A73</f>
        <v>67</v>
      </c>
      <c r="B73">
        <f>PlantData!B73</f>
        <v>57341</v>
      </c>
      <c r="C73" t="str">
        <f>PlantData!C73</f>
        <v>Silver Lake</v>
      </c>
      <c r="D73" t="str">
        <f>PlantData!G73</f>
        <v>c-Si</v>
      </c>
      <c r="E73" t="str">
        <f>PlantData!I73</f>
        <v>Fixed</v>
      </c>
      <c r="F73">
        <f>PlantData!J73</f>
        <v>20</v>
      </c>
      <c r="G73" t="str">
        <f>PlantData!K73</f>
        <v>NJ</v>
      </c>
      <c r="H73" s="2">
        <f>PlantData!L73</f>
        <v>40.494799999999998</v>
      </c>
      <c r="I73" s="2">
        <f>PlantData!M73</f>
        <v>-74.399510000000006</v>
      </c>
      <c r="J73" s="3">
        <f>PlantData!S73</f>
        <v>36.094000000000001</v>
      </c>
      <c r="K73" s="1">
        <f>PlantData!AZ73</f>
        <v>0.76159808706009935</v>
      </c>
      <c r="L73" s="2">
        <f>PlantData!CB73</f>
        <v>0.96270191741735811</v>
      </c>
      <c r="M73" s="1">
        <f>PlantData!CH73</f>
        <v>1.021422312011929</v>
      </c>
      <c r="N73" s="2">
        <f t="shared" si="5"/>
        <v>0.98332521826675512</v>
      </c>
      <c r="O73" s="225">
        <f t="shared" ref="O73:O106" si="8">IF($E73="Fixed",$K73,"")</f>
        <v>0.76159808706009935</v>
      </c>
      <c r="P73" s="3">
        <f t="shared" ref="P73:P106" si="9">IF($E73="Fixed",$J73,"")</f>
        <v>36.094000000000001</v>
      </c>
      <c r="Q73" s="225"/>
      <c r="R73" s="29"/>
    </row>
    <row r="74" spans="1:18" x14ac:dyDescent="0.3">
      <c r="A74">
        <f>PlantData!A74</f>
        <v>68</v>
      </c>
      <c r="B74">
        <f>PlantData!B74</f>
        <v>56930</v>
      </c>
      <c r="C74" t="str">
        <f>PlantData!C74</f>
        <v>Space Coast</v>
      </c>
      <c r="D74" t="str">
        <f>PlantData!G74</f>
        <v>c-Si</v>
      </c>
      <c r="E74" t="str">
        <f>PlantData!I74</f>
        <v>Fixed</v>
      </c>
      <c r="F74">
        <f>PlantData!J74</f>
        <v>20</v>
      </c>
      <c r="G74" t="str">
        <f>PlantData!K74</f>
        <v>FL</v>
      </c>
      <c r="H74" s="2">
        <f>PlantData!L74</f>
        <v>28.486000000000001</v>
      </c>
      <c r="I74" s="2">
        <f>PlantData!M74</f>
        <v>-80.680999999999997</v>
      </c>
      <c r="J74" s="3">
        <f>PlantData!S74</f>
        <v>46.866</v>
      </c>
      <c r="K74" s="1">
        <f>PlantData!AZ74</f>
        <v>0.73976911402141288</v>
      </c>
      <c r="L74" s="2">
        <f>PlantData!CB74</f>
        <v>0.97629315081514711</v>
      </c>
      <c r="M74" s="1">
        <f>PlantData!CH74</f>
        <v>0.978334312011929</v>
      </c>
      <c r="N74" s="2">
        <f t="shared" si="5"/>
        <v>0.95514108802469544</v>
      </c>
      <c r="O74" s="225">
        <f t="shared" si="8"/>
        <v>0.73976911402141288</v>
      </c>
      <c r="P74" s="3">
        <f t="shared" si="9"/>
        <v>46.866</v>
      </c>
      <c r="Q74" s="225"/>
      <c r="R74" s="29"/>
    </row>
    <row r="75" spans="1:18" x14ac:dyDescent="0.3">
      <c r="A75">
        <f>PlantData!A75</f>
        <v>69</v>
      </c>
      <c r="B75">
        <f>PlantData!B75</f>
        <v>57559</v>
      </c>
      <c r="C75" t="str">
        <f>PlantData!C75</f>
        <v>Sunset Reservoir</v>
      </c>
      <c r="D75" t="str">
        <f>PlantData!G75</f>
        <v>c-Si</v>
      </c>
      <c r="E75" t="str">
        <f>PlantData!I75</f>
        <v>Fixed</v>
      </c>
      <c r="F75">
        <f>PlantData!J75</f>
        <v>5</v>
      </c>
      <c r="G75" t="str">
        <f>PlantData!K75</f>
        <v>CA</v>
      </c>
      <c r="H75" s="2">
        <f>PlantData!L75</f>
        <v>37.750900000000001</v>
      </c>
      <c r="I75" s="2">
        <f>PlantData!M75</f>
        <v>-122.482</v>
      </c>
      <c r="J75" s="3">
        <f>PlantData!S75</f>
        <v>38.515749999999997</v>
      </c>
      <c r="K75" s="1">
        <f>PlantData!AZ75</f>
        <v>0.71070412965880703</v>
      </c>
      <c r="L75" s="2">
        <f>PlantData!CB75</f>
        <v>0.90697071291573272</v>
      </c>
      <c r="M75" s="1">
        <f>PlantData!CH75</f>
        <v>1.011735312011929</v>
      </c>
      <c r="N75" s="2">
        <f t="shared" si="5"/>
        <v>0.91761429721748056</v>
      </c>
      <c r="O75" s="225">
        <f t="shared" si="8"/>
        <v>0.71070412965880703</v>
      </c>
      <c r="P75" s="3">
        <f t="shared" si="9"/>
        <v>38.515749999999997</v>
      </c>
      <c r="Q75" s="225"/>
      <c r="R75" s="29"/>
    </row>
    <row r="76" spans="1:18" x14ac:dyDescent="0.3">
      <c r="A76">
        <f>PlantData!A76</f>
        <v>70</v>
      </c>
      <c r="B76">
        <f>PlantData!B76</f>
        <v>57402</v>
      </c>
      <c r="C76" t="str">
        <f>PlantData!C76</f>
        <v>Taylorsville</v>
      </c>
      <c r="D76" t="str">
        <f>PlantData!G76</f>
        <v>c-Si</v>
      </c>
      <c r="E76" t="str">
        <f>PlantData!I76</f>
        <v>Tracker</v>
      </c>
      <c r="F76">
        <f>PlantData!J76</f>
        <v>0</v>
      </c>
      <c r="G76" t="str">
        <f>PlantData!K76</f>
        <v>NC</v>
      </c>
      <c r="H76" s="2">
        <f>PlantData!L76</f>
        <v>35.908999999999999</v>
      </c>
      <c r="I76" s="2">
        <f>PlantData!M76</f>
        <v>-81.152000000000001</v>
      </c>
      <c r="J76" s="3">
        <f>PlantData!S76</f>
        <v>42.007649999999998</v>
      </c>
      <c r="K76" s="1">
        <f>PlantData!AZ76</f>
        <v>0.62554158532350146</v>
      </c>
      <c r="L76" s="2">
        <f>PlantData!CB76</f>
        <v>0.85206841675290124</v>
      </c>
      <c r="M76" s="1">
        <f>PlantData!CH76</f>
        <v>0.99776771201192893</v>
      </c>
      <c r="N76" s="2">
        <f t="shared" si="5"/>
        <v>0.85016635466116897</v>
      </c>
      <c r="O76" s="225"/>
      <c r="P76" s="3"/>
      <c r="Q76" s="225">
        <f t="shared" si="6"/>
        <v>0.62554158532350146</v>
      </c>
      <c r="R76" s="29">
        <f t="shared" si="7"/>
        <v>42.007649999999998</v>
      </c>
    </row>
    <row r="77" spans="1:18" x14ac:dyDescent="0.3">
      <c r="A77">
        <f>PlantData!A77</f>
        <v>71</v>
      </c>
      <c r="B77">
        <f>PlantData!B77</f>
        <v>57352</v>
      </c>
      <c r="C77" t="str">
        <f>PlantData!C77</f>
        <v>Trenton</v>
      </c>
      <c r="D77" t="str">
        <f>PlantData!G77</f>
        <v>c-Si</v>
      </c>
      <c r="E77" t="str">
        <f>PlantData!I77</f>
        <v>Fixed</v>
      </c>
      <c r="F77">
        <f>PlantData!J77</f>
        <v>20</v>
      </c>
      <c r="G77" t="str">
        <f>PlantData!K77</f>
        <v>NJ</v>
      </c>
      <c r="H77" s="2">
        <f>PlantData!L77</f>
        <v>40.231400000000001</v>
      </c>
      <c r="I77" s="2">
        <f>PlantData!M77</f>
        <v>-74.753900000000002</v>
      </c>
      <c r="J77" s="3">
        <f>PlantData!S77</f>
        <v>36.0655</v>
      </c>
      <c r="K77" s="1">
        <f>PlantData!AZ77</f>
        <v>0.72321741568306097</v>
      </c>
      <c r="L77" s="2">
        <f>PlantData!CB77</f>
        <v>0.91182231159603933</v>
      </c>
      <c r="M77" s="1">
        <f>PlantData!CH77</f>
        <v>1.021536312011929</v>
      </c>
      <c r="N77" s="2">
        <f t="shared" si="5"/>
        <v>0.93145960139800998</v>
      </c>
      <c r="O77" s="225">
        <f t="shared" si="8"/>
        <v>0.72321741568306097</v>
      </c>
      <c r="P77" s="3">
        <f t="shared" si="9"/>
        <v>36.0655</v>
      </c>
      <c r="Q77" s="225"/>
      <c r="R77" s="29"/>
    </row>
    <row r="78" spans="1:18" x14ac:dyDescent="0.3">
      <c r="A78">
        <f>PlantData!A78</f>
        <v>72</v>
      </c>
      <c r="B78">
        <f>PlantData!B78</f>
        <v>57392</v>
      </c>
      <c r="C78" t="str">
        <f>PlantData!C78</f>
        <v>UASTP I</v>
      </c>
      <c r="D78" t="str">
        <f>PlantData!G78</f>
        <v>c-Si</v>
      </c>
      <c r="E78" t="str">
        <f>PlantData!I78</f>
        <v>Tracker</v>
      </c>
      <c r="F78">
        <f>PlantData!J78</f>
        <v>0</v>
      </c>
      <c r="G78" t="str">
        <f>PlantData!K78</f>
        <v>AZ</v>
      </c>
      <c r="H78" s="2">
        <f>PlantData!L78</f>
        <v>32.098999999999997</v>
      </c>
      <c r="I78" s="2">
        <f>PlantData!M78</f>
        <v>-110.81100000000001</v>
      </c>
      <c r="J78" s="3">
        <f>PlantData!S78</f>
        <v>52.539924999999997</v>
      </c>
      <c r="K78" s="1">
        <f>PlantData!AZ78</f>
        <v>0.44390948452093781</v>
      </c>
      <c r="L78" s="2">
        <f>PlantData!CB78</f>
        <v>0.62975594795750789</v>
      </c>
      <c r="M78" s="1">
        <f>PlantData!CH78</f>
        <v>0.9556386120119289</v>
      </c>
      <c r="N78" s="2">
        <f t="shared" si="5"/>
        <v>0.60181910001236938</v>
      </c>
      <c r="O78" s="225"/>
      <c r="P78" s="3"/>
      <c r="Q78" s="225">
        <f t="shared" si="6"/>
        <v>0.44390948452093781</v>
      </c>
      <c r="R78" s="29">
        <f t="shared" si="7"/>
        <v>52.539924999999997</v>
      </c>
    </row>
    <row r="79" spans="1:18" x14ac:dyDescent="0.3">
      <c r="A79">
        <f>PlantData!A79</f>
        <v>73</v>
      </c>
      <c r="B79">
        <f>PlantData!B79</f>
        <v>57383</v>
      </c>
      <c r="C79" t="str">
        <f>PlantData!C79</f>
        <v>WEA Texas Bayonne</v>
      </c>
      <c r="D79" t="str">
        <f>PlantData!G79</f>
        <v>c-Si</v>
      </c>
      <c r="E79" t="str">
        <f>PlantData!I79</f>
        <v>Fixed</v>
      </c>
      <c r="F79">
        <f>PlantData!J79</f>
        <v>13</v>
      </c>
      <c r="G79" t="str">
        <f>PlantData!K79</f>
        <v>NJ</v>
      </c>
      <c r="H79" s="2">
        <f>PlantData!L79</f>
        <v>40.677199999999999</v>
      </c>
      <c r="I79" s="2">
        <f>PlantData!M79</f>
        <v>-74.091899999999995</v>
      </c>
      <c r="J79" s="3">
        <f>PlantData!S79</f>
        <v>35.41525</v>
      </c>
      <c r="K79" s="1">
        <f>PlantData!AZ79</f>
        <v>0.71557778748420764</v>
      </c>
      <c r="L79" s="2">
        <f>PlantData!CB79</f>
        <v>0.90213180588160924</v>
      </c>
      <c r="M79" s="1">
        <f>PlantData!CH79</f>
        <v>1.024137312011929</v>
      </c>
      <c r="N79" s="2">
        <f t="shared" si="5"/>
        <v>0.92390684275605861</v>
      </c>
      <c r="O79" s="225">
        <f t="shared" si="8"/>
        <v>0.71557778748420764</v>
      </c>
      <c r="P79" s="3">
        <f t="shared" si="9"/>
        <v>35.41525</v>
      </c>
      <c r="Q79" s="225"/>
      <c r="R79" s="29"/>
    </row>
    <row r="80" spans="1:18" x14ac:dyDescent="0.3">
      <c r="A80">
        <f>PlantData!A80</f>
        <v>74</v>
      </c>
      <c r="B80">
        <f>PlantData!B80</f>
        <v>57203</v>
      </c>
      <c r="C80" t="str">
        <f>PlantData!C80</f>
        <v>Wyandot</v>
      </c>
      <c r="D80" t="str">
        <f>PlantData!G80</f>
        <v>CdSCdTe</v>
      </c>
      <c r="E80" t="str">
        <f>PlantData!I80</f>
        <v>Fixed</v>
      </c>
      <c r="F80">
        <f>PlantData!J80</f>
        <v>25</v>
      </c>
      <c r="G80" t="str">
        <f>PlantData!K80</f>
        <v>OH</v>
      </c>
      <c r="H80" s="2">
        <f>PlantData!L80</f>
        <v>40.8795</v>
      </c>
      <c r="I80" s="2">
        <f>PlantData!M80</f>
        <v>-83.316999999999993</v>
      </c>
      <c r="J80" s="3">
        <f>PlantData!S80</f>
        <v>32.551000000000002</v>
      </c>
      <c r="K80" s="1">
        <f>PlantData!AZ80</f>
        <v>0.71342379829717262</v>
      </c>
      <c r="L80" s="2">
        <f>PlantData!CB80</f>
        <v>0.90331368903344955</v>
      </c>
      <c r="M80" s="1">
        <f>PlantData!CH80</f>
        <v>1.0222464450074555</v>
      </c>
      <c r="N80" s="2">
        <f t="shared" si="5"/>
        <v>0.92340920734101395</v>
      </c>
      <c r="O80" s="225">
        <f t="shared" si="8"/>
        <v>0.71342379829717262</v>
      </c>
      <c r="P80" s="3">
        <f t="shared" si="9"/>
        <v>32.551000000000002</v>
      </c>
      <c r="Q80" s="225"/>
      <c r="R80" s="29"/>
    </row>
    <row r="81" spans="1:18" x14ac:dyDescent="0.3">
      <c r="A81">
        <f>PlantData!A81</f>
        <v>75</v>
      </c>
      <c r="B81">
        <f>PlantData!B81</f>
        <v>57382</v>
      </c>
      <c r="C81" t="str">
        <f>PlantData!C81</f>
        <v>Yardville</v>
      </c>
      <c r="D81" t="str">
        <f>PlantData!G81</f>
        <v>c-Si</v>
      </c>
      <c r="E81" t="str">
        <f>PlantData!I81</f>
        <v>Fixed</v>
      </c>
      <c r="F81">
        <f>PlantData!J81</f>
        <v>15</v>
      </c>
      <c r="G81" t="str">
        <f>PlantData!K81</f>
        <v>NJ</v>
      </c>
      <c r="H81" s="2">
        <f>PlantData!L81</f>
        <v>40.168799999999997</v>
      </c>
      <c r="I81" s="2">
        <f>PlantData!M81</f>
        <v>-74.656700000000001</v>
      </c>
      <c r="J81" s="3">
        <f>PlantData!S81</f>
        <v>35.386749999999999</v>
      </c>
      <c r="K81" s="1">
        <f>PlantData!AZ81</f>
        <v>0.79337212178219252</v>
      </c>
      <c r="L81" s="2">
        <f>PlantData!CB81</f>
        <v>1.0000961133344008</v>
      </c>
      <c r="M81" s="1">
        <f>PlantData!CH81</f>
        <v>1.024251312011929</v>
      </c>
      <c r="N81" s="2">
        <f t="shared" si="5"/>
        <v>1.0243497562207908</v>
      </c>
      <c r="O81" s="225">
        <f t="shared" si="8"/>
        <v>0.79337212178219252</v>
      </c>
      <c r="P81" s="3">
        <f t="shared" si="9"/>
        <v>35.386749999999999</v>
      </c>
      <c r="Q81" s="225"/>
      <c r="R81" s="29"/>
    </row>
    <row r="82" spans="1:18" x14ac:dyDescent="0.3">
      <c r="A82">
        <f>PlantData!A82</f>
        <v>76</v>
      </c>
      <c r="B82">
        <f>PlantData!B82</f>
        <v>57422</v>
      </c>
      <c r="C82" t="str">
        <f>PlantData!C82</f>
        <v>Yolo County</v>
      </c>
      <c r="D82" t="str">
        <f>PlantData!G82</f>
        <v>Si_IBC</v>
      </c>
      <c r="E82" t="str">
        <f>PlantData!I82</f>
        <v>Tracker</v>
      </c>
      <c r="F82">
        <f>PlantData!J82</f>
        <v>0</v>
      </c>
      <c r="G82" t="str">
        <f>PlantData!K82</f>
        <v>CA</v>
      </c>
      <c r="H82" s="2">
        <f>PlantData!L82</f>
        <v>38.659700000000001</v>
      </c>
      <c r="I82" s="2">
        <f>PlantData!M82</f>
        <v>-121.7294</v>
      </c>
      <c r="J82" s="3">
        <f>PlantData!S82</f>
        <v>44.986899999999999</v>
      </c>
      <c r="K82" s="1">
        <f>PlantData!AZ82</f>
        <v>0.5416092141542076</v>
      </c>
      <c r="L82" s="2">
        <f>PlantData!CB82</f>
        <v>0.74665953776972915</v>
      </c>
      <c r="M82" s="1">
        <f>PlantData!CH82</f>
        <v>0.98585071201192898</v>
      </c>
      <c r="N82" s="2">
        <f t="shared" si="5"/>
        <v>0.73609483694078526</v>
      </c>
      <c r="O82" s="225"/>
      <c r="P82" s="3"/>
      <c r="Q82" s="225">
        <f t="shared" si="6"/>
        <v>0.5416092141542076</v>
      </c>
      <c r="R82" s="29">
        <f t="shared" si="7"/>
        <v>44.986899999999999</v>
      </c>
    </row>
    <row r="83" spans="1:18" x14ac:dyDescent="0.3">
      <c r="A83">
        <f>PlantData!A83</f>
        <v>77</v>
      </c>
      <c r="B83">
        <f>PlantData!B83</f>
        <v>57310</v>
      </c>
      <c r="C83" t="str">
        <f>PlantData!C83</f>
        <v>1420 Coil Av #C</v>
      </c>
      <c r="D83" t="str">
        <f>PlantData!G83</f>
        <v>c-Si</v>
      </c>
      <c r="E83" t="str">
        <f>PlantData!I83</f>
        <v>Fixed</v>
      </c>
      <c r="F83">
        <f>PlantData!J83</f>
        <v>10</v>
      </c>
      <c r="G83" t="str">
        <f>PlantData!K83</f>
        <v>CA</v>
      </c>
      <c r="H83" s="2">
        <f>PlantData!L83</f>
        <v>33.795000000000002</v>
      </c>
      <c r="I83" s="2">
        <f>PlantData!M83</f>
        <v>-118.241</v>
      </c>
      <c r="J83" s="3">
        <f>PlantData!S83</f>
        <v>43.601749999999996</v>
      </c>
      <c r="K83" s="1">
        <f>PlantData!AZ83</f>
        <v>0.66025996210801141</v>
      </c>
      <c r="L83" s="2">
        <f>PlantData!CB83</f>
        <v>0.85563375268615716</v>
      </c>
      <c r="M83" s="1">
        <f>PlantData!CH83</f>
        <v>0.99139131201192898</v>
      </c>
      <c r="N83" s="2">
        <f t="shared" si="5"/>
        <v>0.84826786867721971</v>
      </c>
      <c r="O83" s="225">
        <f t="shared" si="8"/>
        <v>0.66025996210801141</v>
      </c>
      <c r="P83" s="3">
        <f t="shared" si="9"/>
        <v>43.601749999999996</v>
      </c>
      <c r="Q83" s="225"/>
      <c r="R83" s="29"/>
    </row>
    <row r="84" spans="1:18" x14ac:dyDescent="0.3">
      <c r="A84">
        <f>PlantData!A84</f>
        <v>78</v>
      </c>
      <c r="B84">
        <f>PlantData!B84</f>
        <v>57458</v>
      </c>
      <c r="C84" t="str">
        <f>PlantData!C84</f>
        <v>145 Talmadge</v>
      </c>
      <c r="D84" t="str">
        <f>PlantData!G84</f>
        <v>c-Si</v>
      </c>
      <c r="E84" t="str">
        <f>PlantData!I84</f>
        <v>Fixed</v>
      </c>
      <c r="F84">
        <f>PlantData!J84</f>
        <v>10</v>
      </c>
      <c r="G84" t="str">
        <f>PlantData!K84</f>
        <v>NJ</v>
      </c>
      <c r="H84" s="2">
        <f>PlantData!L84</f>
        <v>40.536000000000001</v>
      </c>
      <c r="I84" s="2">
        <f>PlantData!M84</f>
        <v>-74.391300000000001</v>
      </c>
      <c r="J84" s="3">
        <f>PlantData!S84</f>
        <v>35.41525</v>
      </c>
      <c r="K84" s="1">
        <f>PlantData!AZ84</f>
        <v>0.74653744591602134</v>
      </c>
      <c r="L84" s="2">
        <f>PlantData!CB84</f>
        <v>0.9388334517476713</v>
      </c>
      <c r="M84" s="1">
        <f>PlantData!CH84</f>
        <v>1.024137312011929</v>
      </c>
      <c r="N84" s="2">
        <f t="shared" si="5"/>
        <v>0.96149436769974117</v>
      </c>
      <c r="O84" s="225">
        <f t="shared" si="8"/>
        <v>0.74653744591602134</v>
      </c>
      <c r="P84" s="3">
        <f t="shared" si="9"/>
        <v>35.41525</v>
      </c>
      <c r="Q84" s="225"/>
      <c r="R84" s="29"/>
    </row>
    <row r="85" spans="1:18" x14ac:dyDescent="0.3">
      <c r="A85">
        <f>PlantData!A85</f>
        <v>79</v>
      </c>
      <c r="B85">
        <f>PlantData!B85</f>
        <v>57652</v>
      </c>
      <c r="C85" t="str">
        <f>PlantData!C85</f>
        <v>Yamhill Solar LLC</v>
      </c>
      <c r="D85" t="str">
        <f>PlantData!G85</f>
        <v>c-Si</v>
      </c>
      <c r="E85" t="str">
        <f>PlantData!I85</f>
        <v>Fixed</v>
      </c>
      <c r="F85">
        <f>PlantData!J85</f>
        <v>28</v>
      </c>
      <c r="G85" t="str">
        <f>PlantData!K85</f>
        <v>OR</v>
      </c>
      <c r="H85" s="2">
        <f>PlantData!L85</f>
        <v>45.108890000000002</v>
      </c>
      <c r="I85" s="2">
        <f>PlantData!M85</f>
        <v>-123.27861</v>
      </c>
      <c r="J85" s="3">
        <f>PlantData!S85</f>
        <v>34.051000000000002</v>
      </c>
      <c r="K85" s="1">
        <f>PlantData!AZ85</f>
        <v>0.57289277001802663</v>
      </c>
      <c r="L85" s="2">
        <f>PlantData!CB85</f>
        <v>0.71664216108131984</v>
      </c>
      <c r="M85" s="1">
        <f>PlantData!CH85</f>
        <v>1.0295943120119289</v>
      </c>
      <c r="N85" s="2">
        <f t="shared" si="5"/>
        <v>0.73785069279726345</v>
      </c>
      <c r="O85" s="225">
        <f t="shared" si="8"/>
        <v>0.57289277001802663</v>
      </c>
      <c r="P85" s="3">
        <f t="shared" si="9"/>
        <v>34.051000000000002</v>
      </c>
      <c r="Q85" s="225"/>
      <c r="R85" s="29"/>
    </row>
    <row r="86" spans="1:18" x14ac:dyDescent="0.3">
      <c r="A86">
        <f>PlantData!A86</f>
        <v>80</v>
      </c>
      <c r="B86">
        <f>PlantData!B86</f>
        <v>57554</v>
      </c>
      <c r="C86" t="str">
        <f>PlantData!C86</f>
        <v>AFA Solar Farm</v>
      </c>
      <c r="D86" t="str">
        <f>PlantData!G86</f>
        <v>c-Si</v>
      </c>
      <c r="E86" t="str">
        <f>PlantData!I86</f>
        <v>Tracker</v>
      </c>
      <c r="F86">
        <f>PlantData!J86</f>
        <v>0</v>
      </c>
      <c r="G86" t="str">
        <f>PlantData!K86</f>
        <v>CO</v>
      </c>
      <c r="H86" s="2">
        <f>PlantData!L86</f>
        <v>38.957900000000002</v>
      </c>
      <c r="I86" s="2">
        <f>PlantData!M86</f>
        <v>-104.806</v>
      </c>
      <c r="J86" s="3">
        <f>PlantData!S86</f>
        <v>37.928974999999994</v>
      </c>
      <c r="K86" s="1">
        <f>PlantData!AZ86</f>
        <v>0.77435703596480809</v>
      </c>
      <c r="L86" s="2">
        <f>PlantData!CB86</f>
        <v>1.0352364170030122</v>
      </c>
      <c r="M86" s="1">
        <f>PlantData!CH86</f>
        <v>1.0140824120119289</v>
      </c>
      <c r="N86" s="2">
        <f t="shared" si="5"/>
        <v>1.0498150427570017</v>
      </c>
      <c r="O86" s="225"/>
      <c r="P86" s="3"/>
      <c r="Q86" s="225">
        <f t="shared" si="6"/>
        <v>0.77435703596480809</v>
      </c>
      <c r="R86" s="29">
        <f t="shared" si="7"/>
        <v>37.928974999999994</v>
      </c>
    </row>
    <row r="87" spans="1:18" x14ac:dyDescent="0.3">
      <c r="A87">
        <f>PlantData!A87</f>
        <v>81</v>
      </c>
      <c r="B87">
        <f>PlantData!B87</f>
        <v>57697</v>
      </c>
      <c r="C87" t="str">
        <f>PlantData!C87</f>
        <v>Aerojet I</v>
      </c>
      <c r="D87" t="str">
        <f>PlantData!G87</f>
        <v>c-Si</v>
      </c>
      <c r="E87" t="str">
        <f>PlantData!I87</f>
        <v>Tracker</v>
      </c>
      <c r="F87">
        <f>PlantData!J87</f>
        <v>0</v>
      </c>
      <c r="G87" t="str">
        <f>PlantData!K87</f>
        <v>CA</v>
      </c>
      <c r="H87" s="2">
        <f>PlantData!L87</f>
        <v>38.613</v>
      </c>
      <c r="I87" s="2">
        <f>PlantData!M87</f>
        <v>-121.163</v>
      </c>
      <c r="J87" s="3">
        <f>PlantData!S87</f>
        <v>44.986899999999999</v>
      </c>
      <c r="K87" s="1">
        <f>PlantData!AZ87</f>
        <v>0.66789435372597594</v>
      </c>
      <c r="L87" s="2">
        <f>PlantData!CB87</f>
        <v>0.92075554920315983</v>
      </c>
      <c r="M87" s="1">
        <f>PlantData!CH87</f>
        <v>0.98585071201192898</v>
      </c>
      <c r="N87" s="2">
        <f t="shared" si="5"/>
        <v>0.9077275137708698</v>
      </c>
      <c r="O87" s="225"/>
      <c r="P87" s="3"/>
      <c r="Q87" s="225">
        <f t="shared" si="6"/>
        <v>0.66789435372597594</v>
      </c>
      <c r="R87" s="29">
        <f t="shared" si="7"/>
        <v>44.986899999999999</v>
      </c>
    </row>
    <row r="88" spans="1:18" x14ac:dyDescent="0.3">
      <c r="A88">
        <f>PlantData!A88</f>
        <v>82</v>
      </c>
      <c r="B88">
        <f>PlantData!B88</f>
        <v>57698</v>
      </c>
      <c r="C88" t="str">
        <f>PlantData!C88</f>
        <v>Aerojet II</v>
      </c>
      <c r="D88" t="str">
        <f>PlantData!G88</f>
        <v>c-Si</v>
      </c>
      <c r="E88" t="str">
        <f>PlantData!I88</f>
        <v>Tracker</v>
      </c>
      <c r="F88">
        <f>PlantData!J88</f>
        <v>0</v>
      </c>
      <c r="G88" t="str">
        <f>PlantData!K88</f>
        <v>CA</v>
      </c>
      <c r="H88" s="2">
        <f>PlantData!L88</f>
        <v>38.609000000000002</v>
      </c>
      <c r="I88" s="2">
        <f>PlantData!M88</f>
        <v>-121.17</v>
      </c>
      <c r="J88" s="3">
        <f>PlantData!S88</f>
        <v>44.986899999999999</v>
      </c>
      <c r="K88" s="1">
        <f>PlantData!AZ88</f>
        <v>0.66798622255199147</v>
      </c>
      <c r="L88" s="2">
        <f>PlantData!CB88</f>
        <v>0.92088219907058377</v>
      </c>
      <c r="M88" s="1">
        <f>PlantData!CH88</f>
        <v>0.98585071201192898</v>
      </c>
      <c r="N88" s="2">
        <f t="shared" si="5"/>
        <v>0.90785237163284593</v>
      </c>
      <c r="O88" s="225"/>
      <c r="P88" s="3"/>
      <c r="Q88" s="225">
        <f t="shared" si="6"/>
        <v>0.66798622255199147</v>
      </c>
      <c r="R88" s="29">
        <f t="shared" si="7"/>
        <v>44.986899999999999</v>
      </c>
    </row>
    <row r="89" spans="1:18" x14ac:dyDescent="0.3">
      <c r="A89">
        <f>PlantData!A89</f>
        <v>83</v>
      </c>
      <c r="B89">
        <f>PlantData!B89</f>
        <v>57577</v>
      </c>
      <c r="C89" t="str">
        <f>PlantData!C89</f>
        <v>Alamogordo Solar Energy Center</v>
      </c>
      <c r="D89" t="str">
        <f>PlantData!G89</f>
        <v>CdSCdTe</v>
      </c>
      <c r="E89" t="str">
        <f>PlantData!I89</f>
        <v>Fixed</v>
      </c>
      <c r="F89">
        <f>PlantData!J89</f>
        <v>25</v>
      </c>
      <c r="G89" t="str">
        <f>PlantData!K89</f>
        <v>NM</v>
      </c>
      <c r="H89" s="2">
        <f>PlantData!L89</f>
        <v>32.866</v>
      </c>
      <c r="I89" s="2">
        <f>PlantData!M89</f>
        <v>-106</v>
      </c>
      <c r="J89" s="3">
        <f>PlantData!S89</f>
        <v>46.124000000000002</v>
      </c>
      <c r="K89" s="1">
        <f>PlantData!AZ89</f>
        <v>0.75642074547201599</v>
      </c>
      <c r="L89" s="2">
        <f>PlantData!CB89</f>
        <v>0.9857428960508694</v>
      </c>
      <c r="M89" s="1">
        <f>PlantData!CH89</f>
        <v>0.98831394500745562</v>
      </c>
      <c r="N89" s="2">
        <f t="shared" si="5"/>
        <v>0.97422345035910896</v>
      </c>
      <c r="O89" s="225">
        <f t="shared" si="8"/>
        <v>0.75642074547201599</v>
      </c>
      <c r="P89" s="3">
        <f t="shared" si="9"/>
        <v>46.124000000000002</v>
      </c>
      <c r="Q89" s="225"/>
      <c r="R89" s="29"/>
    </row>
    <row r="90" spans="1:18" x14ac:dyDescent="0.3">
      <c r="A90">
        <f>PlantData!A90</f>
        <v>84</v>
      </c>
      <c r="B90">
        <f>PlantData!B90</f>
        <v>57567</v>
      </c>
      <c r="C90" t="str">
        <f>PlantData!C90</f>
        <v>Albuquerque Solar Energy Center</v>
      </c>
      <c r="D90" t="str">
        <f>PlantData!G90</f>
        <v>CdSCdTe</v>
      </c>
      <c r="E90" t="str">
        <f>PlantData!I90</f>
        <v>Fixed</v>
      </c>
      <c r="F90">
        <f>PlantData!J90</f>
        <v>25</v>
      </c>
      <c r="G90" t="str">
        <f>PlantData!K90</f>
        <v>NM</v>
      </c>
      <c r="H90" s="2">
        <f>PlantData!L90</f>
        <v>35.168999999999997</v>
      </c>
      <c r="I90" s="2">
        <f>PlantData!M90</f>
        <v>-106.6</v>
      </c>
      <c r="J90" s="3">
        <f>PlantData!S90</f>
        <v>41.952500000000001</v>
      </c>
      <c r="K90" s="1">
        <f>PlantData!AZ90</f>
        <v>0.68128095408822908</v>
      </c>
      <c r="L90" s="2">
        <f>PlantData!CB90</f>
        <v>0.88073238276924048</v>
      </c>
      <c r="M90" s="1">
        <f>PlantData!CH90</f>
        <v>0.99874269500745561</v>
      </c>
      <c r="N90" s="2">
        <f t="shared" si="5"/>
        <v>0.87962503354728916</v>
      </c>
      <c r="O90" s="225">
        <f t="shared" si="8"/>
        <v>0.68128095408822908</v>
      </c>
      <c r="P90" s="3">
        <f t="shared" si="9"/>
        <v>41.952500000000001</v>
      </c>
      <c r="Q90" s="225"/>
      <c r="R90" s="29"/>
    </row>
    <row r="91" spans="1:18" x14ac:dyDescent="0.3">
      <c r="A91">
        <f>PlantData!A91</f>
        <v>85</v>
      </c>
      <c r="B91">
        <f>PlantData!B91</f>
        <v>57765</v>
      </c>
      <c r="C91" t="str">
        <f>PlantData!C91</f>
        <v>Arizona Western College PV</v>
      </c>
      <c r="D91" t="str">
        <f>PlantData!G91</f>
        <v>c-Si</v>
      </c>
      <c r="E91" t="str">
        <f>PlantData!I91</f>
        <v>Tracker</v>
      </c>
      <c r="F91">
        <f>PlantData!J91</f>
        <v>0</v>
      </c>
      <c r="G91" t="str">
        <f>PlantData!K91</f>
        <v>AZ</v>
      </c>
      <c r="H91" s="2">
        <f>PlantData!L91</f>
        <v>32.688000000000002</v>
      </c>
      <c r="I91" s="2">
        <f>PlantData!M91</f>
        <v>-114.496</v>
      </c>
      <c r="J91" s="3">
        <f>PlantData!S91</f>
        <v>54.682000000000002</v>
      </c>
      <c r="K91" s="1">
        <f>PlantData!AZ91</f>
        <v>0.48072222096862754</v>
      </c>
      <c r="L91" s="2">
        <f>PlantData!CB91</f>
        <v>0.68815063860010051</v>
      </c>
      <c r="M91" s="1">
        <f>PlantData!CH91</f>
        <v>0.94707031201192893</v>
      </c>
      <c r="N91" s="2">
        <f t="shared" si="5"/>
        <v>0.65172704001020532</v>
      </c>
      <c r="O91" s="225"/>
      <c r="P91" s="3"/>
      <c r="Q91" s="225">
        <f t="shared" si="6"/>
        <v>0.48072222096862754</v>
      </c>
      <c r="R91" s="29">
        <f t="shared" si="7"/>
        <v>54.682000000000002</v>
      </c>
    </row>
    <row r="92" spans="1:18" x14ac:dyDescent="0.3">
      <c r="A92">
        <f>PlantData!A92</f>
        <v>86</v>
      </c>
      <c r="B92">
        <f>PlantData!B92</f>
        <v>57481</v>
      </c>
      <c r="C92" t="str">
        <f>PlantData!C92</f>
        <v>Chittenden County Solar Partners</v>
      </c>
      <c r="D92" t="str">
        <f>PlantData!G92</f>
        <v>c-Si</v>
      </c>
      <c r="E92" t="str">
        <f>PlantData!I92</f>
        <v>Tracker</v>
      </c>
      <c r="F92">
        <f>PlantData!J92</f>
        <v>44.436</v>
      </c>
      <c r="G92" t="str">
        <f>PlantData!K92</f>
        <v>VT</v>
      </c>
      <c r="H92" s="2">
        <f>PlantData!L92</f>
        <v>44.436</v>
      </c>
      <c r="I92" s="2">
        <f>PlantData!M92</f>
        <v>-73.144999999999996</v>
      </c>
      <c r="J92" s="3">
        <f>PlantData!S92</f>
        <v>32.891799999999996</v>
      </c>
      <c r="K92" s="1">
        <f>PlantData!AZ92</f>
        <v>0.69613822180557294</v>
      </c>
      <c r="L92" s="2">
        <f>PlantData!CB92</f>
        <v>0.91253477593530907</v>
      </c>
      <c r="M92" s="1">
        <f>PlantData!CH92</f>
        <v>1.034231112011929</v>
      </c>
      <c r="N92" s="2">
        <f t="shared" si="5"/>
        <v>0.94377185606513114</v>
      </c>
      <c r="O92" s="225"/>
      <c r="P92" s="3"/>
      <c r="Q92" s="225">
        <f t="shared" si="6"/>
        <v>0.69613822180557294</v>
      </c>
      <c r="R92" s="29">
        <f t="shared" si="7"/>
        <v>32.891799999999996</v>
      </c>
    </row>
    <row r="93" spans="1:18" x14ac:dyDescent="0.3">
      <c r="A93">
        <f>PlantData!A93</f>
        <v>87</v>
      </c>
      <c r="B93">
        <f>PlantData!B93</f>
        <v>57561</v>
      </c>
      <c r="C93" t="str">
        <f>PlantData!C93</f>
        <v>Cotton Center Solar Hybrid</v>
      </c>
      <c r="D93" t="str">
        <f>PlantData!G93</f>
        <v>c-Si</v>
      </c>
      <c r="E93" t="str">
        <f>PlantData!I93</f>
        <v>Tracker</v>
      </c>
      <c r="F93">
        <f>PlantData!J93</f>
        <v>0</v>
      </c>
      <c r="G93" t="str">
        <f>PlantData!K93</f>
        <v>AZ</v>
      </c>
      <c r="H93" s="2">
        <f>PlantData!L93</f>
        <v>33.034999999999997</v>
      </c>
      <c r="I93" s="2">
        <f>PlantData!M93</f>
        <v>-112.66200000000001</v>
      </c>
      <c r="J93" s="3">
        <f>PlantData!S93</f>
        <v>54.682000000000002</v>
      </c>
      <c r="K93" s="1">
        <f>PlantData!AZ93</f>
        <v>0.65071592792332</v>
      </c>
      <c r="L93" s="2">
        <f>PlantData!CB93</f>
        <v>0.93149549119118624</v>
      </c>
      <c r="M93" s="1">
        <f>PlantData!CH93</f>
        <v>0.94707031201192893</v>
      </c>
      <c r="N93" s="2">
        <f t="shared" si="5"/>
        <v>0.8821917254801418</v>
      </c>
      <c r="O93" s="225"/>
      <c r="P93" s="3"/>
      <c r="Q93" s="225">
        <f t="shared" si="6"/>
        <v>0.65071592792332</v>
      </c>
      <c r="R93" s="29">
        <f t="shared" si="7"/>
        <v>54.682000000000002</v>
      </c>
    </row>
    <row r="94" spans="1:18" x14ac:dyDescent="0.3">
      <c r="A94">
        <f>PlantData!A94</f>
        <v>88</v>
      </c>
      <c r="B94">
        <f>PlantData!B94</f>
        <v>57337</v>
      </c>
      <c r="C94" t="str">
        <f>PlantData!C94</f>
        <v>Dover Sun Park</v>
      </c>
      <c r="D94" t="str">
        <f>PlantData!G94</f>
        <v>c-Si</v>
      </c>
      <c r="E94" t="str">
        <f>PlantData!I94</f>
        <v>Tracker</v>
      </c>
      <c r="F94">
        <f>PlantData!J94</f>
        <v>0</v>
      </c>
      <c r="G94" t="str">
        <f>PlantData!K94</f>
        <v>DE</v>
      </c>
      <c r="H94" s="2">
        <f>PlantData!L94</f>
        <v>39.183999999999997</v>
      </c>
      <c r="I94" s="2">
        <f>PlantData!M94</f>
        <v>-75.504000000000005</v>
      </c>
      <c r="J94" s="3">
        <f>PlantData!S94</f>
        <v>37.418025</v>
      </c>
      <c r="K94" s="1">
        <f>PlantData!AZ94</f>
        <v>0.75135956613394883</v>
      </c>
      <c r="L94" s="2">
        <f>PlantData!CB94</f>
        <v>1.0049579563391708</v>
      </c>
      <c r="M94" s="1">
        <f>PlantData!CH94</f>
        <v>1.016126212011929</v>
      </c>
      <c r="N94" s="2">
        <f t="shared" si="5"/>
        <v>1.0211641214061711</v>
      </c>
      <c r="O94" s="225"/>
      <c r="P94" s="3"/>
      <c r="Q94" s="225">
        <f t="shared" si="6"/>
        <v>0.75135956613394883</v>
      </c>
      <c r="R94" s="29">
        <f t="shared" si="7"/>
        <v>37.418025</v>
      </c>
    </row>
    <row r="95" spans="1:18" x14ac:dyDescent="0.3">
      <c r="A95">
        <f>PlantData!A95</f>
        <v>89</v>
      </c>
      <c r="B95">
        <f>PlantData!B95</f>
        <v>57498</v>
      </c>
      <c r="C95" t="str">
        <f>PlantData!C95</f>
        <v>Five Points Solar Station</v>
      </c>
      <c r="D95" t="str">
        <f>PlantData!G95</f>
        <v>c-Si</v>
      </c>
      <c r="E95" t="str">
        <f>PlantData!I95</f>
        <v>Fixed</v>
      </c>
      <c r="F95">
        <f>PlantData!J95</f>
        <v>25</v>
      </c>
      <c r="G95" t="str">
        <f>PlantData!K95</f>
        <v>CA</v>
      </c>
      <c r="H95" s="2">
        <f>PlantData!L95</f>
        <v>36.4</v>
      </c>
      <c r="I95" s="2">
        <f>PlantData!M95</f>
        <v>-120.10299999999999</v>
      </c>
      <c r="J95" s="3">
        <f>PlantData!S95</f>
        <v>44.323499999999996</v>
      </c>
      <c r="K95" s="1">
        <f>PlantData!AZ95</f>
        <v>0.67570012993119011</v>
      </c>
      <c r="L95" s="2">
        <f>PlantData!CB95</f>
        <v>0.88038083996444283</v>
      </c>
      <c r="M95" s="1">
        <f>PlantData!CH95</f>
        <v>0.98850431201192901</v>
      </c>
      <c r="N95" s="2">
        <f t="shared" si="5"/>
        <v>0.87026025651753569</v>
      </c>
      <c r="O95" s="225">
        <f t="shared" si="8"/>
        <v>0.67570012993119011</v>
      </c>
      <c r="P95" s="3">
        <f t="shared" si="9"/>
        <v>44.323499999999996</v>
      </c>
      <c r="Q95" s="225"/>
      <c r="R95" s="29"/>
    </row>
    <row r="96" spans="1:18" x14ac:dyDescent="0.3">
      <c r="A96">
        <f>PlantData!A96</f>
        <v>90</v>
      </c>
      <c r="B96">
        <f>PlantData!B96</f>
        <v>57563</v>
      </c>
      <c r="C96" t="str">
        <f>PlantData!C96</f>
        <v>Hyder</v>
      </c>
      <c r="D96" t="str">
        <f>PlantData!G96</f>
        <v>c-Si</v>
      </c>
      <c r="E96" t="str">
        <f>PlantData!I96</f>
        <v>Tracker</v>
      </c>
      <c r="F96">
        <f>PlantData!J96</f>
        <v>0</v>
      </c>
      <c r="G96" t="str">
        <f>PlantData!K96</f>
        <v>AZ</v>
      </c>
      <c r="H96" s="2">
        <f>PlantData!L96</f>
        <v>33.026000000000003</v>
      </c>
      <c r="I96" s="2">
        <f>PlantData!M96</f>
        <v>-113.34399999999999</v>
      </c>
      <c r="J96" s="3">
        <f>PlantData!S96</f>
        <v>54.682000000000002</v>
      </c>
      <c r="K96" s="1">
        <f>PlantData!AZ96</f>
        <v>0.71968844064610582</v>
      </c>
      <c r="L96" s="2">
        <f>PlantData!CB96</f>
        <v>1.030229181055579</v>
      </c>
      <c r="M96" s="1">
        <f>PlantData!CH96</f>
        <v>0.94707031201192893</v>
      </c>
      <c r="N96" s="2">
        <f t="shared" si="5"/>
        <v>0.97569947194610129</v>
      </c>
      <c r="O96" s="225"/>
      <c r="P96" s="3"/>
      <c r="Q96" s="225">
        <f t="shared" si="6"/>
        <v>0.71968844064610582</v>
      </c>
      <c r="R96" s="29">
        <f t="shared" si="7"/>
        <v>54.682000000000002</v>
      </c>
    </row>
    <row r="97" spans="1:18" x14ac:dyDescent="0.3">
      <c r="A97">
        <f>PlantData!A97</f>
        <v>91</v>
      </c>
      <c r="B97">
        <f>PlantData!B97</f>
        <v>57982</v>
      </c>
      <c r="C97" t="str">
        <f>PlantData!C97</f>
        <v>Meridian Vineyards</v>
      </c>
      <c r="D97" t="str">
        <f>PlantData!G97</f>
        <v>c-Si</v>
      </c>
      <c r="E97" t="str">
        <f>PlantData!I97</f>
        <v>Fixed</v>
      </c>
      <c r="F97">
        <f>PlantData!J97</f>
        <v>30</v>
      </c>
      <c r="G97" t="str">
        <f>PlantData!K97</f>
        <v>CA</v>
      </c>
      <c r="H97" s="2">
        <f>PlantData!L97</f>
        <v>35.67</v>
      </c>
      <c r="I97" s="2">
        <f>PlantData!M97</f>
        <v>-120.57</v>
      </c>
      <c r="J97" s="3">
        <f>PlantData!S97</f>
        <v>41.476905000000002</v>
      </c>
      <c r="K97" s="1">
        <f>PlantData!AZ97</f>
        <v>0.55913698817365276</v>
      </c>
      <c r="L97" s="2">
        <f>PlantData!CB97</f>
        <v>0.7219997211877226</v>
      </c>
      <c r="M97" s="1">
        <f>PlantData!CH97</f>
        <v>0.99989069201192893</v>
      </c>
      <c r="N97" s="2">
        <f t="shared" si="5"/>
        <v>0.72192080085081167</v>
      </c>
      <c r="O97" s="225">
        <f t="shared" si="8"/>
        <v>0.55913698817365276</v>
      </c>
      <c r="P97" s="3">
        <f t="shared" si="9"/>
        <v>41.476905000000002</v>
      </c>
      <c r="Q97" s="225"/>
      <c r="R97" s="29"/>
    </row>
    <row r="98" spans="1:18" x14ac:dyDescent="0.3">
      <c r="A98">
        <f>PlantData!A98</f>
        <v>92</v>
      </c>
      <c r="B98">
        <f>PlantData!B98</f>
        <v>57879</v>
      </c>
      <c r="C98" t="str">
        <f>PlantData!C98</f>
        <v>Perdue Salisbury Photovoltaic</v>
      </c>
      <c r="D98" t="str">
        <f>PlantData!G98</f>
        <v>c-Si</v>
      </c>
      <c r="E98" t="str">
        <f>PlantData!I98</f>
        <v>Fixed</v>
      </c>
      <c r="F98">
        <f>PlantData!J98</f>
        <v>30</v>
      </c>
      <c r="G98" t="str">
        <f>PlantData!K98</f>
        <v>MD</v>
      </c>
      <c r="H98" s="2">
        <f>PlantData!L98</f>
        <v>38.373600000000003</v>
      </c>
      <c r="I98" s="2">
        <f>PlantData!M98</f>
        <v>-75.534999999999997</v>
      </c>
      <c r="J98" s="3">
        <f>PlantData!S98</f>
        <v>36.736999999999995</v>
      </c>
      <c r="K98" s="1">
        <f>PlantData!AZ98</f>
        <v>0.65123153686674806</v>
      </c>
      <c r="L98" s="2">
        <f>PlantData!CB98</f>
        <v>0.82322810520926371</v>
      </c>
      <c r="M98" s="1">
        <f>PlantData!CH98</f>
        <v>1.018850312011929</v>
      </c>
      <c r="N98" s="2">
        <f t="shared" si="5"/>
        <v>0.83874621184944742</v>
      </c>
      <c r="O98" s="225">
        <f t="shared" si="8"/>
        <v>0.65123153686674806</v>
      </c>
      <c r="P98" s="3">
        <f t="shared" si="9"/>
        <v>36.736999999999995</v>
      </c>
      <c r="Q98" s="225"/>
      <c r="R98" s="29"/>
    </row>
    <row r="99" spans="1:18" x14ac:dyDescent="0.3">
      <c r="A99">
        <f>PlantData!A99</f>
        <v>93</v>
      </c>
      <c r="B99">
        <f>PlantData!B99</f>
        <v>57671</v>
      </c>
      <c r="C99" t="str">
        <f>PlantData!C99</f>
        <v>SMUD at Fleshman</v>
      </c>
      <c r="D99" t="str">
        <f>PlantData!G99</f>
        <v>CdSCdTe</v>
      </c>
      <c r="E99" t="str">
        <f>PlantData!I99</f>
        <v>Fixed</v>
      </c>
      <c r="F99">
        <f>PlantData!J99</f>
        <v>20</v>
      </c>
      <c r="G99" t="str">
        <f>PlantData!K99</f>
        <v>CA</v>
      </c>
      <c r="H99" s="2">
        <f>PlantData!L99</f>
        <v>38.238</v>
      </c>
      <c r="I99" s="2">
        <f>PlantData!M99</f>
        <v>-121.337</v>
      </c>
      <c r="J99" s="3">
        <f>PlantData!S99</f>
        <v>42.081850000000003</v>
      </c>
      <c r="K99" s="1">
        <f>PlantData!AZ99</f>
        <v>0.75038268056748558</v>
      </c>
      <c r="L99" s="2">
        <f>PlantData!CB99</f>
        <v>0.96797685535191047</v>
      </c>
      <c r="M99" s="1">
        <f>PlantData!CH99</f>
        <v>0.99841932000745559</v>
      </c>
      <c r="N99" s="2">
        <f t="shared" si="5"/>
        <v>0.96644679370340969</v>
      </c>
      <c r="O99" s="225">
        <f t="shared" si="8"/>
        <v>0.75038268056748558</v>
      </c>
      <c r="P99" s="3">
        <f t="shared" si="9"/>
        <v>42.081850000000003</v>
      </c>
      <c r="Q99" s="225"/>
      <c r="R99" s="29"/>
    </row>
    <row r="100" spans="1:18" x14ac:dyDescent="0.3">
      <c r="A100">
        <f>PlantData!A100</f>
        <v>94</v>
      </c>
      <c r="B100">
        <f>PlantData!B100</f>
        <v>57739</v>
      </c>
      <c r="C100" t="str">
        <f>PlantData!C100</f>
        <v>SPS4 Monument SunE</v>
      </c>
      <c r="D100" t="str">
        <f>PlantData!G100</f>
        <v>c-Si</v>
      </c>
      <c r="E100" t="str">
        <f>PlantData!I100</f>
        <v>Tracker</v>
      </c>
      <c r="F100">
        <f>PlantData!J100</f>
        <v>0</v>
      </c>
      <c r="G100" t="str">
        <f>PlantData!K100</f>
        <v>NM</v>
      </c>
      <c r="H100" s="2">
        <f>PlantData!L100</f>
        <v>32.682000000000002</v>
      </c>
      <c r="I100" s="2">
        <f>PlantData!M100</f>
        <v>-103.3</v>
      </c>
      <c r="J100" s="3">
        <f>PlantData!S100</f>
        <v>47.676524999999998</v>
      </c>
      <c r="K100" s="1">
        <f>PlantData!AZ100</f>
        <v>0.73760518942557896</v>
      </c>
      <c r="L100" s="2">
        <f>PlantData!CB100</f>
        <v>1.0255334217624725</v>
      </c>
      <c r="M100" s="1">
        <f>PlantData!CH100</f>
        <v>0.97509221201192897</v>
      </c>
      <c r="N100" s="2">
        <f t="shared" si="5"/>
        <v>0.9999896527185318</v>
      </c>
      <c r="O100" s="225"/>
      <c r="P100" s="3"/>
      <c r="Q100" s="225">
        <f t="shared" si="6"/>
        <v>0.73760518942557896</v>
      </c>
      <c r="R100" s="29">
        <f t="shared" si="7"/>
        <v>47.676524999999998</v>
      </c>
    </row>
    <row r="101" spans="1:18" x14ac:dyDescent="0.3">
      <c r="A101">
        <f>PlantData!A101</f>
        <v>95</v>
      </c>
      <c r="B101">
        <f>PlantData!B101</f>
        <v>57438</v>
      </c>
      <c r="C101" t="str">
        <f>PlantData!C101</f>
        <v>Solar Park Gainesville, LLC</v>
      </c>
      <c r="D101" t="str">
        <f>PlantData!G101</f>
        <v>c-Si</v>
      </c>
      <c r="E101" t="str">
        <f>PlantData!I101</f>
        <v>Fixed</v>
      </c>
      <c r="F101">
        <f>PlantData!J101</f>
        <v>15</v>
      </c>
      <c r="G101" t="str">
        <f>PlantData!K101</f>
        <v>FL</v>
      </c>
      <c r="H101" s="2">
        <f>PlantData!L101</f>
        <v>29.7</v>
      </c>
      <c r="I101" s="2">
        <f>PlantData!M101</f>
        <v>-82.337999999999994</v>
      </c>
      <c r="J101" s="3">
        <f>PlantData!S101</f>
        <v>44.7515</v>
      </c>
      <c r="K101" s="1">
        <f>PlantData!AZ101</f>
        <v>0.62343054422843214</v>
      </c>
      <c r="L101" s="2">
        <f>PlantData!CB101</f>
        <v>0.81368716748018988</v>
      </c>
      <c r="M101" s="1">
        <f>PlantData!CH101</f>
        <v>0.98679231201192896</v>
      </c>
      <c r="N101" s="2">
        <f t="shared" si="5"/>
        <v>0.80294024125221419</v>
      </c>
      <c r="O101" s="225">
        <f t="shared" si="8"/>
        <v>0.62343054422843214</v>
      </c>
      <c r="P101" s="3">
        <f t="shared" si="9"/>
        <v>44.7515</v>
      </c>
      <c r="Q101" s="225"/>
      <c r="R101" s="29"/>
    </row>
    <row r="102" spans="1:18" x14ac:dyDescent="0.3">
      <c r="A102">
        <f>PlantData!A102</f>
        <v>96</v>
      </c>
      <c r="B102">
        <f>PlantData!B102</f>
        <v>57497</v>
      </c>
      <c r="C102" t="str">
        <f>PlantData!C102</f>
        <v>Stroud</v>
      </c>
      <c r="D102" t="str">
        <f>PlantData!G102</f>
        <v>c-Si</v>
      </c>
      <c r="E102" t="str">
        <f>PlantData!I102</f>
        <v>Fixed</v>
      </c>
      <c r="F102">
        <f>PlantData!J102</f>
        <v>25</v>
      </c>
      <c r="G102" t="str">
        <f>PlantData!K102</f>
        <v>CA</v>
      </c>
      <c r="H102" s="2">
        <f>PlantData!L102</f>
        <v>36.530999999999999</v>
      </c>
      <c r="I102" s="2">
        <f>PlantData!M102</f>
        <v>-120.107</v>
      </c>
      <c r="J102" s="3">
        <f>PlantData!S102</f>
        <v>44.323499999999996</v>
      </c>
      <c r="K102" s="1">
        <f>PlantData!AZ102</f>
        <v>0.68604725762720653</v>
      </c>
      <c r="L102" s="2">
        <f>PlantData!CB102</f>
        <v>0.89386228323894068</v>
      </c>
      <c r="M102" s="1">
        <f>PlantData!CH102</f>
        <v>0.98850431201192901</v>
      </c>
      <c r="N102" s="2">
        <f t="shared" si="5"/>
        <v>0.88358672132652105</v>
      </c>
      <c r="O102" s="225">
        <f t="shared" si="8"/>
        <v>0.68604725762720653</v>
      </c>
      <c r="P102" s="3">
        <f t="shared" si="9"/>
        <v>44.323499999999996</v>
      </c>
      <c r="Q102" s="225"/>
      <c r="R102" s="29"/>
    </row>
    <row r="103" spans="1:18" x14ac:dyDescent="0.3">
      <c r="A103">
        <f>PlantData!A103</f>
        <v>97</v>
      </c>
      <c r="B103">
        <f>PlantData!B103</f>
        <v>57745</v>
      </c>
      <c r="C103" t="str">
        <f>PlantData!C103</f>
        <v>Vineland West</v>
      </c>
      <c r="D103" t="str">
        <f>PlantData!G103</f>
        <v>c-Si</v>
      </c>
      <c r="E103" t="str">
        <f>PlantData!I103</f>
        <v>Fixed</v>
      </c>
      <c r="F103">
        <f>PlantData!J103</f>
        <v>25</v>
      </c>
      <c r="G103" t="str">
        <f>PlantData!K103</f>
        <v>NJ</v>
      </c>
      <c r="H103" s="2">
        <f>PlantData!L103</f>
        <v>39.462000000000003</v>
      </c>
      <c r="I103" s="2">
        <f>PlantData!M103</f>
        <v>-75.069999999999993</v>
      </c>
      <c r="J103" s="3">
        <f>PlantData!S103</f>
        <v>35.637</v>
      </c>
      <c r="K103" s="1">
        <f>PlantData!AZ103</f>
        <v>0.61932618958777341</v>
      </c>
      <c r="L103" s="2">
        <f>PlantData!CB103</f>
        <v>0.77952977414962443</v>
      </c>
      <c r="M103" s="1">
        <f>PlantData!CH103</f>
        <v>1.023250312011929</v>
      </c>
      <c r="N103" s="2">
        <f t="shared" si="5"/>
        <v>0.79765408462119169</v>
      </c>
      <c r="O103" s="225">
        <f t="shared" si="8"/>
        <v>0.61932618958777341</v>
      </c>
      <c r="P103" s="3">
        <f t="shared" si="9"/>
        <v>35.637</v>
      </c>
      <c r="Q103" s="225"/>
      <c r="R103" s="29"/>
    </row>
    <row r="104" spans="1:18" x14ac:dyDescent="0.3">
      <c r="A104">
        <f>PlantData!A104</f>
        <v>98</v>
      </c>
      <c r="B104">
        <f>PlantData!B104</f>
        <v>57660</v>
      </c>
      <c r="C104" t="str">
        <f>PlantData!C104</f>
        <v>Vineland Mays Landing Solar</v>
      </c>
      <c r="D104" t="str">
        <f>PlantData!G104</f>
        <v>c-Si</v>
      </c>
      <c r="E104" t="str">
        <f>PlantData!I104</f>
        <v>Tracker</v>
      </c>
      <c r="F104">
        <f>PlantData!J104</f>
        <v>0</v>
      </c>
      <c r="G104" t="str">
        <f>PlantData!K104</f>
        <v>NJ</v>
      </c>
      <c r="H104" s="2">
        <f>PlantData!L104</f>
        <v>39.417499999999997</v>
      </c>
      <c r="I104" s="2">
        <f>PlantData!M104</f>
        <v>-74.974000000000004</v>
      </c>
      <c r="J104" s="3">
        <f>PlantData!S104</f>
        <v>36.818024999999999</v>
      </c>
      <c r="K104" s="1">
        <f>PlantData!AZ104</f>
        <v>0.73891450172550843</v>
      </c>
      <c r="L104" s="2">
        <f>PlantData!CB104</f>
        <v>0.98354338658030449</v>
      </c>
      <c r="M104" s="1">
        <f>PlantData!CH104</f>
        <v>1.0185262120119289</v>
      </c>
      <c r="N104" s="2">
        <f t="shared" si="5"/>
        <v>1.0017647198830217</v>
      </c>
      <c r="O104" s="225"/>
      <c r="P104" s="3"/>
      <c r="Q104" s="225">
        <f t="shared" si="6"/>
        <v>0.73891450172550843</v>
      </c>
      <c r="R104" s="29">
        <f t="shared" si="7"/>
        <v>36.818024999999999</v>
      </c>
    </row>
    <row r="105" spans="1:18" x14ac:dyDescent="0.3">
      <c r="A105">
        <f>PlantData!A105</f>
        <v>99</v>
      </c>
      <c r="B105">
        <f>PlantData!B105</f>
        <v>57699</v>
      </c>
      <c r="C105" t="str">
        <f>PlantData!C105</f>
        <v>Webberville</v>
      </c>
      <c r="D105" t="str">
        <f>PlantData!G105</f>
        <v>c-Si</v>
      </c>
      <c r="E105" t="str">
        <f>PlantData!I105</f>
        <v>Tracker</v>
      </c>
      <c r="F105">
        <f>PlantData!J105</f>
        <v>0</v>
      </c>
      <c r="G105" t="str">
        <f>PlantData!K105</f>
        <v>TX</v>
      </c>
      <c r="H105" s="2">
        <f>PlantData!L105</f>
        <v>30.238</v>
      </c>
      <c r="I105" s="2">
        <f>PlantData!M105</f>
        <v>-97.509</v>
      </c>
      <c r="J105" s="3">
        <f>PlantData!S105</f>
        <v>48.255200000000002</v>
      </c>
      <c r="K105" s="1">
        <f>PlantData!AZ105</f>
        <v>0.69549213620055517</v>
      </c>
      <c r="L105" s="2">
        <f>PlantData!CB105</f>
        <v>0.96928221524482927</v>
      </c>
      <c r="M105" s="1">
        <f>PlantData!CH105</f>
        <v>0.97277751201192897</v>
      </c>
      <c r="N105" s="2">
        <f t="shared" si="5"/>
        <v>0.94289594178327607</v>
      </c>
      <c r="O105" s="225"/>
      <c r="P105" s="3"/>
      <c r="Q105" s="225">
        <f t="shared" si="6"/>
        <v>0.69549213620055517</v>
      </c>
      <c r="R105" s="29">
        <f t="shared" si="7"/>
        <v>48.255200000000002</v>
      </c>
    </row>
    <row r="106" spans="1:18" x14ac:dyDescent="0.3">
      <c r="A106">
        <f>PlantData!A106</f>
        <v>100</v>
      </c>
      <c r="B106">
        <f>PlantData!B106</f>
        <v>57499</v>
      </c>
      <c r="C106" t="str">
        <f>PlantData!C106</f>
        <v>Westside Solar Station</v>
      </c>
      <c r="D106" t="str">
        <f>PlantData!G106</f>
        <v>c-Si</v>
      </c>
      <c r="E106" t="str">
        <f>PlantData!I106</f>
        <v>Fixed</v>
      </c>
      <c r="F106">
        <f>PlantData!J106</f>
        <v>25</v>
      </c>
      <c r="G106" t="str">
        <f>PlantData!K106</f>
        <v>CA</v>
      </c>
      <c r="H106" s="2">
        <f>PlantData!L106</f>
        <v>36.378</v>
      </c>
      <c r="I106" s="2">
        <f>PlantData!M106</f>
        <v>-120.125</v>
      </c>
      <c r="J106" s="3">
        <f>PlantData!S106</f>
        <v>44.323499999999996</v>
      </c>
      <c r="K106" s="1">
        <f>PlantData!AZ106</f>
        <v>0.66596570217017625</v>
      </c>
      <c r="L106" s="2">
        <f>PlantData!CB106</f>
        <v>0.86769769353721438</v>
      </c>
      <c r="M106" s="1">
        <f>PlantData!CH106</f>
        <v>0.98850431201192901</v>
      </c>
      <c r="N106" s="2">
        <f t="shared" si="5"/>
        <v>0.85772291158434166</v>
      </c>
      <c r="O106" s="225">
        <f t="shared" si="8"/>
        <v>0.66596570217017625</v>
      </c>
      <c r="P106" s="3">
        <f t="shared" si="9"/>
        <v>44.323499999999996</v>
      </c>
      <c r="Q106" s="225"/>
      <c r="R106" s="2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48167-56F2-45ED-A79F-9A5DDCBB3635}">
  <dimension ref="C2:W35"/>
  <sheetViews>
    <sheetView showGridLines="0" topLeftCell="A5" zoomScale="90" zoomScaleNormal="90" workbookViewId="0">
      <selection activeCell="F30" sqref="F30"/>
    </sheetView>
  </sheetViews>
  <sheetFormatPr defaultRowHeight="14.4" x14ac:dyDescent="0.3"/>
  <cols>
    <col min="3" max="3" width="3.88671875" customWidth="1"/>
    <col min="4" max="4" width="23.88671875" customWidth="1"/>
    <col min="14" max="14" width="4.33203125" customWidth="1"/>
    <col min="16" max="16" width="29" customWidth="1"/>
    <col min="23" max="23" width="4.77734375" customWidth="1"/>
  </cols>
  <sheetData>
    <row r="2" spans="3:23" ht="15" thickBot="1" x14ac:dyDescent="0.35"/>
    <row r="3" spans="3:23" x14ac:dyDescent="0.3">
      <c r="C3" s="173"/>
      <c r="D3" s="140" t="s">
        <v>822</v>
      </c>
      <c r="E3" s="140"/>
      <c r="F3" s="140"/>
      <c r="G3" s="140"/>
      <c r="H3" s="140"/>
      <c r="I3" s="140"/>
      <c r="J3" s="140"/>
      <c r="K3" s="140"/>
      <c r="L3" s="140"/>
      <c r="M3" s="140"/>
      <c r="N3" s="141"/>
      <c r="P3" s="173"/>
      <c r="Q3" s="140"/>
      <c r="R3" s="140"/>
      <c r="S3" s="140"/>
      <c r="T3" s="140"/>
      <c r="U3" s="140"/>
      <c r="V3" s="140"/>
      <c r="W3" s="141"/>
    </row>
    <row r="4" spans="3:23" ht="15.6" x14ac:dyDescent="0.3">
      <c r="C4" s="174"/>
      <c r="D4" s="36" t="s">
        <v>806</v>
      </c>
      <c r="N4" s="175"/>
      <c r="P4" s="191" t="s">
        <v>872</v>
      </c>
      <c r="W4" s="175"/>
    </row>
    <row r="5" spans="3:23" x14ac:dyDescent="0.3">
      <c r="C5" s="174"/>
      <c r="D5" s="25" t="s">
        <v>797</v>
      </c>
      <c r="N5" s="175"/>
      <c r="P5" s="174"/>
      <c r="W5" s="175"/>
    </row>
    <row r="6" spans="3:23" x14ac:dyDescent="0.3">
      <c r="C6" s="174"/>
      <c r="D6" s="25" t="s">
        <v>779</v>
      </c>
      <c r="N6" s="175"/>
      <c r="P6" s="174"/>
      <c r="W6" s="175"/>
    </row>
    <row r="7" spans="3:23" x14ac:dyDescent="0.3">
      <c r="C7" s="174"/>
      <c r="D7" s="25" t="s">
        <v>780</v>
      </c>
      <c r="N7" s="175"/>
      <c r="P7" s="174"/>
      <c r="W7" s="175"/>
    </row>
    <row r="8" spans="3:23" x14ac:dyDescent="0.3">
      <c r="C8" s="174"/>
      <c r="D8" s="33"/>
      <c r="E8" s="33"/>
      <c r="F8" s="138" t="s">
        <v>752</v>
      </c>
      <c r="G8" s="166" t="s">
        <v>753</v>
      </c>
      <c r="H8" s="33" t="s">
        <v>761</v>
      </c>
      <c r="I8" s="33"/>
      <c r="J8" s="33"/>
      <c r="K8" s="33"/>
      <c r="L8" s="33"/>
      <c r="M8" s="33"/>
      <c r="N8" s="175"/>
      <c r="P8" s="192"/>
      <c r="Q8" s="33"/>
      <c r="R8" s="138" t="s">
        <v>752</v>
      </c>
      <c r="S8" s="166" t="s">
        <v>753</v>
      </c>
      <c r="T8" s="33" t="s">
        <v>761</v>
      </c>
      <c r="W8" s="175"/>
    </row>
    <row r="9" spans="3:23" x14ac:dyDescent="0.3">
      <c r="C9" s="174"/>
      <c r="D9" t="s">
        <v>776</v>
      </c>
      <c r="F9">
        <f>PlantData!AY6</f>
        <v>14</v>
      </c>
      <c r="G9" s="23">
        <f>Newer25!AY6</f>
        <v>6</v>
      </c>
      <c r="H9" t="s">
        <v>777</v>
      </c>
      <c r="N9" s="175"/>
      <c r="P9" s="174" t="s">
        <v>873</v>
      </c>
      <c r="R9" s="59">
        <f>PlantData!FV3</f>
        <v>5.0538705004051068E-2</v>
      </c>
      <c r="S9" s="189">
        <f>Newer25!EC3</f>
        <v>6.2359190486441882E-2</v>
      </c>
      <c r="T9" t="s">
        <v>880</v>
      </c>
      <c r="W9" s="175"/>
    </row>
    <row r="10" spans="3:23" x14ac:dyDescent="0.3">
      <c r="C10" s="174"/>
      <c r="D10" t="s">
        <v>764</v>
      </c>
      <c r="F10" s="176">
        <f>PlantData!EB3</f>
        <v>0.93316367291242519</v>
      </c>
      <c r="G10" s="167">
        <f>Newer25!K4</f>
        <v>0.88746463558037436</v>
      </c>
      <c r="H10" t="s">
        <v>781</v>
      </c>
      <c r="N10" s="175"/>
      <c r="P10" s="174" t="s">
        <v>874</v>
      </c>
      <c r="R10" s="69">
        <f>PlantData!FR3</f>
        <v>0.03</v>
      </c>
      <c r="S10" s="189">
        <f>Newer25!ED3</f>
        <v>3.2000000000000001E-2</v>
      </c>
      <c r="T10" t="s">
        <v>882</v>
      </c>
      <c r="W10" s="175"/>
    </row>
    <row r="11" spans="3:23" x14ac:dyDescent="0.3">
      <c r="C11" s="174"/>
      <c r="D11" t="s">
        <v>793</v>
      </c>
      <c r="F11" s="2">
        <f>PlantData!EB4</f>
        <v>0.11293641391614484</v>
      </c>
      <c r="G11" s="20">
        <f>Newer25!CB37</f>
        <v>0.12819833198163574</v>
      </c>
      <c r="H11" t="s">
        <v>796</v>
      </c>
      <c r="N11" s="175"/>
      <c r="P11" s="174" t="s">
        <v>875</v>
      </c>
      <c r="R11" s="161">
        <f>PlantData!FW3</f>
        <v>0.59485630485119012</v>
      </c>
      <c r="S11" s="172">
        <f>Newer25!EE3</f>
        <v>0.51571291668726726</v>
      </c>
      <c r="T11" t="s">
        <v>881</v>
      </c>
      <c r="W11" s="175"/>
    </row>
    <row r="12" spans="3:23" x14ac:dyDescent="0.3">
      <c r="C12" s="174"/>
      <c r="F12" s="2"/>
      <c r="G12" s="20"/>
      <c r="N12" s="175"/>
      <c r="P12" s="174"/>
      <c r="S12" s="23"/>
      <c r="W12" s="175"/>
    </row>
    <row r="13" spans="3:23" x14ac:dyDescent="0.3">
      <c r="C13" s="174"/>
      <c r="D13" t="s">
        <v>763</v>
      </c>
      <c r="F13" s="2">
        <f>PlantData!K4</f>
        <v>0.86694532997956797</v>
      </c>
      <c r="G13" s="20">
        <f>G10</f>
        <v>0.88746463558037436</v>
      </c>
      <c r="H13" t="s">
        <v>798</v>
      </c>
      <c r="N13" s="175"/>
      <c r="P13" s="174" t="s">
        <v>876</v>
      </c>
      <c r="R13" s="59">
        <f>PlantData!FQ3</f>
        <v>0.10423530586782294</v>
      </c>
      <c r="S13" s="190" t="s">
        <v>878</v>
      </c>
      <c r="W13" s="175"/>
    </row>
    <row r="14" spans="3:23" x14ac:dyDescent="0.3">
      <c r="C14" s="174"/>
      <c r="D14" t="s">
        <v>792</v>
      </c>
      <c r="F14" s="2">
        <f>PlantData!CB112</f>
        <v>0.14018018226092641</v>
      </c>
      <c r="G14" s="20">
        <f>G11</f>
        <v>0.12819833198163574</v>
      </c>
      <c r="H14" t="s">
        <v>799</v>
      </c>
      <c r="N14" s="175"/>
      <c r="P14" s="174" t="s">
        <v>874</v>
      </c>
      <c r="R14" s="69">
        <f>PlantData!FR3</f>
        <v>0.03</v>
      </c>
      <c r="S14" s="190" t="s">
        <v>877</v>
      </c>
      <c r="W14" s="175"/>
    </row>
    <row r="15" spans="3:23" ht="15" thickBot="1" x14ac:dyDescent="0.35">
      <c r="C15" s="174"/>
      <c r="G15" s="23"/>
      <c r="N15" s="175"/>
      <c r="P15" s="180" t="s">
        <v>875</v>
      </c>
      <c r="Q15" s="10"/>
      <c r="R15" s="193">
        <f>PlantData!FS3</f>
        <v>0.28957092872910128</v>
      </c>
      <c r="S15" s="194" t="s">
        <v>879</v>
      </c>
      <c r="T15" s="10"/>
      <c r="U15" s="10"/>
      <c r="V15" s="10"/>
      <c r="W15" s="181"/>
    </row>
    <row r="16" spans="3:23" x14ac:dyDescent="0.3">
      <c r="C16" s="174"/>
      <c r="D16" t="s">
        <v>745</v>
      </c>
      <c r="F16" s="177">
        <f>PlantData!H3</f>
        <v>-8.4354824111058137E-3</v>
      </c>
      <c r="G16" s="168">
        <f>Newer25!H3</f>
        <v>-1.6215110121526521E-3</v>
      </c>
      <c r="H16" t="s">
        <v>778</v>
      </c>
      <c r="N16" s="175"/>
    </row>
    <row r="17" spans="3:14" x14ac:dyDescent="0.3">
      <c r="C17" s="174"/>
      <c r="D17" t="s">
        <v>746</v>
      </c>
      <c r="F17" s="69">
        <f>PlantData!H4</f>
        <v>-4.4409204985019074E-2</v>
      </c>
      <c r="G17" s="169" t="s">
        <v>756</v>
      </c>
      <c r="H17" t="s">
        <v>782</v>
      </c>
      <c r="N17" s="175"/>
    </row>
    <row r="18" spans="3:14" x14ac:dyDescent="0.3">
      <c r="C18" s="174"/>
      <c r="G18" s="23"/>
      <c r="N18" s="175"/>
    </row>
    <row r="19" spans="3:14" x14ac:dyDescent="0.3">
      <c r="C19" s="174"/>
      <c r="D19" t="s">
        <v>749</v>
      </c>
      <c r="F19">
        <f>PlantData!N5</f>
        <v>2.2000000000000002</v>
      </c>
      <c r="G19" s="23">
        <f>Newer25!N5</f>
        <v>2.7</v>
      </c>
      <c r="H19" t="s">
        <v>783</v>
      </c>
      <c r="N19" s="175"/>
    </row>
    <row r="20" spans="3:14" x14ac:dyDescent="0.3">
      <c r="C20" s="174"/>
      <c r="D20" t="s">
        <v>747</v>
      </c>
      <c r="F20" s="2">
        <f>PlantData!DC5</f>
        <v>1.125</v>
      </c>
      <c r="G20" s="20">
        <f>Newer25!DC5</f>
        <v>1.3333333333333333</v>
      </c>
      <c r="H20" t="s">
        <v>784</v>
      </c>
      <c r="N20" s="175"/>
    </row>
    <row r="21" spans="3:14" x14ac:dyDescent="0.3">
      <c r="C21" s="174"/>
      <c r="D21" t="s">
        <v>748</v>
      </c>
      <c r="F21" s="72">
        <f>PlantData!P5/365.25</f>
        <v>5.6726465817513798</v>
      </c>
      <c r="G21" s="170">
        <f>Newer25!P5/365.25</f>
        <v>5.1712227199999994</v>
      </c>
      <c r="H21" t="s">
        <v>785</v>
      </c>
      <c r="N21" s="175"/>
    </row>
    <row r="22" spans="3:14" x14ac:dyDescent="0.3">
      <c r="C22" s="174"/>
      <c r="D22" t="s">
        <v>750</v>
      </c>
      <c r="F22" s="2">
        <f>PlantData!X5</f>
        <v>0.36578657865786579</v>
      </c>
      <c r="G22" s="20">
        <f>Newer25!X5</f>
        <v>0.4473314606741573</v>
      </c>
      <c r="H22" t="s">
        <v>786</v>
      </c>
      <c r="N22" s="175"/>
    </row>
    <row r="23" spans="3:14" x14ac:dyDescent="0.3">
      <c r="C23" s="174"/>
      <c r="D23" t="s">
        <v>751</v>
      </c>
      <c r="F23" s="177">
        <f>PlantData!Y3</f>
        <v>0</v>
      </c>
      <c r="G23" s="168">
        <f>Newer25!Y3</f>
        <v>2.2925496674157331E-2</v>
      </c>
      <c r="H23" t="s">
        <v>787</v>
      </c>
      <c r="N23" s="175"/>
    </row>
    <row r="24" spans="3:14" x14ac:dyDescent="0.3">
      <c r="C24" s="174"/>
      <c r="D24" t="s">
        <v>759</v>
      </c>
      <c r="F24" s="178">
        <f>1-EXP(-13*F23)</f>
        <v>0</v>
      </c>
      <c r="G24" s="171">
        <f>1-EXP(-13*G23)</f>
        <v>0.25772201028306041</v>
      </c>
      <c r="H24" t="s">
        <v>765</v>
      </c>
      <c r="N24" s="175"/>
    </row>
    <row r="25" spans="3:14" x14ac:dyDescent="0.3">
      <c r="C25" s="174"/>
      <c r="G25" s="23"/>
      <c r="N25" s="175"/>
    </row>
    <row r="26" spans="3:14" x14ac:dyDescent="0.3">
      <c r="C26" s="174"/>
      <c r="D26" t="s">
        <v>760</v>
      </c>
      <c r="F26" s="161">
        <f>PlantData!AT3</f>
        <v>0.34</v>
      </c>
      <c r="G26" s="172">
        <f>Newer25!AT3</f>
        <v>0.32</v>
      </c>
      <c r="H26" t="s">
        <v>789</v>
      </c>
      <c r="N26" s="175"/>
    </row>
    <row r="27" spans="3:14" x14ac:dyDescent="0.3">
      <c r="C27" s="174"/>
      <c r="F27" s="161"/>
      <c r="G27" s="172"/>
      <c r="N27" s="175"/>
    </row>
    <row r="28" spans="3:14" x14ac:dyDescent="0.3">
      <c r="C28" s="174"/>
      <c r="D28" t="s">
        <v>754</v>
      </c>
      <c r="F28" s="179">
        <f>PlantData!CP7/100</f>
        <v>0.12</v>
      </c>
      <c r="G28" s="56">
        <f>Newer25!CP7*4/100</f>
        <v>0.04</v>
      </c>
      <c r="H28" t="s">
        <v>790</v>
      </c>
      <c r="N28" s="175"/>
    </row>
    <row r="29" spans="3:14" x14ac:dyDescent="0.3">
      <c r="C29" s="174"/>
      <c r="D29" t="s">
        <v>755</v>
      </c>
      <c r="F29" s="179">
        <f>PlantData!CP9/100</f>
        <v>0.47</v>
      </c>
      <c r="G29" s="56">
        <f>Newer25!CP9*4/100</f>
        <v>0.72</v>
      </c>
      <c r="H29" t="s">
        <v>791</v>
      </c>
      <c r="N29" s="175"/>
    </row>
    <row r="30" spans="3:14" x14ac:dyDescent="0.3">
      <c r="C30" s="174"/>
      <c r="D30" t="s">
        <v>807</v>
      </c>
      <c r="F30" s="2">
        <f>PlantData!EI5</f>
        <v>0.89926888294459129</v>
      </c>
      <c r="G30" s="20">
        <f>Newer25!EH5</f>
        <v>0.92456425541434972</v>
      </c>
      <c r="H30" t="s">
        <v>809</v>
      </c>
      <c r="N30" s="175"/>
    </row>
    <row r="31" spans="3:14" x14ac:dyDescent="0.3">
      <c r="C31" s="174"/>
      <c r="D31" t="s">
        <v>808</v>
      </c>
      <c r="F31" s="2">
        <f>PlantData!EJ5</f>
        <v>0.92412485782014075</v>
      </c>
      <c r="G31" s="20">
        <f>Newer25!EJ5</f>
        <v>0.88346884529484648</v>
      </c>
      <c r="H31" t="s">
        <v>810</v>
      </c>
      <c r="N31" s="175"/>
    </row>
    <row r="32" spans="3:14" x14ac:dyDescent="0.3">
      <c r="C32" s="174"/>
      <c r="G32" s="23"/>
      <c r="H32" t="s">
        <v>811</v>
      </c>
      <c r="N32" s="175"/>
    </row>
    <row r="33" spans="3:14" x14ac:dyDescent="0.3">
      <c r="C33" s="174"/>
      <c r="D33" t="s">
        <v>812</v>
      </c>
      <c r="F33" s="69">
        <f>PlantData!EE5</f>
        <v>-5.5655573798330547E-2</v>
      </c>
      <c r="G33" s="169" t="s">
        <v>756</v>
      </c>
      <c r="H33" t="s">
        <v>814</v>
      </c>
      <c r="N33" s="175"/>
    </row>
    <row r="34" spans="3:14" x14ac:dyDescent="0.3">
      <c r="C34" s="174"/>
      <c r="D34" t="s">
        <v>813</v>
      </c>
      <c r="F34" s="69">
        <f>PlantData!EG5</f>
        <v>-1.719462346747971E-2</v>
      </c>
      <c r="G34" s="169" t="s">
        <v>756</v>
      </c>
      <c r="H34" t="s">
        <v>815</v>
      </c>
      <c r="N34" s="175"/>
    </row>
    <row r="35" spans="3:14" ht="15" thickBot="1" x14ac:dyDescent="0.35">
      <c r="C35" s="180"/>
      <c r="D35" s="10"/>
      <c r="E35" s="10"/>
      <c r="F35" s="10"/>
      <c r="G35" s="10"/>
      <c r="H35" s="10"/>
      <c r="I35" s="10"/>
      <c r="J35" s="10"/>
      <c r="K35" s="10"/>
      <c r="L35" s="10"/>
      <c r="M35" s="10"/>
      <c r="N35" s="18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D9282-C6EA-472C-B550-98503492CEB6}">
  <dimension ref="A1:CO10"/>
  <sheetViews>
    <sheetView zoomScale="90" zoomScaleNormal="90" workbookViewId="0">
      <selection activeCell="N9" sqref="N9"/>
    </sheetView>
  </sheetViews>
  <sheetFormatPr defaultRowHeight="14.4" x14ac:dyDescent="0.3"/>
  <cols>
    <col min="2" max="2" width="31.33203125" customWidth="1"/>
    <col min="3" max="3" width="6.33203125" customWidth="1"/>
    <col min="4" max="4" width="5.6640625" customWidth="1"/>
    <col min="5" max="5" width="10.5546875" customWidth="1"/>
    <col min="6" max="7" width="13.109375" customWidth="1"/>
    <col min="8" max="10" width="9.44140625" customWidth="1"/>
    <col min="11" max="11" width="8.33203125" customWidth="1"/>
    <col min="22" max="22" width="8.88671875" style="23"/>
  </cols>
  <sheetData>
    <row r="1" spans="1:93" ht="18" x14ac:dyDescent="0.35">
      <c r="A1" s="206" t="s">
        <v>895</v>
      </c>
      <c r="O1" s="203">
        <f>AVERAGE(O6:O10)</f>
        <v>0.58161387279986487</v>
      </c>
    </row>
    <row r="2" spans="1:93" x14ac:dyDescent="0.3">
      <c r="B2" s="26"/>
      <c r="C2" s="73"/>
      <c r="D2" s="73"/>
      <c r="E2" s="199" t="s">
        <v>911</v>
      </c>
      <c r="F2" s="195" t="s">
        <v>912</v>
      </c>
      <c r="G2" s="25" t="s">
        <v>913</v>
      </c>
      <c r="L2" s="200" t="s">
        <v>908</v>
      </c>
      <c r="O2" s="202" t="s">
        <v>904</v>
      </c>
    </row>
    <row r="3" spans="1:93" x14ac:dyDescent="0.3">
      <c r="B3" s="30"/>
      <c r="C3" s="33"/>
      <c r="D3" s="33"/>
      <c r="E3" s="90">
        <f>PlantData!K3</f>
        <v>5.0000000000000001E-3</v>
      </c>
      <c r="F3" s="197">
        <v>0</v>
      </c>
      <c r="G3" s="25" t="s">
        <v>914</v>
      </c>
      <c r="L3" s="201">
        <f>AVERAGE(L6:L10)</f>
        <v>0.86808775110586822</v>
      </c>
      <c r="O3" s="202" t="s">
        <v>905</v>
      </c>
      <c r="R3" t="s">
        <v>906</v>
      </c>
      <c r="AO3" t="s">
        <v>902</v>
      </c>
      <c r="BG3" t="s">
        <v>988</v>
      </c>
      <c r="BY3" t="s">
        <v>989</v>
      </c>
    </row>
    <row r="4" spans="1:93" x14ac:dyDescent="0.3">
      <c r="A4" s="73"/>
      <c r="B4" s="73"/>
      <c r="C4" s="73" t="str">
        <f t="shared" ref="C4:C10" si="0">N4</f>
        <v>lifetime</v>
      </c>
      <c r="D4" s="73"/>
      <c r="E4" s="73"/>
      <c r="F4" s="198" t="s">
        <v>888</v>
      </c>
      <c r="G4" s="198"/>
      <c r="H4" s="198" t="s">
        <v>891</v>
      </c>
      <c r="I4" s="198" t="s">
        <v>893</v>
      </c>
      <c r="J4" s="198" t="s">
        <v>679</v>
      </c>
      <c r="K4" s="198" t="s">
        <v>177</v>
      </c>
      <c r="L4" s="231" t="s">
        <v>986</v>
      </c>
      <c r="M4" s="51" t="s">
        <v>877</v>
      </c>
      <c r="N4" s="51" t="s">
        <v>898</v>
      </c>
      <c r="O4" s="202" t="s">
        <v>898</v>
      </c>
      <c r="P4" s="51" t="s">
        <v>877</v>
      </c>
      <c r="Q4" s="51" t="s">
        <v>907</v>
      </c>
      <c r="R4" t="s">
        <v>885</v>
      </c>
      <c r="T4" t="s">
        <v>886</v>
      </c>
      <c r="V4" s="23" t="s">
        <v>887</v>
      </c>
      <c r="W4" t="s">
        <v>987</v>
      </c>
      <c r="AO4" t="s">
        <v>901</v>
      </c>
    </row>
    <row r="5" spans="1:93" s="148" customFormat="1" ht="15" thickBot="1" x14ac:dyDescent="0.35">
      <c r="A5" s="148" t="s">
        <v>884</v>
      </c>
      <c r="B5" s="148" t="s">
        <v>1</v>
      </c>
      <c r="C5" s="148" t="str">
        <f t="shared" si="0"/>
        <v>variability</v>
      </c>
      <c r="D5" s="148" t="s">
        <v>2</v>
      </c>
      <c r="E5" s="149" t="s">
        <v>5</v>
      </c>
      <c r="F5" s="149" t="s">
        <v>889</v>
      </c>
      <c r="G5" s="149" t="s">
        <v>896</v>
      </c>
      <c r="H5" s="149" t="s">
        <v>890</v>
      </c>
      <c r="I5" s="149" t="s">
        <v>892</v>
      </c>
      <c r="J5" s="149" t="s">
        <v>185</v>
      </c>
      <c r="K5" s="149" t="s">
        <v>894</v>
      </c>
      <c r="L5" s="204" t="s">
        <v>910</v>
      </c>
      <c r="M5" s="148" t="s">
        <v>897</v>
      </c>
      <c r="N5" s="148" t="s">
        <v>897</v>
      </c>
      <c r="O5" s="205" t="s">
        <v>897</v>
      </c>
      <c r="P5" s="149" t="s">
        <v>899</v>
      </c>
      <c r="Q5" s="149" t="s">
        <v>899</v>
      </c>
      <c r="R5" s="148" t="s">
        <v>835</v>
      </c>
      <c r="S5" s="148" t="s">
        <v>836</v>
      </c>
      <c r="T5" s="148" t="s">
        <v>835</v>
      </c>
      <c r="U5" s="148" t="s">
        <v>836</v>
      </c>
      <c r="V5" s="196"/>
      <c r="W5" s="148">
        <v>1</v>
      </c>
      <c r="X5" s="148">
        <f>W5+1</f>
        <v>2</v>
      </c>
      <c r="Y5" s="148">
        <f t="shared" ref="Y5:AM5" si="1">X5+1</f>
        <v>3</v>
      </c>
      <c r="Z5" s="148">
        <f t="shared" si="1"/>
        <v>4</v>
      </c>
      <c r="AA5" s="148">
        <f t="shared" si="1"/>
        <v>5</v>
      </c>
      <c r="AB5" s="148">
        <f t="shared" si="1"/>
        <v>6</v>
      </c>
      <c r="AC5" s="148">
        <f t="shared" si="1"/>
        <v>7</v>
      </c>
      <c r="AD5" s="148">
        <f t="shared" si="1"/>
        <v>8</v>
      </c>
      <c r="AE5" s="148">
        <f t="shared" si="1"/>
        <v>9</v>
      </c>
      <c r="AF5" s="148">
        <f t="shared" si="1"/>
        <v>10</v>
      </c>
      <c r="AG5" s="148">
        <f t="shared" si="1"/>
        <v>11</v>
      </c>
      <c r="AH5" s="148">
        <f t="shared" si="1"/>
        <v>12</v>
      </c>
      <c r="AI5" s="148">
        <f t="shared" si="1"/>
        <v>13</v>
      </c>
      <c r="AJ5" s="148">
        <f t="shared" si="1"/>
        <v>14</v>
      </c>
      <c r="AK5" s="148">
        <f t="shared" si="1"/>
        <v>15</v>
      </c>
      <c r="AL5" s="148">
        <f t="shared" si="1"/>
        <v>16</v>
      </c>
      <c r="AM5" s="148">
        <f t="shared" si="1"/>
        <v>17</v>
      </c>
      <c r="AO5" s="148">
        <f>W5</f>
        <v>1</v>
      </c>
      <c r="AP5" s="148">
        <f t="shared" ref="AP5:BE5" si="2">X5</f>
        <v>2</v>
      </c>
      <c r="AQ5" s="148">
        <f t="shared" si="2"/>
        <v>3</v>
      </c>
      <c r="AR5" s="148">
        <f t="shared" si="2"/>
        <v>4</v>
      </c>
      <c r="AS5" s="148">
        <f t="shared" si="2"/>
        <v>5</v>
      </c>
      <c r="AT5" s="148">
        <f t="shared" si="2"/>
        <v>6</v>
      </c>
      <c r="AU5" s="148">
        <f t="shared" si="2"/>
        <v>7</v>
      </c>
      <c r="AV5" s="148">
        <f t="shared" si="2"/>
        <v>8</v>
      </c>
      <c r="AW5" s="148">
        <f t="shared" si="2"/>
        <v>9</v>
      </c>
      <c r="AX5" s="148">
        <f t="shared" si="2"/>
        <v>10</v>
      </c>
      <c r="AY5" s="148">
        <f t="shared" si="2"/>
        <v>11</v>
      </c>
      <c r="AZ5" s="148">
        <f t="shared" si="2"/>
        <v>12</v>
      </c>
      <c r="BA5" s="148">
        <f t="shared" si="2"/>
        <v>13</v>
      </c>
      <c r="BB5" s="148">
        <f t="shared" si="2"/>
        <v>14</v>
      </c>
      <c r="BC5" s="148">
        <f t="shared" si="2"/>
        <v>15</v>
      </c>
      <c r="BD5" s="148">
        <f t="shared" si="2"/>
        <v>16</v>
      </c>
      <c r="BE5" s="148">
        <f t="shared" si="2"/>
        <v>17</v>
      </c>
      <c r="BG5" s="148">
        <f>AO5</f>
        <v>1</v>
      </c>
      <c r="BH5" s="148">
        <f t="shared" ref="BH5" si="3">AP5</f>
        <v>2</v>
      </c>
      <c r="BI5" s="148">
        <f t="shared" ref="BI5" si="4">AQ5</f>
        <v>3</v>
      </c>
      <c r="BJ5" s="148">
        <f t="shared" ref="BJ5" si="5">AR5</f>
        <v>4</v>
      </c>
      <c r="BK5" s="148">
        <f t="shared" ref="BK5" si="6">AS5</f>
        <v>5</v>
      </c>
      <c r="BL5" s="148">
        <f t="shared" ref="BL5" si="7">AT5</f>
        <v>6</v>
      </c>
      <c r="BM5" s="148">
        <f t="shared" ref="BM5" si="8">AU5</f>
        <v>7</v>
      </c>
      <c r="BN5" s="148">
        <f t="shared" ref="BN5" si="9">AV5</f>
        <v>8</v>
      </c>
      <c r="BO5" s="148">
        <f t="shared" ref="BO5" si="10">AW5</f>
        <v>9</v>
      </c>
      <c r="BP5" s="148">
        <f t="shared" ref="BP5" si="11">AX5</f>
        <v>10</v>
      </c>
      <c r="BQ5" s="148">
        <f t="shared" ref="BQ5" si="12">AY5</f>
        <v>11</v>
      </c>
      <c r="BR5" s="148">
        <f t="shared" ref="BR5" si="13">AZ5</f>
        <v>12</v>
      </c>
      <c r="BS5" s="148">
        <f t="shared" ref="BS5" si="14">BA5</f>
        <v>13</v>
      </c>
      <c r="BT5" s="148">
        <f t="shared" ref="BT5" si="15">BB5</f>
        <v>14</v>
      </c>
      <c r="BU5" s="148">
        <f t="shared" ref="BU5" si="16">BC5</f>
        <v>15</v>
      </c>
      <c r="BV5" s="148">
        <f t="shared" ref="BV5" si="17">BD5</f>
        <v>16</v>
      </c>
      <c r="BW5" s="148">
        <f t="shared" ref="BW5" si="18">BE5</f>
        <v>17</v>
      </c>
      <c r="BY5" s="148">
        <f>BG5</f>
        <v>1</v>
      </c>
      <c r="BZ5" s="148">
        <f t="shared" ref="BZ5" si="19">BH5</f>
        <v>2</v>
      </c>
      <c r="CA5" s="148">
        <f t="shared" ref="CA5" si="20">BI5</f>
        <v>3</v>
      </c>
      <c r="CB5" s="148">
        <f t="shared" ref="CB5" si="21">BJ5</f>
        <v>4</v>
      </c>
      <c r="CC5" s="148">
        <f t="shared" ref="CC5" si="22">BK5</f>
        <v>5</v>
      </c>
      <c r="CD5" s="148">
        <f t="shared" ref="CD5" si="23">BL5</f>
        <v>6</v>
      </c>
      <c r="CE5" s="148">
        <f t="shared" ref="CE5" si="24">BM5</f>
        <v>7</v>
      </c>
      <c r="CF5" s="148">
        <f t="shared" ref="CF5" si="25">BN5</f>
        <v>8</v>
      </c>
      <c r="CG5" s="148">
        <f t="shared" ref="CG5" si="26">BO5</f>
        <v>9</v>
      </c>
      <c r="CH5" s="148">
        <f t="shared" ref="CH5" si="27">BP5</f>
        <v>10</v>
      </c>
      <c r="CI5" s="148">
        <f t="shared" ref="CI5" si="28">BQ5</f>
        <v>11</v>
      </c>
      <c r="CJ5" s="148">
        <f t="shared" ref="CJ5" si="29">BR5</f>
        <v>12</v>
      </c>
      <c r="CK5" s="148">
        <f t="shared" ref="CK5" si="30">BS5</f>
        <v>13</v>
      </c>
      <c r="CL5" s="148">
        <f t="shared" ref="CL5" si="31">BT5</f>
        <v>14</v>
      </c>
      <c r="CM5" s="148">
        <f t="shared" ref="CM5" si="32">BU5</f>
        <v>15</v>
      </c>
      <c r="CN5" s="148">
        <f t="shared" ref="CN5" si="33">BV5</f>
        <v>16</v>
      </c>
      <c r="CO5" s="148">
        <f t="shared" ref="CO5" si="34">BW5</f>
        <v>17</v>
      </c>
    </row>
    <row r="6" spans="1:93" ht="15" thickTop="1" x14ac:dyDescent="0.3">
      <c r="A6" s="6">
        <v>48</v>
      </c>
      <c r="B6" t="str">
        <f>INDEX(PlantData!$C$7:$C$106,MATCH($A6,PlantData!$CC$7:$CC$106,0),1)</f>
        <v>Wild Horse</v>
      </c>
      <c r="C6" s="161">
        <f t="shared" si="0"/>
        <v>0.18325169107633887</v>
      </c>
      <c r="D6" s="72" t="str">
        <f>INDEX(PlantData!$K$7:$K$106,MATCH($A6,PlantData!$CC$7:$CC$106,0),1)</f>
        <v>WA</v>
      </c>
      <c r="E6" s="72">
        <f>INDEX(PlantData!$N$7:$N$106,MATCH($A6,PlantData!$CC$7:$CC$106,0),1)</f>
        <v>0.5</v>
      </c>
      <c r="F6" s="3">
        <f>INDEX(PlantData!$AA$7:$AA$106,MATCH($A6,PlantData!$CC$7:$CC$106,0),1)</f>
        <v>721.1110146477256</v>
      </c>
      <c r="G6" s="3" t="str">
        <f>INDEX(PlantData!$Q$7:$Q$106,MATCH($A6,PlantData!$CC$7:$CC$106,0),1)</f>
        <v>Yakima</v>
      </c>
      <c r="H6" s="58">
        <f>INDEX(PlantData!$FR$7:$FR$106,MATCH($A6,PlantData!$CC$7:$CC$106,0),1)</f>
        <v>2.3E-2</v>
      </c>
      <c r="I6" s="3">
        <f>INDEX(PlantData!$P$7:$P$106,MATCH($A6,PlantData!$CC$7:$CC$106,0),1)</f>
        <v>1753.2</v>
      </c>
      <c r="J6" s="128" t="str">
        <f>INDEX(PlantData!$I$7:$I$106,MATCH($A6,PlantData!$CC$7:$CC$106,0),1)</f>
        <v>Fixed</v>
      </c>
      <c r="K6" s="20">
        <f>IF(J6="Fixed",PlantData!$D$3,PlantData!$D$4)*INDEX(PlantData!$CH$7:$CH$106,MATCH($A6,PlantData!$CC$7:$CC$106,0),1)</f>
        <v>0.82262264960954323</v>
      </c>
      <c r="L6" s="1">
        <f>INDEX(PlantData!$CB$7:$CB$106,MATCH($A6,PlantData!$CC$7:$CC$106,0),1)/((1-$F$3)^(0.5*$V6-0.5))</f>
        <v>0.87247347249856833</v>
      </c>
      <c r="M6" s="4">
        <f>INDEX(PlantData!$FV$7:$FV$106,MATCH($A6,PlantData!$CC$7:$CC$106,0),1)</f>
        <v>9.3568084819196776E-2</v>
      </c>
      <c r="N6" s="4">
        <f>INDEX(PlantData!$FQ$7:$FQ$106,MATCH($A6,PlantData!$CC$7:$CC$106,0),1)</f>
        <v>0.18325169107633887</v>
      </c>
      <c r="O6" s="4">
        <f>H6/N6</f>
        <v>0.12551043793870734</v>
      </c>
      <c r="P6" s="58">
        <f>R6/(R6*(4)+S6)</f>
        <v>-5.1577225109829809E-2</v>
      </c>
      <c r="Q6" s="58">
        <f>T6/(T6*((V6+7)/2)+U6)</f>
        <v>8.1625179113191351E-2</v>
      </c>
      <c r="R6" s="1">
        <f t="array" ref="R6:S6">LINEST(W6:AC6,W$5:AC$5)</f>
        <v>-5.2970419110193727E-2</v>
      </c>
      <c r="S6" s="1">
        <v>1.2388934824733255</v>
      </c>
      <c r="T6" s="1" cm="1">
        <f t="array" ref="T6:U6">LINEST($AC$6:$AK$6,$AC$5:$AK$5)</f>
        <v>5.929192915787624E-2</v>
      </c>
      <c r="U6" s="1">
        <v>7.4181416952460721E-2</v>
      </c>
      <c r="V6" s="29">
        <f>INDEX(PlantData!$AY$7:$AY$106,MATCH($A6,PlantData!$CC$7:$CC$106,0),1)</f>
        <v>15</v>
      </c>
      <c r="W6" s="2">
        <f t="array" ref="W6">INDEX(PlantData!$BB$7:$BR$106,MATCH($A6,PlantData!$CC$7:$CC$106,0),W$5)/((1-$F$3)^(W$5-0.5))</f>
        <v>1.1499999999999999</v>
      </c>
      <c r="X6" s="2">
        <f t="array" ref="X6">INDEX(PlantData!$BB$7:$BR$106,MATCH($A6,PlantData!$CC$7:$CC$106,0),X$5)/((1-$F$3)^(X$5-0.5))</f>
        <v>1.1066117886697027</v>
      </c>
      <c r="Y6" s="2">
        <f t="array" ref="Y6">INDEX(PlantData!$BB$7:$BR$106,MATCH($A6,PlantData!$CC$7:$CC$106,0),Y$5)/((1-$F$3)^(Y$5-0.5))</f>
        <v>1.067349572758393</v>
      </c>
      <c r="Z6" s="2">
        <f t="array" ref="Z6">INDEX(PlantData!$BB$7:$BR$106,MATCH($A6,PlantData!$CC$7:$CC$106,0),Z$5)/((1-$F$3)^(Z$5-0.5))</f>
        <v>1.0262570576516028</v>
      </c>
      <c r="AA6" s="2">
        <f t="array" ref="AA6">INDEX(PlantData!$BB$7:$BR$106,MATCH($A6,PlantData!$CC$7:$CC$106,0),AA$5)/((1-$F$3)^(AA$5-0.5))</f>
        <v>1.1177190141996209</v>
      </c>
      <c r="AB6" s="2">
        <f t="array" ref="AB6">INDEX(PlantData!$BB$7:$BR$106,MATCH($A6,PlantData!$CC$7:$CC$106,0),AB$5)/((1-$F$3)^(AB$5-0.5))</f>
        <v>1.0337532260328532</v>
      </c>
      <c r="AC6" s="2">
        <f t="array" ref="AC6">INDEX(PlantData!$BB$7:$BR$106,MATCH($A6,PlantData!$CC$7:$CC$106,0),AC$5)/((1-$F$3)^(AC$5-0.5))</f>
        <v>0.68739198291568215</v>
      </c>
      <c r="AD6" s="2">
        <f t="array" ref="AD6">INDEX(PlantData!$BB$7:$BR$106,MATCH($A6,PlantData!$CC$7:$CC$106,0),AD$5)/((1-$F$3)^(AD$5-0.5))</f>
        <v>0.7009001089916379</v>
      </c>
      <c r="AE6" s="2">
        <f t="array" ref="AE6">INDEX(PlantData!$BB$7:$BR$106,MATCH($A6,PlantData!$CC$7:$CC$106,0),AE$5)/((1-$F$3)^(AE$5-0.5))</f>
        <v>0.56151689265538174</v>
      </c>
      <c r="AF6" s="2">
        <f t="array" ref="AF6">INDEX(PlantData!$BB$7:$BR$106,MATCH($A6,PlantData!$CC$7:$CC$106,0),AF$5)/((1-$F$3)^(AF$5-0.5))</f>
        <v>0.13782047719900598</v>
      </c>
      <c r="AG6" s="2">
        <f t="array" ref="AG6">INDEX(PlantData!$BB$7:$BR$106,MATCH($A6,PlantData!$CC$7:$CC$106,0),AG$5)/((1-$F$3)^(AG$5-0.5))</f>
        <v>0.70568750028372274</v>
      </c>
      <c r="AH6" s="2">
        <f t="array" ref="AH6">INDEX(PlantData!$BB$7:$BR$106,MATCH($A6,PlantData!$CC$7:$CC$106,0),AH$5)/((1-$F$3)^(AH$5-0.5))</f>
        <v>0.81473950362919945</v>
      </c>
      <c r="AI6" s="2">
        <f t="array" ref="AI6">INDEX(PlantData!$BB$7:$BR$106,MATCH($A6,PlantData!$CC$7:$CC$106,0),AI$5)/((1-$F$3)^(AI$5-0.5))</f>
        <v>0.93812418895159255</v>
      </c>
      <c r="AJ6" s="2">
        <f t="array" ref="AJ6">INDEX(PlantData!$BB$7:$BR$106,MATCH($A6,PlantData!$CC$7:$CC$106,0),AJ$5)/((1-$F$3)^(AJ$5-0.5))</f>
        <v>0.98576194921508731</v>
      </c>
      <c r="AK6" s="2">
        <f t="array" ref="AK6">INDEX(PlantData!$BB$7:$BR$106,MATCH($A6,PlantData!$CC$7:$CC$106,0),AK$5)/((1-$F$3)^(AK$5-0.5))</f>
        <v>1.0055911353605851</v>
      </c>
      <c r="AL6" s="3"/>
      <c r="AM6" s="3"/>
      <c r="AO6" s="2">
        <f t="shared" ref="AO6:AT6" si="35">$R6*AO$5+$S6</f>
        <v>1.1859230633631319</v>
      </c>
      <c r="AP6" s="2">
        <f t="shared" si="35"/>
        <v>1.1329526442529381</v>
      </c>
      <c r="AQ6" s="2">
        <f t="shared" si="35"/>
        <v>1.0799822251427444</v>
      </c>
      <c r="AR6" s="2">
        <f t="shared" si="35"/>
        <v>1.0270118060325506</v>
      </c>
      <c r="AS6" s="2">
        <f t="shared" si="35"/>
        <v>0.97404138692235698</v>
      </c>
      <c r="AT6" s="2">
        <f t="shared" si="35"/>
        <v>0.92107096781216313</v>
      </c>
      <c r="AU6" s="2">
        <f>(1/2)*(($R6*AU$5+$S6)+($T6*AU$5+$U6))</f>
        <v>0.67866273487978201</v>
      </c>
      <c r="AV6" s="2">
        <f>($T6*AV$5+$U6)</f>
        <v>0.5485168502154707</v>
      </c>
      <c r="AW6" s="2">
        <f t="shared" ref="AW6:BC6" si="36">($T6*AW$5+$U6)</f>
        <v>0.60780877937334687</v>
      </c>
      <c r="AX6" s="2">
        <f t="shared" si="36"/>
        <v>0.66710070853122316</v>
      </c>
      <c r="AY6" s="2">
        <f t="shared" si="36"/>
        <v>0.72639263768909934</v>
      </c>
      <c r="AZ6" s="2">
        <f t="shared" si="36"/>
        <v>0.78568456684697563</v>
      </c>
      <c r="BA6" s="2">
        <f t="shared" si="36"/>
        <v>0.84497649600485181</v>
      </c>
      <c r="BB6" s="2">
        <f t="shared" si="36"/>
        <v>0.9042684251627281</v>
      </c>
      <c r="BC6" s="2">
        <f t="shared" si="36"/>
        <v>0.96356035432060427</v>
      </c>
    </row>
    <row r="7" spans="1:93" x14ac:dyDescent="0.3">
      <c r="A7" s="6">
        <v>49</v>
      </c>
      <c r="B7" t="str">
        <f>INDEX(PlantData!$C$7:$C$106,MATCH($A7,PlantData!$CC$7:$CC$106,0),1)</f>
        <v>Dow Jones</v>
      </c>
      <c r="C7" s="161">
        <f t="shared" si="0"/>
        <v>0.20015340023296488</v>
      </c>
      <c r="D7" s="72" t="str">
        <f>INDEX(PlantData!$K$7:$K$106,MATCH($A7,PlantData!$CC$7:$CC$106,0),1)</f>
        <v>NJ</v>
      </c>
      <c r="E7" s="72">
        <f>INDEX(PlantData!$N$7:$N$106,MATCH($A7,PlantData!$CC$7:$CC$106,0),1)</f>
        <v>4.0999999999999996</v>
      </c>
      <c r="F7" s="3">
        <f>INDEX(PlantData!$AA$7:$AA$106,MATCH($A7,PlantData!$CC$7:$CC$106,0),1)</f>
        <v>5091.7884775266048</v>
      </c>
      <c r="G7" s="3" t="str">
        <f>INDEX(PlantData!$Q$7:$Q$106,MATCH($A7,PlantData!$CC$7:$CC$106,0),1)</f>
        <v>Newark</v>
      </c>
      <c r="H7" s="58">
        <f>INDEX(PlantData!$FR$7:$FR$106,MATCH($A7,PlantData!$CC$7:$CC$106,0),1)</f>
        <v>2.8000000000000001E-2</v>
      </c>
      <c r="I7" s="3">
        <f>INDEX(PlantData!$P$7:$P$106,MATCH($A7,PlantData!$CC$7:$CC$106,0),1)</f>
        <v>1515.7875000000001</v>
      </c>
      <c r="J7" s="128" t="str">
        <f>INDEX(PlantData!$I$7:$I$106,MATCH($A7,PlantData!$CC$7:$CC$106,0),1)</f>
        <v>Fixed</v>
      </c>
      <c r="K7" s="20">
        <f>IF(J7="Fixed",PlantData!$D$3,PlantData!$D$4)*INDEX(PlantData!$CH$7:$CH$106,MATCH($A7,PlantData!$CC$7:$CC$106,0),1)</f>
        <v>0.81930984960954323</v>
      </c>
      <c r="L7" s="1">
        <f>INDEX(PlantData!$CB$7:$CB$106,MATCH($A7,PlantData!$CC$7:$CC$106,0),1)/((1-$F$3)^(0.5*$V7-0.5))</f>
        <v>0.86925867059040318</v>
      </c>
      <c r="M7" s="4">
        <f>INDEX(PlantData!$FV$7:$FV$106,MATCH($A7,PlantData!$CC$7:$CC$106,0),1)</f>
        <v>4.5059506521166852E-2</v>
      </c>
      <c r="N7" s="4">
        <f>INDEX(PlantData!$FQ$7:$FQ$106,MATCH($A7,PlantData!$CC$7:$CC$106,0),1)</f>
        <v>0.20015340023296488</v>
      </c>
      <c r="O7" s="4">
        <f>H7/N7</f>
        <v>0.13989270213451241</v>
      </c>
      <c r="P7" s="58">
        <f t="shared" ref="P7:P10" si="37">R7/(R7*(4)+S7)</f>
        <v>3.9041389465603389E-3</v>
      </c>
      <c r="Q7" s="58">
        <f t="shared" ref="Q7:Q10" si="38">T7/(T7*((V7+7)/2)+U7)</f>
        <v>-0.10760823905717512</v>
      </c>
      <c r="R7" s="1">
        <f t="array" ref="R7:S7">LINEST(W7:AC7,W$5:AC$5)</f>
        <v>3.8078937756752412E-3</v>
      </c>
      <c r="S7" s="1">
        <v>0.96011633843150024</v>
      </c>
      <c r="T7" s="1">
        <f t="array" ref="T7:U7">LINEST(AC7:AJ7,AC$5:AJ$5)</f>
        <v>-8.3744860816458419E-2</v>
      </c>
      <c r="U7" s="2">
        <v>1.6575594109335259</v>
      </c>
      <c r="V7" s="29">
        <f>INDEX(PlantData!$AY$7:$AY$106,MATCH($A7,PlantData!$CC$7:$CC$106,0),1)</f>
        <v>14</v>
      </c>
      <c r="W7" s="2">
        <f t="array" ref="W7">INDEX(PlantData!$BB$7:$BR$106,MATCH($A7,PlantData!$CC$7:$CC$106,0),W$5)/((1-$F$3)^(W$5-0.5))</f>
        <v>0.90361177026642492</v>
      </c>
      <c r="X7" s="2">
        <f t="array" ref="X7">INDEX(PlantData!$BB$7:$BR$106,MATCH($A7,PlantData!$CC$7:$CC$106,0),X$5)/((1-$F$3)^(X$5-0.5))</f>
        <v>1.0137516646672524</v>
      </c>
      <c r="Y7" s="2">
        <f t="array" ref="Y7">INDEX(PlantData!$BB$7:$BR$106,MATCH($A7,PlantData!$CC$7:$CC$106,0),Y$5)/((1-$F$3)^(Y$5-0.5))</f>
        <v>0.99504108352724252</v>
      </c>
      <c r="Z7" s="2">
        <f t="array" ref="Z7">INDEX(PlantData!$BB$7:$BR$106,MATCH($A7,PlantData!$CC$7:$CC$106,0),Z$5)/((1-$F$3)^(Z$5-0.5))</f>
        <v>0.96016723535284088</v>
      </c>
      <c r="AA7" s="2">
        <f t="array" ref="AA7">INDEX(PlantData!$BB$7:$BR$106,MATCH($A7,PlantData!$CC$7:$CC$106,0),AA$5)/((1-$F$3)^(AA$5-0.5))</f>
        <v>0.99404615573411981</v>
      </c>
      <c r="AB7" s="2">
        <f t="array" ref="AB7">INDEX(PlantData!$BB$7:$BR$106,MATCH($A7,PlantData!$CC$7:$CC$106,0),AB$5)/((1-$F$3)^(AB$5-0.5))</f>
        <v>1.0364978619287759</v>
      </c>
      <c r="AC7" s="2">
        <f t="array" ref="AC7">INDEX(PlantData!$BB$7:$BR$106,MATCH($A7,PlantData!$CC$7:$CC$106,0),AC$5)/((1-$F$3)^(AC$5-0.5))</f>
        <v>0.92431962326275241</v>
      </c>
      <c r="AD7" s="2">
        <f t="array" ref="AD7">INDEX(PlantData!$BB$7:$BR$106,MATCH($A7,PlantData!$CC$7:$CC$106,0),AD$5)/((1-$F$3)^(AD$5-0.5))</f>
        <v>0.81505595206464754</v>
      </c>
      <c r="AE7" s="2">
        <f t="array" ref="AE7">INDEX(PlantData!$BB$7:$BR$106,MATCH($A7,PlantData!$CC$7:$CC$106,0),AE$5)/((1-$F$3)^(AE$5-0.5))</f>
        <v>0.98494458241982852</v>
      </c>
      <c r="AF7" s="2">
        <f t="array" ref="AF7">INDEX(PlantData!$BB$7:$BR$106,MATCH($A7,PlantData!$CC$7:$CC$106,0),AF$5)/((1-$F$3)^(AF$5-0.5))</f>
        <v>0.96400641245117979</v>
      </c>
      <c r="AG7" s="2">
        <f t="array" ref="AG7">INDEX(PlantData!$BB$7:$BR$106,MATCH($A7,PlantData!$CC$7:$CC$106,0),AG$5)/((1-$F$3)^(AG$5-0.5))</f>
        <v>0.96079755922308474</v>
      </c>
      <c r="AH7" s="2">
        <f t="array" ref="AH7">INDEX(PlantData!$BB$7:$BR$106,MATCH($A7,PlantData!$CC$7:$CC$106,0),AH$5)/((1-$F$3)^(AH$5-0.5))</f>
        <v>0.70746141612673208</v>
      </c>
      <c r="AI7" s="2">
        <f t="array" ref="AI7">INDEX(PlantData!$BB$7:$BR$106,MATCH($A7,PlantData!$CC$7:$CC$106,0),AI$5)/((1-$F$3)^(AI$5-0.5))</f>
        <v>0.86932143333747613</v>
      </c>
      <c r="AJ7" s="2">
        <f t="array" ref="AJ7">INDEX(PlantData!$BB$7:$BR$106,MATCH($A7,PlantData!$CC$7:$CC$106,0),AJ$5)/((1-$F$3)^(AJ$5-0.5))</f>
        <v>0</v>
      </c>
      <c r="AK7" s="2"/>
      <c r="AL7" s="2"/>
      <c r="AM7" s="2"/>
      <c r="AO7" s="2">
        <f t="shared" ref="AO7:AT10" si="39">$R7*AO$5+$S7</f>
        <v>0.96392423220717549</v>
      </c>
      <c r="AP7" s="2">
        <f t="shared" si="39"/>
        <v>0.96773212598285074</v>
      </c>
      <c r="AQ7" s="2">
        <f t="shared" si="39"/>
        <v>0.971540019758526</v>
      </c>
      <c r="AR7" s="2">
        <f t="shared" si="39"/>
        <v>0.97534791353420125</v>
      </c>
      <c r="AS7" s="2">
        <f t="shared" si="39"/>
        <v>0.97915580730987639</v>
      </c>
      <c r="AT7" s="2">
        <f t="shared" si="39"/>
        <v>0.98296370108555164</v>
      </c>
      <c r="AU7" s="2">
        <f>(1/2)*(($R7*AU$5+$S7)+($T7*AU$5+$U7))</f>
        <v>1.0290584900397719</v>
      </c>
      <c r="AV7" s="2">
        <f t="shared" ref="AV7:BB10" si="40">($T7*AV$5+$U7)</f>
        <v>0.98760052440185853</v>
      </c>
      <c r="AW7" s="2">
        <f t="shared" si="40"/>
        <v>0.90385566358540015</v>
      </c>
      <c r="AX7" s="2">
        <f t="shared" si="40"/>
        <v>0.82011080276894166</v>
      </c>
      <c r="AY7" s="2">
        <f t="shared" si="40"/>
        <v>0.73636594195248328</v>
      </c>
      <c r="AZ7" s="2">
        <f t="shared" si="40"/>
        <v>0.65262108113602491</v>
      </c>
      <c r="BA7" s="2">
        <f t="shared" si="40"/>
        <v>0.56887622031956653</v>
      </c>
      <c r="BB7" s="2">
        <f t="shared" si="40"/>
        <v>0.48513135950310793</v>
      </c>
      <c r="BC7" s="2"/>
      <c r="BD7" s="2"/>
      <c r="BE7" s="2"/>
    </row>
    <row r="8" spans="1:93" x14ac:dyDescent="0.3">
      <c r="A8" s="6">
        <v>50</v>
      </c>
      <c r="B8" t="str">
        <f>INDEX(PlantData!$C$7:$C$106,MATCH($A8,PlantData!$CC$7:$CC$106,0),1)</f>
        <v>Westside Solar Station</v>
      </c>
      <c r="C8" s="161">
        <f t="shared" si="0"/>
        <v>5.2443859576607813E-2</v>
      </c>
      <c r="D8" s="72" t="str">
        <f>INDEX(PlantData!$K$7:$K$106,MATCH($A8,PlantData!$CC$7:$CC$106,0),1)</f>
        <v>CA</v>
      </c>
      <c r="E8" s="72">
        <f>INDEX(PlantData!$N$7:$N$106,MATCH($A8,PlantData!$CC$7:$CC$106,0),1)</f>
        <v>18.5</v>
      </c>
      <c r="F8" s="3">
        <f>INDEX(PlantData!$AA$7:$AA$106,MATCH($A8,PlantData!$CC$7:$CC$106,0),1)</f>
        <v>30458.279228824449</v>
      </c>
      <c r="G8" s="3" t="str">
        <f>INDEX(PlantData!$Q$7:$Q$106,MATCH($A8,PlantData!$CC$7:$CC$106,0),1)</f>
        <v>Fresno</v>
      </c>
      <c r="H8" s="58">
        <f>INDEX(PlantData!$FR$7:$FR$106,MATCH($A8,PlantData!$CC$7:$CC$106,0),1)</f>
        <v>3.5999999999999997E-2</v>
      </c>
      <c r="I8" s="3">
        <f>INDEX(PlantData!$P$7:$P$106,MATCH($A8,PlantData!$CC$7:$CC$106,0),1)</f>
        <v>2081.9250000000002</v>
      </c>
      <c r="J8" s="128" t="str">
        <f>INDEX(PlantData!$I$7:$I$106,MATCH($A8,PlantData!$CC$7:$CC$106,0),1)</f>
        <v>Fixed</v>
      </c>
      <c r="K8" s="20">
        <f>IF(J8="Fixed",PlantData!$D$3,PlantData!$D$4)*INDEX(PlantData!$CH$7:$CH$106,MATCH($A8,PlantData!$CC$7:$CC$106,0),1)</f>
        <v>0.7908034496095433</v>
      </c>
      <c r="L8" s="1">
        <f>INDEX(PlantData!$CB$7:$CB$106,MATCH($A8,PlantData!$CC$7:$CC$106,0),1)/((1-$F$3)^(0.5*$V8-0.5))</f>
        <v>0.86769769353721438</v>
      </c>
      <c r="M8" s="4">
        <f>INDEX(PlantData!$FV$7:$FV$106,MATCH($A8,PlantData!$CC$7:$CC$106,0),1)</f>
        <v>5.0368288875799708E-2</v>
      </c>
      <c r="N8" s="4">
        <f>INDEX(PlantData!$FQ$7:$FQ$106,MATCH($A8,PlantData!$CC$7:$CC$106,0),1)</f>
        <v>5.2443859576607813E-2</v>
      </c>
      <c r="O8" s="4">
        <f>H8/N8</f>
        <v>0.6864483333346717</v>
      </c>
      <c r="P8" s="58">
        <f t="shared" si="37"/>
        <v>-2.6812624944720715E-2</v>
      </c>
      <c r="Q8" s="58">
        <f t="shared" si="38"/>
        <v>-0.10970721468074865</v>
      </c>
      <c r="R8" s="1">
        <f t="array" ref="R8:S8">LINEST(W8:AC8,W$5:AC$5)</f>
        <v>-2.6852395739685276E-2</v>
      </c>
      <c r="S8" s="1">
        <v>1.1088928690990036</v>
      </c>
      <c r="T8" s="1" cm="1">
        <f t="array" ref="T8:U8">LINEST(AC8:AI8,$AC$5:$AI$5)</f>
        <v>-8.1475640391881307E-2</v>
      </c>
      <c r="U8" s="2">
        <v>1.5574207822733079</v>
      </c>
      <c r="V8" s="29">
        <f>INDEX(PlantData!$AY$7:$AY$106,MATCH($A8,PlantData!$CC$7:$CC$106,0),1)</f>
        <v>13</v>
      </c>
      <c r="W8" s="2">
        <f t="array" ref="W8">INDEX(PlantData!$BB$7:$BR$106,MATCH($A8,PlantData!$CC$7:$CC$106,0),W$5)/((1-$F$3)^(W$5-0.5))</f>
        <v>1.0604998318300161</v>
      </c>
      <c r="X8" s="2">
        <f t="array" ref="X8">INDEX(PlantData!$BB$7:$BR$106,MATCH($A8,PlantData!$CC$7:$CC$106,0),X$5)/((1-$F$3)^(X$5-0.5))</f>
        <v>1.0770808785450856</v>
      </c>
      <c r="Y8" s="2">
        <f t="array" ref="Y8">INDEX(PlantData!$BB$7:$BR$106,MATCH($A8,PlantData!$CC$7:$CC$106,0),Y$5)/((1-$F$3)^(Y$5-0.5))</f>
        <v>1.0645855453067783</v>
      </c>
      <c r="Z8" s="2">
        <f t="array" ref="Z8">INDEX(PlantData!$BB$7:$BR$106,MATCH($A8,PlantData!$CC$7:$CC$106,0),Z$5)/((1-$F$3)^(Z$5-0.5))</f>
        <v>0.95698243138919081</v>
      </c>
      <c r="AA8" s="2">
        <f t="array" ref="AA8">INDEX(PlantData!$BB$7:$BR$106,MATCH($A8,PlantData!$CC$7:$CC$106,0),AA$5)/((1-$F$3)^(AA$5-0.5))</f>
        <v>1.0254016640401151</v>
      </c>
      <c r="AB8" s="2">
        <f t="array" ref="AB8">INDEX(PlantData!$BB$7:$BR$106,MATCH($A8,PlantData!$CC$7:$CC$106,0),AB$5)/((1-$F$3)^(AB$5-0.5))</f>
        <v>0.85451990247625953</v>
      </c>
      <c r="AC8" s="2">
        <f t="array" ref="AC8">INDEX(PlantData!$BB$7:$BR$106,MATCH($A8,PlantData!$CC$7:$CC$106,0),AC$5)/((1-$F$3)^(AC$5-0.5))</f>
        <v>0.97131274939439194</v>
      </c>
      <c r="AD8" s="2">
        <f t="array" ref="AD8">INDEX(PlantData!$BB$7:$BR$106,MATCH($A8,PlantData!$CC$7:$CC$106,0),AD$5)/((1-$F$3)^(AD$5-0.5))</f>
        <v>0.94065928732757642</v>
      </c>
      <c r="AE8" s="2">
        <f t="array" ref="AE8">INDEX(PlantData!$BB$7:$BR$106,MATCH($A8,PlantData!$CC$7:$CC$106,0),AE$5)/((1-$F$3)^(AE$5-0.5))</f>
        <v>0.83349689046876507</v>
      </c>
      <c r="AF8" s="2">
        <f t="array" ref="AF8">INDEX(PlantData!$BB$7:$BR$106,MATCH($A8,PlantData!$CC$7:$CC$106,0),AF$5)/((1-$F$3)^(AF$5-0.5))</f>
        <v>0.71578834750937292</v>
      </c>
      <c r="AG8" s="2">
        <f t="array" ref="AG8">INDEX(PlantData!$BB$7:$BR$106,MATCH($A8,PlantData!$CC$7:$CC$106,0),AG$5)/((1-$F$3)^(AG$5-0.5))</f>
        <v>0.61095969109310422</v>
      </c>
      <c r="AH8" s="2">
        <f t="array" ref="AH8">INDEX(PlantData!$BB$7:$BR$106,MATCH($A8,PlantData!$CC$7:$CC$106,0),AH$5)/((1-$F$3)^(AH$5-0.5))</f>
        <v>0.64282495682344876</v>
      </c>
      <c r="AI8" s="2">
        <f t="array" ref="AI8">INDEX(PlantData!$BB$7:$BR$106,MATCH($A8,PlantData!$CC$7:$CC$106,0),AI$5)/((1-$F$3)^(AI$5-0.5))</f>
        <v>0.4836087258648053</v>
      </c>
      <c r="AJ8" s="2"/>
      <c r="AK8" s="3"/>
      <c r="AL8" s="3"/>
      <c r="AM8" s="3"/>
      <c r="AO8" s="2">
        <f t="shared" si="39"/>
        <v>1.0820404733593183</v>
      </c>
      <c r="AP8" s="2">
        <f t="shared" si="39"/>
        <v>1.0551880776196332</v>
      </c>
      <c r="AQ8" s="2">
        <f t="shared" si="39"/>
        <v>1.0283356818799478</v>
      </c>
      <c r="AR8" s="2">
        <f t="shared" si="39"/>
        <v>1.0014832861402625</v>
      </c>
      <c r="AS8" s="2">
        <f t="shared" si="39"/>
        <v>0.97463089040057727</v>
      </c>
      <c r="AT8" s="2">
        <f t="shared" si="39"/>
        <v>0.94777849466089203</v>
      </c>
      <c r="AU8" s="2">
        <f>(1/2)*(($R8*AU$5+$S8)+($T8*AU$5+$U8))</f>
        <v>0.95400869922567266</v>
      </c>
      <c r="AV8" s="2">
        <f t="shared" si="40"/>
        <v>0.90561565913825748</v>
      </c>
      <c r="AW8" s="2">
        <f t="shared" si="40"/>
        <v>0.82414001874637621</v>
      </c>
      <c r="AX8" s="2">
        <f t="shared" si="40"/>
        <v>0.74266437835449484</v>
      </c>
      <c r="AY8" s="2">
        <f t="shared" si="40"/>
        <v>0.66118873796261357</v>
      </c>
      <c r="AZ8" s="2">
        <f t="shared" si="40"/>
        <v>0.57971309757073231</v>
      </c>
      <c r="BA8" s="2">
        <f t="shared" si="40"/>
        <v>0.49823745717885104</v>
      </c>
      <c r="BB8" s="2"/>
      <c r="BG8" s="1">
        <f>AO8*(1+$H8)</f>
        <v>1.1209939304002539</v>
      </c>
      <c r="BH8" s="1">
        <f t="shared" ref="BH8:BS8" si="41">AP8*(1+$H8)</f>
        <v>1.0931748484139401</v>
      </c>
      <c r="BI8" s="1">
        <f t="shared" si="41"/>
        <v>1.0653557664276261</v>
      </c>
      <c r="BJ8" s="1">
        <f t="shared" si="41"/>
        <v>1.0375366844413121</v>
      </c>
      <c r="BK8" s="1">
        <f t="shared" si="41"/>
        <v>1.0097176024549981</v>
      </c>
      <c r="BL8" s="1">
        <f t="shared" si="41"/>
        <v>0.9818985204686842</v>
      </c>
      <c r="BM8" s="1">
        <f t="shared" si="41"/>
        <v>0.98835301239779694</v>
      </c>
      <c r="BN8" s="1">
        <f t="shared" si="41"/>
        <v>0.93821782286723476</v>
      </c>
      <c r="BO8" s="1">
        <f t="shared" si="41"/>
        <v>0.85380905942124574</v>
      </c>
      <c r="BP8" s="1">
        <f t="shared" si="41"/>
        <v>0.76940029597525672</v>
      </c>
      <c r="BQ8" s="1">
        <f t="shared" si="41"/>
        <v>0.6849915325292677</v>
      </c>
      <c r="BR8" s="1">
        <f t="shared" si="41"/>
        <v>0.60058276908327868</v>
      </c>
      <c r="BS8" s="1">
        <f t="shared" si="41"/>
        <v>0.51617400563728966</v>
      </c>
      <c r="BT8" s="1"/>
      <c r="BY8" s="1">
        <f>AO8*(1-$H8)</f>
        <v>1.0430870163183827</v>
      </c>
      <c r="BZ8" s="1">
        <f t="shared" ref="BZ8:CK8" si="42">AP8*(1-$H8)</f>
        <v>1.0172013068253263</v>
      </c>
      <c r="CA8" s="1">
        <f t="shared" si="42"/>
        <v>0.9913155973322697</v>
      </c>
      <c r="CB8" s="1">
        <f t="shared" si="42"/>
        <v>0.96542988783921302</v>
      </c>
      <c r="CC8" s="1">
        <f t="shared" si="42"/>
        <v>0.93954417834615644</v>
      </c>
      <c r="CD8" s="1">
        <f t="shared" si="42"/>
        <v>0.91365846885309987</v>
      </c>
      <c r="CE8" s="1">
        <f t="shared" si="42"/>
        <v>0.91966438605354839</v>
      </c>
      <c r="CF8" s="1">
        <f t="shared" si="42"/>
        <v>0.87301349540928019</v>
      </c>
      <c r="CG8" s="1">
        <f t="shared" si="42"/>
        <v>0.79447097807150668</v>
      </c>
      <c r="CH8" s="1">
        <f t="shared" si="42"/>
        <v>0.71592846073373295</v>
      </c>
      <c r="CI8" s="1">
        <f t="shared" si="42"/>
        <v>0.63738594339595944</v>
      </c>
      <c r="CJ8" s="1">
        <f t="shared" si="42"/>
        <v>0.55884342605818593</v>
      </c>
      <c r="CK8" s="1">
        <f t="shared" si="42"/>
        <v>0.48030090872041237</v>
      </c>
    </row>
    <row r="9" spans="1:93" x14ac:dyDescent="0.3">
      <c r="A9" s="6">
        <v>51</v>
      </c>
      <c r="B9" t="str">
        <f>INDEX(PlantData!$C$7:$C$106,MATCH($A9,PlantData!$CC$7:$CC$106,0),1)</f>
        <v>Sacramento Soleil</v>
      </c>
      <c r="C9" s="161">
        <f t="shared" si="0"/>
        <v>2.3627310093187873E-2</v>
      </c>
      <c r="D9" s="72" t="str">
        <f>INDEX(PlantData!$K$7:$K$106,MATCH($A9,PlantData!$CC$7:$CC$106,0),1)</f>
        <v>CA</v>
      </c>
      <c r="E9" s="72">
        <f>INDEX(PlantData!$N$7:$N$106,MATCH($A9,PlantData!$CC$7:$CC$106,0),1)</f>
        <v>1.2363839999999999</v>
      </c>
      <c r="F9" s="3">
        <f>INDEX(PlantData!$AA$7:$AA$106,MATCH($A9,PlantData!$CC$7:$CC$106,0),1)</f>
        <v>1963.2790559545749</v>
      </c>
      <c r="G9" s="3" t="str">
        <f>INDEX(PlantData!$Q$7:$Q$106,MATCH($A9,PlantData!$CC$7:$CC$106,0),1)</f>
        <v>Sacramento</v>
      </c>
      <c r="H9" s="58">
        <f>INDEX(PlantData!$FR$7:$FR$106,MATCH($A9,PlantData!$CC$7:$CC$106,0),1)</f>
        <v>3.4000000000000002E-2</v>
      </c>
      <c r="I9" s="3">
        <f>INDEX(PlantData!$P$7:$P$106,MATCH($A9,PlantData!$CC$7:$CC$106,0),1)</f>
        <v>1988.7862499999999</v>
      </c>
      <c r="J9" s="128" t="str">
        <f>INDEX(PlantData!$I$7:$I$106,MATCH($A9,PlantData!$CC$7:$CC$106,0),1)</f>
        <v>Fixed</v>
      </c>
      <c r="K9" s="20">
        <f>IF(J9="Fixed",PlantData!$D$3,PlantData!$D$4)*INDEX(PlantData!$CH$7:$CH$106,MATCH($A9,PlantData!$CC$7:$CC$106,0),1)</f>
        <v>0.79843680600596445</v>
      </c>
      <c r="L9" s="1">
        <f>INDEX(PlantData!$CB$7:$CB$106,MATCH($A9,PlantData!$CC$7:$CC$106,0),1)/((1-$F$3)^(0.5*$V9-0.5))</f>
        <v>0.86619296642192156</v>
      </c>
      <c r="M9" s="4">
        <f>INDEX(PlantData!$FV$7:$FV$106,MATCH($A9,PlantData!$CC$7:$CC$106,0),1)</f>
        <v>2.0462570071391281E-2</v>
      </c>
      <c r="N9" s="4">
        <f>INDEX(PlantData!$FQ$7:$FQ$106,MATCH($A9,PlantData!$CC$7:$CC$106,0),1)</f>
        <v>2.3627310093187873E-2</v>
      </c>
      <c r="O9" s="4">
        <f>H9/N9</f>
        <v>1.4390127300103766</v>
      </c>
      <c r="P9" s="58">
        <f t="shared" si="37"/>
        <v>5.5044379689949581E-3</v>
      </c>
      <c r="Q9" s="58">
        <f t="shared" si="38"/>
        <v>-4.4614317731936977E-2</v>
      </c>
      <c r="R9" s="1">
        <f t="array" ref="R9:S9">LINEST(W9:AC9,W$5:AC$5)</f>
        <v>4.9278417442505237E-3</v>
      </c>
      <c r="S9" s="1">
        <v>0.87553747986399277</v>
      </c>
      <c r="T9" s="1" cm="1">
        <f t="array" ref="T9:U9">LINEST(AC9:AH9,$AC$5:$AH$5)</f>
        <v>-3.7386297821357085E-2</v>
      </c>
      <c r="U9" s="2">
        <v>1.1931586123207318</v>
      </c>
      <c r="V9" s="29">
        <f>INDEX(PlantData!$AY$7:$AY$106,MATCH($A9,PlantData!$CC$7:$CC$106,0),1)</f>
        <v>12</v>
      </c>
      <c r="W9" s="2">
        <f t="array" ref="W9">INDEX(PlantData!$BB$7:$BR$106,MATCH($A9,PlantData!$CC$7:$CC$106,0),W$5)/((1-$F$3)^(W$5-0.5))</f>
        <v>0.85876737435078587</v>
      </c>
      <c r="X9" s="2">
        <f t="array" ref="X9">INDEX(PlantData!$BB$7:$BR$106,MATCH($A9,PlantData!$CC$7:$CC$106,0),X$5)/((1-$F$3)^(X$5-0.5))</f>
        <v>0.89277365526789976</v>
      </c>
      <c r="Y9" s="2">
        <f t="array" ref="Y9">INDEX(PlantData!$BB$7:$BR$106,MATCH($A9,PlantData!$CC$7:$CC$106,0),Y$5)/((1-$F$3)^(Y$5-0.5))</f>
        <v>0.91578137613345478</v>
      </c>
      <c r="Z9" s="2">
        <f t="array" ref="Z9">INDEX(PlantData!$BB$7:$BR$106,MATCH($A9,PlantData!$CC$7:$CC$106,0),Z$5)/((1-$F$3)^(Z$5-0.5))</f>
        <v>0.88367137474568025</v>
      </c>
      <c r="AA9" s="2">
        <f t="array" ref="AA9">INDEX(PlantData!$BB$7:$BR$106,MATCH($A9,PlantData!$CC$7:$CC$106,0),AA$5)/((1-$F$3)^(AA$5-0.5))</f>
        <v>0.92396899906073349</v>
      </c>
      <c r="AB9" s="2">
        <f t="array" ref="AB9">INDEX(PlantData!$BB$7:$BR$106,MATCH($A9,PlantData!$CC$7:$CC$106,0),AB$5)/((1-$F$3)^(AB$5-0.5))</f>
        <v>0.88369606548533497</v>
      </c>
      <c r="AC9" s="2">
        <f t="array" ref="AC9">INDEX(PlantData!$BB$7:$BR$106,MATCH($A9,PlantData!$CC$7:$CC$106,0),AC$5)/((1-$F$3)^(AC$5-0.5))</f>
        <v>0.90808308284307437</v>
      </c>
      <c r="AD9" s="2">
        <f t="array" ref="AD9">INDEX(PlantData!$BB$7:$BR$106,MATCH($A9,PlantData!$CC$7:$CC$106,0),AD$5)/((1-$F$3)^(AD$5-0.5))</f>
        <v>0.88785187697150159</v>
      </c>
      <c r="AE9" s="2">
        <f t="array" ref="AE9">INDEX(PlantData!$BB$7:$BR$106,MATCH($A9,PlantData!$CC$7:$CC$106,0),AE$5)/((1-$F$3)^(AE$5-0.5))</f>
        <v>0.90662863313672803</v>
      </c>
      <c r="AF9" s="2">
        <f t="array" ref="AF9">INDEX(PlantData!$BB$7:$BR$106,MATCH($A9,PlantData!$CC$7:$CC$106,0),AF$5)/((1-$F$3)^(AF$5-0.5))</f>
        <v>0.81900038739378245</v>
      </c>
      <c r="AG9" s="2">
        <f t="array" ref="AG9">INDEX(PlantData!$BB$7:$BR$106,MATCH($A9,PlantData!$CC$7:$CC$106,0),AG$5)/((1-$F$3)^(AG$5-0.5))</f>
        <v>0.77438236084221312</v>
      </c>
      <c r="AH9" s="2">
        <f t="array" ref="AH9">INDEX(PlantData!$BB$7:$BR$106,MATCH($A9,PlantData!$CC$7:$CC$106,0),AH$5)/((1-$F$3)^(AH$5-0.5))</f>
        <v>0.73198635691973701</v>
      </c>
      <c r="AI9" s="2"/>
      <c r="AJ9" s="2"/>
      <c r="AK9" s="2"/>
      <c r="AL9" s="2"/>
      <c r="AM9" s="2"/>
      <c r="AO9" s="2">
        <f t="shared" si="39"/>
        <v>0.88046532160824331</v>
      </c>
      <c r="AP9" s="2">
        <f t="shared" si="39"/>
        <v>0.88539316335249385</v>
      </c>
      <c r="AQ9" s="2">
        <f t="shared" si="39"/>
        <v>0.89032100509674439</v>
      </c>
      <c r="AR9" s="2">
        <f t="shared" si="39"/>
        <v>0.89524884684099482</v>
      </c>
      <c r="AS9" s="2">
        <f t="shared" si="39"/>
        <v>0.90017668858524535</v>
      </c>
      <c r="AT9" s="2">
        <f t="shared" si="39"/>
        <v>0.90510453032949589</v>
      </c>
      <c r="AU9" s="2">
        <f>(1/2)*(($R9*AU$5+$S9)+($T9*AU$5+$U9))</f>
        <v>0.92074344982248935</v>
      </c>
      <c r="AV9" s="2">
        <f t="shared" si="40"/>
        <v>0.89406822974987521</v>
      </c>
      <c r="AW9" s="2">
        <f t="shared" si="40"/>
        <v>0.85668193192851805</v>
      </c>
      <c r="AX9" s="2">
        <f t="shared" si="40"/>
        <v>0.819295634107161</v>
      </c>
      <c r="AY9" s="2">
        <f t="shared" si="40"/>
        <v>0.78190933628580384</v>
      </c>
      <c r="AZ9" s="2">
        <f t="shared" si="40"/>
        <v>0.74452303846444678</v>
      </c>
      <c r="BA9" s="2"/>
      <c r="BB9" s="2"/>
      <c r="BC9" s="2"/>
      <c r="BD9" s="2"/>
      <c r="BE9" s="2"/>
    </row>
    <row r="10" spans="1:93" s="33" customFormat="1" x14ac:dyDescent="0.3">
      <c r="A10" s="63">
        <v>52</v>
      </c>
      <c r="B10" s="33" t="str">
        <f>INDEX(PlantData!$C$7:$C$106,MATCH($A10,PlantData!$CC$7:$CC$106,0),1)</f>
        <v>NEDC Solar Site</v>
      </c>
      <c r="C10" s="185">
        <f t="shared" si="0"/>
        <v>5.4137124170499956E-2</v>
      </c>
      <c r="D10" s="71" t="str">
        <f>INDEX(PlantData!$K$7:$K$106,MATCH($A10,PlantData!$CC$7:$CC$106,0),1)</f>
        <v>MA</v>
      </c>
      <c r="E10" s="71">
        <f>INDEX(PlantData!$N$7:$N$106,MATCH($A10,PlantData!$CC$7:$CC$106,0),1)</f>
        <v>1</v>
      </c>
      <c r="F10" s="37">
        <f>INDEX(PlantData!$AA$7:$AA$106,MATCH($A10,PlantData!$CC$7:$CC$106,0),1)</f>
        <v>1218.0832452719351</v>
      </c>
      <c r="G10" s="37" t="str">
        <f>INDEX(PlantData!$Q$7:$Q$106,MATCH($A10,PlantData!$CC$7:$CC$106,0),1)</f>
        <v>Worcester</v>
      </c>
      <c r="H10" s="60">
        <f>INDEX(PlantData!$FR$7:$FR$106,MATCH($A10,PlantData!$CC$7:$CC$106,0),1)</f>
        <v>2.8000000000000001E-2</v>
      </c>
      <c r="I10" s="37">
        <f>INDEX(PlantData!$P$7:$P$106,MATCH($A10,PlantData!$CC$7:$CC$106,0),1)</f>
        <v>1458.6623999999999</v>
      </c>
      <c r="J10" s="164" t="str">
        <f>INDEX(PlantData!$I$7:$I$106,MATCH($A10,PlantData!$CC$7:$CC$106,0),1)</f>
        <v>Fixed</v>
      </c>
      <c r="K10" s="22">
        <f>IF(J10="Fixed",PlantData!$D$3,PlantData!$D$4)*INDEX(PlantData!$CH$7:$CH$106,MATCH($A10,PlantData!$CC$7:$CC$106,0),1)</f>
        <v>0.83506865280954323</v>
      </c>
      <c r="L10" s="97">
        <f>INDEX(PlantData!$CB$7:$CB$106,MATCH($A10,PlantData!$CC$7:$CC$106,0),1)/((1-$F$3)^(0.5*$V10-0.5))</f>
        <v>0.86481595248123344</v>
      </c>
      <c r="M10" s="183">
        <f>INDEX(PlantData!$FV$7:$FV$106,MATCH($A10,PlantData!$CC$7:$CC$106,0),1)</f>
        <v>3.6898028604722327E-2</v>
      </c>
      <c r="N10" s="183">
        <f>INDEX(PlantData!$FQ$7:$FQ$106,MATCH($A10,PlantData!$CC$7:$CC$106,0),1)</f>
        <v>5.4137124170499956E-2</v>
      </c>
      <c r="O10" s="183">
        <f>H10/N10</f>
        <v>0.51720516058105603</v>
      </c>
      <c r="P10" s="60">
        <f t="shared" si="37"/>
        <v>7.1877555016666914E-3</v>
      </c>
      <c r="Q10" s="60">
        <f t="shared" si="38"/>
        <v>-5.384858882881311E-4</v>
      </c>
      <c r="R10" s="97">
        <f t="array" ref="R10:S10">LINEST(W10:AC10,W$5:AC$5)</f>
        <v>6.1671464846447801E-3</v>
      </c>
      <c r="S10" s="97">
        <v>0.83333868534586386</v>
      </c>
      <c r="T10" s="97" cm="1">
        <f t="array" ref="T10:U10">LINEST(AC10:AJ10,$AC$5:$AJ$5)</f>
        <v>-4.6678801098816414E-4</v>
      </c>
      <c r="U10" s="21">
        <v>0.8717540944782316</v>
      </c>
      <c r="V10" s="137">
        <f>INDEX(PlantData!$AY$7:$AY$106,MATCH($A10,PlantData!$CC$7:$CC$106,0),1)</f>
        <v>14</v>
      </c>
      <c r="W10" s="21">
        <f t="array" ref="W10">INDEX(PlantData!$BB$7:$BR$106,MATCH($A10,PlantData!$CC$7:$CC$106,0),W$5)/((1-$F$3)^(W$5-0.5))</f>
        <v>0.82752964866121748</v>
      </c>
      <c r="X10" s="21">
        <f t="array" ref="X10">INDEX(PlantData!$BB$7:$BR$106,MATCH($A10,PlantData!$CC$7:$CC$106,0),X$5)/((1-$F$3)^(X$5-0.5))</f>
        <v>0.86964210904614658</v>
      </c>
      <c r="Y10" s="21">
        <f t="array" ref="Y10">INDEX(PlantData!$BB$7:$BR$106,MATCH($A10,PlantData!$CC$7:$CC$106,0),Y$5)/((1-$F$3)^(Y$5-0.5))</f>
        <v>0.8209412221979776</v>
      </c>
      <c r="Z10" s="21">
        <f t="array" ref="Z10">INDEX(PlantData!$BB$7:$BR$106,MATCH($A10,PlantData!$CC$7:$CC$106,0),Z$5)/((1-$F$3)^(Z$5-0.5))</f>
        <v>0.86423638132003733</v>
      </c>
      <c r="AA10" s="21">
        <f t="array" ref="AA10">INDEX(PlantData!$BB$7:$BR$106,MATCH($A10,PlantData!$CC$7:$CC$106,0),AA$5)/((1-$F$3)^(AA$5-0.5))</f>
        <v>0.86355374669001572</v>
      </c>
      <c r="AB10" s="21">
        <f t="array" ref="AB10">INDEX(PlantData!$BB$7:$BR$106,MATCH($A10,PlantData!$CC$7:$CC$106,0),AB$5)/((1-$F$3)^(AB$5-0.5))</f>
        <v>0.92850263207315653</v>
      </c>
      <c r="AC10" s="21">
        <f t="array" ref="AC10">INDEX(PlantData!$BB$7:$BR$106,MATCH($A10,PlantData!$CC$7:$CC$106,0),AC$5)/((1-$F$3)^(AC$5-0.5))</f>
        <v>0.83164515900254943</v>
      </c>
      <c r="AD10" s="21">
        <f t="array" ref="AD10">INDEX(PlantData!$BB$7:$BR$106,MATCH($A10,PlantData!$CC$7:$CC$106,0),AD$5)/((1-$F$3)^(AD$5-0.5))</f>
        <v>0.84517734966647495</v>
      </c>
      <c r="AE10" s="21">
        <f t="array" ref="AE10">INDEX(PlantData!$BB$7:$BR$106,MATCH($A10,PlantData!$CC$7:$CC$106,0),AE$5)/((1-$F$3)^(AE$5-0.5))</f>
        <v>0.87420647372557336</v>
      </c>
      <c r="AF10" s="21">
        <f t="array" ref="AF10">INDEX(PlantData!$BB$7:$BR$106,MATCH($A10,PlantData!$CC$7:$CC$106,0),AF$5)/((1-$F$3)^(AF$5-0.5))</f>
        <v>0.9395775379888468</v>
      </c>
      <c r="AG10" s="21">
        <f t="array" ref="AG10">INDEX(PlantData!$BB$7:$BR$106,MATCH($A10,PlantData!$CC$7:$CC$106,0),AG$5)/((1-$F$3)^(AG$5-0.5))</f>
        <v>0.86229866007446543</v>
      </c>
      <c r="AH10" s="21">
        <f t="array" ref="AH10">INDEX(PlantData!$BB$7:$BR$106,MATCH($A10,PlantData!$CC$7:$CC$106,0),AH$5)/((1-$F$3)^(AH$5-0.5))</f>
        <v>0.95858674693013057</v>
      </c>
      <c r="AI10" s="21">
        <f t="array" ref="AI10">INDEX(PlantData!$BB$7:$BR$106,MATCH($A10,PlantData!$CC$7:$CC$106,0),AI$5)/((1-$F$3)^(AI$5-0.5))</f>
        <v>0.7654918609378607</v>
      </c>
      <c r="AJ10" s="21">
        <f t="array" ref="AJ10">INDEX(PlantData!$BB$7:$BR$106,MATCH($A10,PlantData!$CC$7:$CC$106,0),AJ$5)/((1-$F$3)^(AJ$5-0.5))</f>
        <v>0.85783877457694591</v>
      </c>
      <c r="AK10" s="37"/>
      <c r="AL10" s="37"/>
      <c r="AM10" s="37"/>
      <c r="AO10" s="21">
        <f t="shared" si="39"/>
        <v>0.83950583183050864</v>
      </c>
      <c r="AP10" s="21">
        <f t="shared" si="39"/>
        <v>0.84567297831515342</v>
      </c>
      <c r="AQ10" s="21">
        <f t="shared" si="39"/>
        <v>0.8518401247997982</v>
      </c>
      <c r="AR10" s="21">
        <f t="shared" si="39"/>
        <v>0.85800727128444298</v>
      </c>
      <c r="AS10" s="21">
        <f t="shared" si="39"/>
        <v>0.86417441776908777</v>
      </c>
      <c r="AT10" s="21">
        <f t="shared" si="39"/>
        <v>0.87034156425373255</v>
      </c>
      <c r="AU10" s="21">
        <f>(1/2)*(($R10*AU$5+$S10)+($T10*AU$5+$U10))</f>
        <v>0.87249764456984591</v>
      </c>
      <c r="AV10" s="21">
        <f t="shared" si="40"/>
        <v>0.86801979039032628</v>
      </c>
      <c r="AW10" s="21">
        <f t="shared" si="40"/>
        <v>0.86755300237933808</v>
      </c>
      <c r="AX10" s="21">
        <f t="shared" si="40"/>
        <v>0.86708621436834998</v>
      </c>
      <c r="AY10" s="21">
        <f t="shared" si="40"/>
        <v>0.86661942635736178</v>
      </c>
      <c r="AZ10" s="21">
        <f t="shared" si="40"/>
        <v>0.86615263834637368</v>
      </c>
      <c r="BA10" s="21">
        <f t="shared" si="40"/>
        <v>0.86568585033538548</v>
      </c>
      <c r="BB10" s="21">
        <f t="shared" si="40"/>
        <v>0.86521906232439727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490CB-A098-4723-88EE-745C1A927CB9}">
  <dimension ref="A1:BE6"/>
  <sheetViews>
    <sheetView zoomScale="90" zoomScaleNormal="90" workbookViewId="0">
      <selection activeCell="B5" sqref="B5"/>
    </sheetView>
  </sheetViews>
  <sheetFormatPr defaultRowHeight="14.4" x14ac:dyDescent="0.3"/>
  <cols>
    <col min="2" max="2" width="31.33203125" customWidth="1"/>
    <col min="3" max="3" width="6.33203125" customWidth="1"/>
    <col min="4" max="4" width="5.6640625" customWidth="1"/>
    <col min="5" max="5" width="10.5546875" customWidth="1"/>
    <col min="6" max="7" width="13.109375" customWidth="1"/>
    <col min="8" max="10" width="9.44140625" customWidth="1"/>
    <col min="11" max="11" width="8.33203125" customWidth="1"/>
    <col min="22" max="22" width="8.88671875" style="23"/>
  </cols>
  <sheetData>
    <row r="1" spans="1:57" ht="18" x14ac:dyDescent="0.35">
      <c r="A1" s="206" t="s">
        <v>895</v>
      </c>
      <c r="O1" s="203">
        <f>AVERAGE(O6:O6)</f>
        <v>0.10745488876702132</v>
      </c>
    </row>
    <row r="2" spans="1:57" x14ac:dyDescent="0.3">
      <c r="B2" s="26"/>
      <c r="C2" s="73"/>
      <c r="D2" s="73"/>
      <c r="E2" s="199" t="s">
        <v>911</v>
      </c>
      <c r="F2" s="195" t="s">
        <v>912</v>
      </c>
      <c r="G2" s="25" t="s">
        <v>913</v>
      </c>
      <c r="L2" s="200" t="s">
        <v>908</v>
      </c>
      <c r="O2" s="202" t="s">
        <v>904</v>
      </c>
    </row>
    <row r="3" spans="1:57" x14ac:dyDescent="0.3">
      <c r="B3" s="30"/>
      <c r="C3" s="33"/>
      <c r="D3" s="33"/>
      <c r="E3" s="90">
        <f>PlantData!K3</f>
        <v>5.0000000000000001E-3</v>
      </c>
      <c r="F3" s="197">
        <v>5.0000000000000001E-3</v>
      </c>
      <c r="G3" s="25" t="s">
        <v>914</v>
      </c>
      <c r="L3" s="201">
        <f>AVERAGE(L6:L6)</f>
        <v>0.64771261184133766</v>
      </c>
      <c r="O3" s="202" t="s">
        <v>905</v>
      </c>
      <c r="R3" t="s">
        <v>906</v>
      </c>
      <c r="AO3" t="s">
        <v>902</v>
      </c>
    </row>
    <row r="4" spans="1:57" x14ac:dyDescent="0.3">
      <c r="A4" s="73"/>
      <c r="B4" s="73"/>
      <c r="C4" s="73" t="str">
        <f>N4</f>
        <v>lifetime</v>
      </c>
      <c r="D4" s="73"/>
      <c r="E4" s="73"/>
      <c r="F4" s="198" t="s">
        <v>888</v>
      </c>
      <c r="G4" s="198"/>
      <c r="H4" s="198" t="s">
        <v>891</v>
      </c>
      <c r="I4" s="198" t="s">
        <v>893</v>
      </c>
      <c r="J4" s="198" t="s">
        <v>679</v>
      </c>
      <c r="K4" s="198" t="s">
        <v>177</v>
      </c>
      <c r="L4" s="202" t="s">
        <v>909</v>
      </c>
      <c r="M4" s="51" t="s">
        <v>877</v>
      </c>
      <c r="N4" s="51" t="s">
        <v>898</v>
      </c>
      <c r="O4" s="202" t="s">
        <v>898</v>
      </c>
      <c r="P4" s="51" t="s">
        <v>877</v>
      </c>
      <c r="Q4" s="51" t="s">
        <v>907</v>
      </c>
      <c r="R4" t="s">
        <v>885</v>
      </c>
      <c r="T4" t="s">
        <v>886</v>
      </c>
      <c r="V4" s="23" t="s">
        <v>887</v>
      </c>
      <c r="W4" t="s">
        <v>903</v>
      </c>
      <c r="AO4" t="s">
        <v>901</v>
      </c>
    </row>
    <row r="5" spans="1:57" s="148" customFormat="1" ht="15" thickBot="1" x14ac:dyDescent="0.35">
      <c r="A5" s="148" t="s">
        <v>884</v>
      </c>
      <c r="B5" s="148" t="s">
        <v>1</v>
      </c>
      <c r="C5" s="148" t="str">
        <f>N5</f>
        <v>variability</v>
      </c>
      <c r="D5" s="148" t="s">
        <v>2</v>
      </c>
      <c r="E5" s="149" t="s">
        <v>5</v>
      </c>
      <c r="F5" s="149" t="s">
        <v>889</v>
      </c>
      <c r="G5" s="149" t="s">
        <v>896</v>
      </c>
      <c r="H5" s="149" t="s">
        <v>890</v>
      </c>
      <c r="I5" s="149" t="s">
        <v>892</v>
      </c>
      <c r="J5" s="149" t="s">
        <v>185</v>
      </c>
      <c r="K5" s="149" t="s">
        <v>894</v>
      </c>
      <c r="L5" s="204" t="s">
        <v>910</v>
      </c>
      <c r="M5" s="148" t="s">
        <v>897</v>
      </c>
      <c r="N5" s="148" t="s">
        <v>897</v>
      </c>
      <c r="O5" s="205" t="s">
        <v>897</v>
      </c>
      <c r="P5" s="149" t="s">
        <v>899</v>
      </c>
      <c r="Q5" s="149" t="s">
        <v>899</v>
      </c>
      <c r="R5" s="148" t="s">
        <v>835</v>
      </c>
      <c r="S5" s="148" t="s">
        <v>836</v>
      </c>
      <c r="T5" s="148" t="s">
        <v>835</v>
      </c>
      <c r="U5" s="148" t="s">
        <v>836</v>
      </c>
      <c r="V5" s="196"/>
      <c r="W5" s="148">
        <v>1</v>
      </c>
      <c r="X5" s="148">
        <f>W5+1</f>
        <v>2</v>
      </c>
      <c r="Y5" s="148">
        <f t="shared" ref="Y5:AM5" si="0">X5+1</f>
        <v>3</v>
      </c>
      <c r="Z5" s="148">
        <f t="shared" si="0"/>
        <v>4</v>
      </c>
      <c r="AA5" s="148">
        <f t="shared" si="0"/>
        <v>5</v>
      </c>
      <c r="AB5" s="148">
        <f t="shared" si="0"/>
        <v>6</v>
      </c>
      <c r="AC5" s="148">
        <f t="shared" si="0"/>
        <v>7</v>
      </c>
      <c r="AD5" s="148">
        <f t="shared" si="0"/>
        <v>8</v>
      </c>
      <c r="AE5" s="148">
        <f t="shared" si="0"/>
        <v>9</v>
      </c>
      <c r="AF5" s="148">
        <f t="shared" si="0"/>
        <v>10</v>
      </c>
      <c r="AG5" s="148">
        <f t="shared" si="0"/>
        <v>11</v>
      </c>
      <c r="AH5" s="148">
        <f t="shared" si="0"/>
        <v>12</v>
      </c>
      <c r="AI5" s="148">
        <f t="shared" si="0"/>
        <v>13</v>
      </c>
      <c r="AJ5" s="148">
        <f t="shared" si="0"/>
        <v>14</v>
      </c>
      <c r="AK5" s="148">
        <f t="shared" si="0"/>
        <v>15</v>
      </c>
      <c r="AL5" s="148">
        <f t="shared" si="0"/>
        <v>16</v>
      </c>
      <c r="AM5" s="148">
        <f t="shared" si="0"/>
        <v>17</v>
      </c>
      <c r="AO5" s="148">
        <f>W5</f>
        <v>1</v>
      </c>
      <c r="AP5" s="148">
        <f t="shared" ref="AP5:BE5" si="1">X5</f>
        <v>2</v>
      </c>
      <c r="AQ5" s="148">
        <f t="shared" si="1"/>
        <v>3</v>
      </c>
      <c r="AR5" s="148">
        <f t="shared" si="1"/>
        <v>4</v>
      </c>
      <c r="AS5" s="148">
        <f t="shared" si="1"/>
        <v>5</v>
      </c>
      <c r="AT5" s="148">
        <f t="shared" si="1"/>
        <v>6</v>
      </c>
      <c r="AU5" s="148">
        <f t="shared" si="1"/>
        <v>7</v>
      </c>
      <c r="AV5" s="148">
        <f t="shared" si="1"/>
        <v>8</v>
      </c>
      <c r="AW5" s="148">
        <f t="shared" si="1"/>
        <v>9</v>
      </c>
      <c r="AX5" s="148">
        <f t="shared" si="1"/>
        <v>10</v>
      </c>
      <c r="AY5" s="148">
        <f t="shared" si="1"/>
        <v>11</v>
      </c>
      <c r="AZ5" s="148">
        <f t="shared" si="1"/>
        <v>12</v>
      </c>
      <c r="BA5" s="148">
        <f t="shared" si="1"/>
        <v>13</v>
      </c>
      <c r="BB5" s="148">
        <f t="shared" si="1"/>
        <v>14</v>
      </c>
      <c r="BC5" s="148">
        <f t="shared" si="1"/>
        <v>15</v>
      </c>
      <c r="BD5" s="148">
        <f t="shared" si="1"/>
        <v>16</v>
      </c>
      <c r="BE5" s="148">
        <f t="shared" si="1"/>
        <v>17</v>
      </c>
    </row>
    <row r="6" spans="1:57" ht="15" thickTop="1" x14ac:dyDescent="0.3">
      <c r="A6" s="6">
        <v>94</v>
      </c>
      <c r="B6" t="str">
        <f>INDEX(PlantData!$C$7:$C$106,MATCH($A6,PlantData!$CC$7:$CC$106,0),1)</f>
        <v>PPL Merck</v>
      </c>
      <c r="C6" s="161">
        <f>N6</f>
        <v>0.23265577105760013</v>
      </c>
      <c r="D6" s="72" t="str">
        <f>INDEX(PlantData!$K$7:$K$106,MATCH($A6,PlantData!$CC$7:$CC$106,0),1)</f>
        <v>NJ</v>
      </c>
      <c r="E6" s="72">
        <f>INDEX(PlantData!$N$7:$N$106,MATCH($A6,PlantData!$CC$7:$CC$106,0),1)</f>
        <v>1.8</v>
      </c>
      <c r="F6" s="3">
        <f>INDEX(PlantData!$AA$7:$AA$106,MATCH($A6,PlantData!$CC$7:$CC$106,0),1)</f>
        <v>2106.324643900597</v>
      </c>
      <c r="G6" s="3" t="str">
        <f>INDEX(PlantData!$Q$7:$Q$106,MATCH($A6,PlantData!$CC$7:$CC$106,0),1)</f>
        <v>Newark</v>
      </c>
      <c r="H6" s="58">
        <f>INDEX(PlantData!$FR$7:$FR$106,MATCH($A6,PlantData!$CC$7:$CC$106,0),1)</f>
        <v>2.5000000000000001E-2</v>
      </c>
      <c r="I6" s="3">
        <f>INDEX(PlantData!$P$7:$P$106,MATCH($A6,PlantData!$CC$7:$CC$106,0),1)</f>
        <v>1424.4749999999999</v>
      </c>
      <c r="J6" s="128" t="str">
        <f>INDEX(PlantData!$I$7:$I$106,MATCH($A6,PlantData!$CC$7:$CC$106,0),1)</f>
        <v>Fixed</v>
      </c>
      <c r="K6" s="20">
        <f>IF(J6="Fixed",PlantData!$D$3,PlantData!$D$4)</f>
        <v>0.8</v>
      </c>
      <c r="L6" s="2">
        <f>INDEX(PlantData!$CB$7:$CB$106,MATCH($A6,PlantData!$CC$7:$CC$106,0),1)/((1-$F$3)^(0.5*$V6-0.5))</f>
        <v>0.64771261184133766</v>
      </c>
      <c r="M6" s="4">
        <f>INDEX(PlantData!$FV$7:$FV$106,MATCH($A6,PlantData!$CC$7:$CC$106,0),1)</f>
        <v>0.22136707454170082</v>
      </c>
      <c r="N6" s="4">
        <f>INDEX(PlantData!$FQ$7:$FQ$106,MATCH($A6,PlantData!$CC$7:$CC$106,0),1)</f>
        <v>0.23265577105760013</v>
      </c>
      <c r="O6" s="4">
        <f>H6/N6</f>
        <v>0.10745488876702132</v>
      </c>
      <c r="P6" s="58">
        <f>R6/(R6*(7/2)+S6)</f>
        <v>-4.6510907049086654E-3</v>
      </c>
      <c r="Q6" s="58">
        <f>T6/(T6*(V6/2)+U6)</f>
        <v>-8.9618792887461649E-2</v>
      </c>
      <c r="R6" s="1">
        <f t="array" ref="R6:S6">LINEST(W6:AC6,W$5:AC$5)</f>
        <v>-3.3364375459583651E-3</v>
      </c>
      <c r="S6" s="1">
        <v>0.72902272152661729</v>
      </c>
      <c r="T6" s="1">
        <f t="array" ref="T6:U6">LINEST(AC6:AK6,AC$5:AK$5)</f>
        <v>-7.9610173039108501E-2</v>
      </c>
      <c r="U6" s="1">
        <v>1.4853963752471417</v>
      </c>
      <c r="V6" s="29">
        <f>INDEX(PlantData!$AY$7:$AY$106,MATCH($A6,PlantData!$CC$7:$CC$106,0),1)</f>
        <v>15</v>
      </c>
      <c r="W6" s="2">
        <f t="array" ref="W6">INDEX(PlantData!$BB$7:$BR$106,MATCH($A6,PlantData!$CC$7:$CC$106,0),W$5)/((1-$F$3)^(W$5-0.5))</f>
        <v>0.77247008622990099</v>
      </c>
      <c r="X6" s="2">
        <f t="array" ref="X6">INDEX(PlantData!$BB$7:$BR$106,MATCH($A6,PlantData!$CC$7:$CC$106,0),X$5)/((1-$F$3)^(X$5-0.5))</f>
        <v>0.71294846804138268</v>
      </c>
      <c r="Y6" s="2">
        <f t="array" ref="Y6">INDEX(PlantData!$BB$7:$BR$106,MATCH($A6,PlantData!$CC$7:$CC$106,0),Y$5)/((1-$F$3)^(Y$5-0.5))</f>
        <v>0.79054250979642693</v>
      </c>
      <c r="Z6" s="2">
        <f t="array" ref="Z6">INDEX(PlantData!$BB$7:$BR$106,MATCH($A6,PlantData!$CC$7:$CC$106,0),Z$5)/((1-$F$3)^(Z$5-0.5))</f>
        <v>0.76662617646144082</v>
      </c>
      <c r="AA6" s="2">
        <f t="array" ref="AA6">INDEX(PlantData!$BB$7:$BR$106,MATCH($A6,PlantData!$CC$7:$CC$106,0),AA$5)/((1-$F$3)^(AA$5-0.5))</f>
        <v>0.33243062401299844</v>
      </c>
      <c r="AB6" s="2">
        <f t="array" ref="AB6">INDEX(PlantData!$BB$7:$BR$106,MATCH($A6,PlantData!$CC$7:$CC$106,0),AB$5)/((1-$F$3)^(AB$5-0.5))</f>
        <v>0.79616397530294725</v>
      </c>
      <c r="AC6" s="2">
        <f t="array" ref="AC6">INDEX(PlantData!$BB$7:$BR$106,MATCH($A6,PlantData!$CC$7:$CC$106,0),AC$5)/((1-$F$3)^(AC$5-0.5))</f>
        <v>0.83855695955438936</v>
      </c>
      <c r="AD6" s="2">
        <f t="array" ref="AD6">INDEX(PlantData!$BB$7:$BR$106,MATCH($A6,PlantData!$CC$7:$CC$106,0),AD$5)/((1-$F$3)^(AD$5-0.5))</f>
        <v>0.74438488176967277</v>
      </c>
      <c r="AE6" s="2">
        <f t="array" ref="AE6">INDEX(PlantData!$BB$7:$BR$106,MATCH($A6,PlantData!$CC$7:$CC$106,0),AE$5)/((1-$F$3)^(AE$5-0.5))</f>
        <v>0.70598797985396933</v>
      </c>
      <c r="AF6" s="2">
        <f t="array" ref="AF6">INDEX(PlantData!$BB$7:$BR$106,MATCH($A6,PlantData!$CC$7:$CC$106,0),AF$5)/((1-$F$3)^(AF$5-0.5))</f>
        <v>0.78133801749216447</v>
      </c>
      <c r="AG6" s="2">
        <f t="array" ref="AG6">INDEX(PlantData!$BB$7:$BR$106,MATCH($A6,PlantData!$CC$7:$CC$106,0),AG$5)/((1-$F$3)^(AG$5-0.5))</f>
        <v>0.76763864045255958</v>
      </c>
      <c r="AH6" s="2">
        <f t="array" ref="AH6">INDEX(PlantData!$BB$7:$BR$106,MATCH($A6,PlantData!$CC$7:$CC$106,0),AH$5)/((1-$F$3)^(AH$5-0.5))</f>
        <v>0.669084708264993</v>
      </c>
      <c r="AI6" s="2">
        <f t="array" ref="AI6">INDEX(PlantData!$BB$7:$BR$106,MATCH($A6,PlantData!$CC$7:$CC$106,0),AI$5)/((1-$F$3)^(AI$5-0.5))</f>
        <v>0.60550580677918475</v>
      </c>
      <c r="AJ6" s="2">
        <f t="array" ref="AJ6">INDEX(PlantData!$BB$7:$BR$106,MATCH($A6,PlantData!$CC$7:$CC$106,0),AJ$5)/((1-$F$3)^(AJ$5-0.5))</f>
        <v>0.37466325218560159</v>
      </c>
      <c r="AK6" s="2">
        <f t="array" ref="AK6">INDEX(PlantData!$BB$7:$BR$106,MATCH($A6,PlantData!$CC$7:$CC$106,0),AK$5)/((1-$F$3)^(AK$5-0.5))</f>
        <v>0</v>
      </c>
      <c r="AL6" s="3"/>
      <c r="AM6" s="3"/>
      <c r="AO6" s="2">
        <f t="shared" ref="AO6:AT6" si="2">$R6*AO$5+$S6</f>
        <v>0.72568628398065893</v>
      </c>
      <c r="AP6" s="2">
        <f t="shared" si="2"/>
        <v>0.72234984643470057</v>
      </c>
      <c r="AQ6" s="2">
        <f t="shared" si="2"/>
        <v>0.71901340888874221</v>
      </c>
      <c r="AR6" s="2">
        <f t="shared" si="2"/>
        <v>0.71567697134278385</v>
      </c>
      <c r="AS6" s="2">
        <f t="shared" si="2"/>
        <v>0.71234053379682549</v>
      </c>
      <c r="AT6" s="2">
        <f t="shared" si="2"/>
        <v>0.70900409625086713</v>
      </c>
      <c r="AU6" s="2">
        <f>(1/2)*(($R6*AU$5+$S6)+($T6*AU$5+$U6))</f>
        <v>0.81689641133914548</v>
      </c>
      <c r="AV6" s="2">
        <f>($T6*AV$5+$U6)</f>
        <v>0.84851499093427374</v>
      </c>
      <c r="AW6" s="2">
        <f t="shared" ref="AW6:BC6" si="3">($T6*AW$5+$U6)</f>
        <v>0.76890481789516518</v>
      </c>
      <c r="AX6" s="2">
        <f t="shared" si="3"/>
        <v>0.68929464485605674</v>
      </c>
      <c r="AY6" s="2">
        <f t="shared" si="3"/>
        <v>0.60968447181694829</v>
      </c>
      <c r="AZ6" s="2">
        <f t="shared" si="3"/>
        <v>0.53007429877783974</v>
      </c>
      <c r="BA6" s="2">
        <f t="shared" si="3"/>
        <v>0.45046412573873118</v>
      </c>
      <c r="BB6" s="2">
        <f t="shared" si="3"/>
        <v>0.37085395269962285</v>
      </c>
      <c r="BC6" s="2">
        <f t="shared" si="3"/>
        <v>0.29124377966051429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D6245-70F5-44CC-B9E2-DCF725E7D4A5}">
  <sheetPr filterMode="1"/>
  <dimension ref="A1:L103"/>
  <sheetViews>
    <sheetView workbookViewId="0">
      <selection activeCell="L6" sqref="L6"/>
    </sheetView>
  </sheetViews>
  <sheetFormatPr defaultRowHeight="14.4" x14ac:dyDescent="0.3"/>
  <cols>
    <col min="1" max="1" width="3.44140625" customWidth="1"/>
    <col min="3" max="3" width="31.109375" customWidth="1"/>
    <col min="4" max="4" width="12.21875" customWidth="1"/>
    <col min="9" max="9" width="26.77734375" customWidth="1"/>
    <col min="11" max="11" width="11.33203125" customWidth="1"/>
    <col min="12" max="12" width="11.5546875" customWidth="1"/>
    <col min="13" max="13" width="3.21875" customWidth="1"/>
  </cols>
  <sheetData>
    <row r="1" spans="1:12" ht="15" thickBot="1" x14ac:dyDescent="0.35">
      <c r="B1" t="s">
        <v>823</v>
      </c>
    </row>
    <row r="2" spans="1:12" ht="18" x14ac:dyDescent="0.35">
      <c r="B2" s="139" t="s">
        <v>685</v>
      </c>
      <c r="C2" s="140"/>
      <c r="D2" s="140"/>
      <c r="E2" s="140"/>
      <c r="F2" s="140"/>
      <c r="G2" s="140"/>
      <c r="H2" s="140"/>
      <c r="I2" s="140"/>
      <c r="J2" s="140"/>
      <c r="K2" s="140"/>
      <c r="L2" s="141"/>
    </row>
    <row r="3" spans="1:12" ht="30" thickBot="1" x14ac:dyDescent="0.4">
      <c r="A3" s="7"/>
      <c r="B3" s="147" t="s">
        <v>683</v>
      </c>
      <c r="C3" s="148" t="s">
        <v>1</v>
      </c>
      <c r="D3" s="149" t="s">
        <v>544</v>
      </c>
      <c r="E3" s="149" t="s">
        <v>678</v>
      </c>
      <c r="F3" s="148" t="s">
        <v>679</v>
      </c>
      <c r="G3" s="149" t="s">
        <v>2</v>
      </c>
      <c r="H3" s="149" t="s">
        <v>680</v>
      </c>
      <c r="I3" s="148" t="s">
        <v>686</v>
      </c>
      <c r="J3" s="148" t="s">
        <v>681</v>
      </c>
      <c r="K3" s="150" t="s">
        <v>684</v>
      </c>
      <c r="L3" s="151" t="s">
        <v>682</v>
      </c>
    </row>
    <row r="4" spans="1:12" ht="15" thickTop="1" x14ac:dyDescent="0.3">
      <c r="B4" s="142">
        <v>1</v>
      </c>
      <c r="C4" t="s">
        <v>410</v>
      </c>
      <c r="D4" s="51">
        <v>2012</v>
      </c>
      <c r="E4" t="s">
        <v>636</v>
      </c>
      <c r="F4" t="s">
        <v>35</v>
      </c>
      <c r="G4" s="51" t="s">
        <v>411</v>
      </c>
      <c r="H4" s="72">
        <v>37.700000000000003</v>
      </c>
      <c r="I4" s="2" t="s">
        <v>574</v>
      </c>
      <c r="J4" s="3">
        <v>14</v>
      </c>
      <c r="K4" s="2">
        <v>1.0549725489243074</v>
      </c>
      <c r="L4" s="143">
        <v>-1.0895507138732602E-2</v>
      </c>
    </row>
    <row r="5" spans="1:12" x14ac:dyDescent="0.3">
      <c r="B5" s="142">
        <v>2</v>
      </c>
      <c r="C5" t="s">
        <v>361</v>
      </c>
      <c r="D5" s="51">
        <v>2012</v>
      </c>
      <c r="E5" t="s">
        <v>636</v>
      </c>
      <c r="F5" t="s">
        <v>36</v>
      </c>
      <c r="G5" s="51" t="s">
        <v>51</v>
      </c>
      <c r="H5" s="72">
        <v>6</v>
      </c>
      <c r="I5" s="2" t="s">
        <v>508</v>
      </c>
      <c r="J5" s="3">
        <v>13</v>
      </c>
      <c r="K5" s="2">
        <v>1.0498150427570014</v>
      </c>
      <c r="L5" s="143">
        <v>-4.7607259154875941E-3</v>
      </c>
    </row>
    <row r="6" spans="1:12" x14ac:dyDescent="0.3">
      <c r="B6" s="142">
        <v>3</v>
      </c>
      <c r="C6" t="s">
        <v>200</v>
      </c>
      <c r="D6" s="51">
        <v>2011</v>
      </c>
      <c r="E6" t="s">
        <v>636</v>
      </c>
      <c r="F6" t="s">
        <v>36</v>
      </c>
      <c r="G6" s="51" t="s">
        <v>51</v>
      </c>
      <c r="H6" s="72">
        <v>20</v>
      </c>
      <c r="I6" s="2" t="s">
        <v>511</v>
      </c>
      <c r="J6" s="3">
        <v>13</v>
      </c>
      <c r="K6" s="2">
        <v>1.0311962668605568</v>
      </c>
      <c r="L6" s="143">
        <v>-7.4062914479541995E-3</v>
      </c>
    </row>
    <row r="7" spans="1:12" x14ac:dyDescent="0.3">
      <c r="B7" s="142">
        <v>4</v>
      </c>
      <c r="C7" t="s">
        <v>234</v>
      </c>
      <c r="D7" s="51">
        <v>2011</v>
      </c>
      <c r="E7" t="s">
        <v>636</v>
      </c>
      <c r="F7" t="s">
        <v>35</v>
      </c>
      <c r="G7" s="51" t="s">
        <v>52</v>
      </c>
      <c r="H7" s="72">
        <v>4.3</v>
      </c>
      <c r="I7" s="2" t="s">
        <v>551</v>
      </c>
      <c r="J7" s="3">
        <v>14</v>
      </c>
      <c r="K7" s="2">
        <v>1.0243497562207906</v>
      </c>
      <c r="L7" s="143">
        <v>-1.3114177537429561E-3</v>
      </c>
    </row>
    <row r="8" spans="1:12" x14ac:dyDescent="0.3">
      <c r="B8" s="142">
        <v>5</v>
      </c>
      <c r="C8" t="s">
        <v>205</v>
      </c>
      <c r="D8" s="51">
        <v>2011</v>
      </c>
      <c r="E8" t="s">
        <v>636</v>
      </c>
      <c r="F8" t="s">
        <v>35</v>
      </c>
      <c r="G8" s="51" t="s">
        <v>83</v>
      </c>
      <c r="H8" s="72">
        <v>3.2</v>
      </c>
      <c r="I8" s="2" t="s">
        <v>567</v>
      </c>
      <c r="J8" s="3">
        <v>14</v>
      </c>
      <c r="K8" s="2">
        <v>1.023710098915422</v>
      </c>
      <c r="L8" s="143">
        <v>-5.3785312872523606E-3</v>
      </c>
    </row>
    <row r="9" spans="1:12" x14ac:dyDescent="0.3">
      <c r="B9" s="142">
        <v>6</v>
      </c>
      <c r="C9" t="s">
        <v>385</v>
      </c>
      <c r="D9" s="51">
        <v>2012</v>
      </c>
      <c r="E9" t="s">
        <v>636</v>
      </c>
      <c r="F9" t="s">
        <v>36</v>
      </c>
      <c r="G9" s="51" t="s">
        <v>386</v>
      </c>
      <c r="H9" s="72">
        <v>11.3</v>
      </c>
      <c r="I9" s="2" t="s">
        <v>663</v>
      </c>
      <c r="J9" s="3">
        <v>14</v>
      </c>
      <c r="K9" s="2">
        <v>1.0211641214061713</v>
      </c>
      <c r="L9" s="143">
        <v>-2.2192404433244342E-2</v>
      </c>
    </row>
    <row r="10" spans="1:12" x14ac:dyDescent="0.3">
      <c r="B10" s="142">
        <v>7</v>
      </c>
      <c r="C10" t="s">
        <v>204</v>
      </c>
      <c r="D10" s="51">
        <v>2011</v>
      </c>
      <c r="E10" t="s">
        <v>636</v>
      </c>
      <c r="F10" t="s">
        <v>35</v>
      </c>
      <c r="G10" s="51" t="s">
        <v>73</v>
      </c>
      <c r="H10" s="72">
        <v>1.2</v>
      </c>
      <c r="I10" s="2" t="s">
        <v>516</v>
      </c>
      <c r="J10" s="3">
        <v>14</v>
      </c>
      <c r="K10" s="2">
        <v>1.0103853138196746</v>
      </c>
      <c r="L10" s="143">
        <v>-1.3643389601504833E-2</v>
      </c>
    </row>
    <row r="11" spans="1:12" x14ac:dyDescent="0.3">
      <c r="B11" s="142">
        <v>8</v>
      </c>
      <c r="C11" t="s">
        <v>100</v>
      </c>
      <c r="D11" s="51">
        <v>2010</v>
      </c>
      <c r="E11" t="s">
        <v>636</v>
      </c>
      <c r="F11" t="s">
        <v>35</v>
      </c>
      <c r="G11" s="51" t="s">
        <v>52</v>
      </c>
      <c r="H11" s="72">
        <v>4.3</v>
      </c>
      <c r="I11" s="2" t="s">
        <v>529</v>
      </c>
      <c r="J11" s="3">
        <v>15</v>
      </c>
      <c r="K11" s="2">
        <v>1.0101383134877513</v>
      </c>
      <c r="L11" s="143">
        <v>-1.4660542667276443E-2</v>
      </c>
    </row>
    <row r="12" spans="1:12" x14ac:dyDescent="0.3">
      <c r="B12" s="142">
        <v>9</v>
      </c>
      <c r="C12" t="s">
        <v>111</v>
      </c>
      <c r="D12" s="51">
        <v>2010</v>
      </c>
      <c r="E12" t="s">
        <v>637</v>
      </c>
      <c r="F12" t="s">
        <v>36</v>
      </c>
      <c r="G12" s="51" t="s">
        <v>112</v>
      </c>
      <c r="H12" s="72">
        <v>10</v>
      </c>
      <c r="I12" s="2" t="s">
        <v>515</v>
      </c>
      <c r="J12" s="3">
        <v>16</v>
      </c>
      <c r="K12" s="2">
        <v>1.0086373717042001</v>
      </c>
      <c r="L12" s="143">
        <v>-1.0239890104034663E-2</v>
      </c>
    </row>
    <row r="13" spans="1:12" x14ac:dyDescent="0.3">
      <c r="B13" s="152">
        <v>10</v>
      </c>
      <c r="C13" s="33" t="s">
        <v>77</v>
      </c>
      <c r="D13" s="138">
        <v>2009</v>
      </c>
      <c r="E13" s="33" t="s">
        <v>636</v>
      </c>
      <c r="F13" s="33" t="s">
        <v>35</v>
      </c>
      <c r="G13" s="138" t="s">
        <v>52</v>
      </c>
      <c r="H13" s="71">
        <v>2.4</v>
      </c>
      <c r="I13" s="21" t="s">
        <v>529</v>
      </c>
      <c r="J13" s="37">
        <v>16</v>
      </c>
      <c r="K13" s="21">
        <v>1.007631172943402</v>
      </c>
      <c r="L13" s="153">
        <v>-5.8961927455440455E-3</v>
      </c>
    </row>
    <row r="14" spans="1:12" hidden="1" x14ac:dyDescent="0.3">
      <c r="B14" s="142">
        <v>11</v>
      </c>
      <c r="C14" t="s">
        <v>485</v>
      </c>
      <c r="D14" s="51">
        <v>2012</v>
      </c>
      <c r="E14" t="s">
        <v>636</v>
      </c>
      <c r="F14" t="s">
        <v>36</v>
      </c>
      <c r="G14" s="51" t="s">
        <v>52</v>
      </c>
      <c r="H14" s="72">
        <v>4.7</v>
      </c>
      <c r="I14" s="2" t="s">
        <v>529</v>
      </c>
      <c r="J14" s="3">
        <v>13</v>
      </c>
      <c r="K14" s="2">
        <v>1.0017647198830217</v>
      </c>
      <c r="L14" s="143">
        <v>-6.6468347707656552E-3</v>
      </c>
    </row>
    <row r="15" spans="1:12" hidden="1" x14ac:dyDescent="0.3">
      <c r="B15" s="142">
        <v>12</v>
      </c>
      <c r="C15" t="s">
        <v>525</v>
      </c>
      <c r="D15" s="51">
        <v>2012</v>
      </c>
      <c r="E15" t="s">
        <v>636</v>
      </c>
      <c r="F15" t="s">
        <v>36</v>
      </c>
      <c r="G15" s="51" t="s">
        <v>144</v>
      </c>
      <c r="H15" s="72">
        <v>10.8</v>
      </c>
      <c r="I15" s="2" t="s">
        <v>526</v>
      </c>
      <c r="J15" s="3">
        <v>13</v>
      </c>
      <c r="K15" s="2">
        <v>0.99998965271853191</v>
      </c>
      <c r="L15" s="143">
        <v>1.9454850259742755E-4</v>
      </c>
    </row>
    <row r="16" spans="1:12" hidden="1" x14ac:dyDescent="0.3">
      <c r="B16" s="142">
        <v>13</v>
      </c>
      <c r="C16" t="s">
        <v>222</v>
      </c>
      <c r="D16" s="51">
        <v>2011</v>
      </c>
      <c r="E16" t="s">
        <v>636</v>
      </c>
      <c r="F16" t="s">
        <v>35</v>
      </c>
      <c r="G16" s="51" t="s">
        <v>52</v>
      </c>
      <c r="H16" s="72">
        <v>2</v>
      </c>
      <c r="I16" s="2" t="s">
        <v>556</v>
      </c>
      <c r="J16" s="3">
        <v>14</v>
      </c>
      <c r="K16" s="2">
        <v>0.98332521826675512</v>
      </c>
      <c r="L16" s="143">
        <v>-1.3915518180341903E-3</v>
      </c>
    </row>
    <row r="17" spans="2:12" hidden="1" x14ac:dyDescent="0.3">
      <c r="B17" s="142">
        <v>14</v>
      </c>
      <c r="C17" t="s">
        <v>214</v>
      </c>
      <c r="D17" s="51">
        <v>2011</v>
      </c>
      <c r="E17" t="s">
        <v>634</v>
      </c>
      <c r="F17" t="s">
        <v>35</v>
      </c>
      <c r="G17" s="51" t="s">
        <v>83</v>
      </c>
      <c r="H17" s="72">
        <v>3</v>
      </c>
      <c r="I17" s="2" t="s">
        <v>570</v>
      </c>
      <c r="J17" s="3">
        <v>14</v>
      </c>
      <c r="K17" s="2">
        <v>0.97813822787280391</v>
      </c>
      <c r="L17" s="143">
        <v>-2.0162706948399174E-2</v>
      </c>
    </row>
    <row r="18" spans="2:12" hidden="1" x14ac:dyDescent="0.3">
      <c r="B18" s="142">
        <v>15</v>
      </c>
      <c r="C18" t="s">
        <v>522</v>
      </c>
      <c r="D18" s="51">
        <v>2012</v>
      </c>
      <c r="E18" t="s">
        <v>636</v>
      </c>
      <c r="F18" t="s">
        <v>36</v>
      </c>
      <c r="G18" s="51" t="s">
        <v>23</v>
      </c>
      <c r="H18" s="72">
        <v>18.8</v>
      </c>
      <c r="I18" s="2" t="s">
        <v>506</v>
      </c>
      <c r="J18" s="3">
        <v>13</v>
      </c>
      <c r="K18" s="2">
        <v>0.97569947194610118</v>
      </c>
      <c r="L18" s="143">
        <v>-4.9940416414127288E-3</v>
      </c>
    </row>
    <row r="19" spans="2:12" hidden="1" x14ac:dyDescent="0.3">
      <c r="B19" s="142">
        <v>16</v>
      </c>
      <c r="C19" t="s">
        <v>364</v>
      </c>
      <c r="D19" s="51">
        <v>2012</v>
      </c>
      <c r="E19" t="s">
        <v>634</v>
      </c>
      <c r="F19" t="s">
        <v>35</v>
      </c>
      <c r="G19" s="51" t="s">
        <v>144</v>
      </c>
      <c r="H19" s="72">
        <v>6.4</v>
      </c>
      <c r="I19" s="2" t="s">
        <v>504</v>
      </c>
      <c r="J19" s="3">
        <v>13</v>
      </c>
      <c r="K19" s="2">
        <v>0.97422345035910896</v>
      </c>
      <c r="L19" s="143">
        <v>-4.5791953007661302E-3</v>
      </c>
    </row>
    <row r="20" spans="2:12" hidden="1" x14ac:dyDescent="0.3">
      <c r="B20" s="142">
        <v>17</v>
      </c>
      <c r="C20" t="s">
        <v>108</v>
      </c>
      <c r="D20" s="51">
        <v>2010</v>
      </c>
      <c r="E20" t="s">
        <v>636</v>
      </c>
      <c r="F20" t="s">
        <v>36</v>
      </c>
      <c r="G20" s="51" t="s">
        <v>109</v>
      </c>
      <c r="H20" s="72">
        <v>27.6</v>
      </c>
      <c r="I20" s="2" t="s">
        <v>555</v>
      </c>
      <c r="J20" s="3">
        <v>15</v>
      </c>
      <c r="K20" s="2">
        <v>0.96877082594642827</v>
      </c>
      <c r="L20" s="143">
        <v>-3.2296930869782012E-2</v>
      </c>
    </row>
    <row r="21" spans="2:12" hidden="1" x14ac:dyDescent="0.3">
      <c r="B21" s="142">
        <v>18</v>
      </c>
      <c r="C21" t="s">
        <v>131</v>
      </c>
      <c r="D21" s="51">
        <v>2010</v>
      </c>
      <c r="E21" t="s">
        <v>634</v>
      </c>
      <c r="F21" t="s">
        <v>35</v>
      </c>
      <c r="G21" s="51" t="s">
        <v>24</v>
      </c>
      <c r="H21" s="72">
        <v>1.2</v>
      </c>
      <c r="I21" s="2" t="s">
        <v>560</v>
      </c>
      <c r="J21" s="3">
        <v>15</v>
      </c>
      <c r="K21" s="2">
        <v>0.96843109876031108</v>
      </c>
      <c r="L21" s="143">
        <v>1.8610378804119671E-3</v>
      </c>
    </row>
    <row r="22" spans="2:12" hidden="1" x14ac:dyDescent="0.3">
      <c r="B22" s="142">
        <v>19</v>
      </c>
      <c r="C22" t="s">
        <v>450</v>
      </c>
      <c r="D22" s="51">
        <v>2012</v>
      </c>
      <c r="E22" t="s">
        <v>634</v>
      </c>
      <c r="F22" t="s">
        <v>35</v>
      </c>
      <c r="G22" s="51" t="s">
        <v>24</v>
      </c>
      <c r="H22" s="72">
        <v>3.7</v>
      </c>
      <c r="I22" s="2" t="s">
        <v>507</v>
      </c>
      <c r="J22" s="3">
        <v>13</v>
      </c>
      <c r="K22" s="2">
        <v>0.96644679370340969</v>
      </c>
      <c r="L22" s="143">
        <v>-1.8932495606414385E-2</v>
      </c>
    </row>
    <row r="23" spans="2:12" hidden="1" x14ac:dyDescent="0.3">
      <c r="B23" s="152">
        <v>20</v>
      </c>
      <c r="C23" s="33" t="s">
        <v>499</v>
      </c>
      <c r="D23" s="138">
        <v>2012</v>
      </c>
      <c r="E23" s="33" t="s">
        <v>636</v>
      </c>
      <c r="F23" s="33" t="s">
        <v>35</v>
      </c>
      <c r="G23" s="138" t="s">
        <v>52</v>
      </c>
      <c r="H23" s="71">
        <v>4.3</v>
      </c>
      <c r="I23" s="21" t="s">
        <v>556</v>
      </c>
      <c r="J23" s="37">
        <v>13</v>
      </c>
      <c r="K23" s="21">
        <v>0.96149436769974106</v>
      </c>
      <c r="L23" s="153">
        <v>-1.9809083750910918E-3</v>
      </c>
    </row>
    <row r="24" spans="2:12" hidden="1" x14ac:dyDescent="0.3">
      <c r="B24" s="142">
        <v>21</v>
      </c>
      <c r="C24" t="s">
        <v>218</v>
      </c>
      <c r="D24" s="51">
        <v>2011</v>
      </c>
      <c r="E24" t="s">
        <v>637</v>
      </c>
      <c r="F24" t="s">
        <v>36</v>
      </c>
      <c r="G24" s="51" t="s">
        <v>86</v>
      </c>
      <c r="H24" s="72">
        <v>1.0349999999999999</v>
      </c>
      <c r="I24" s="2" t="s">
        <v>565</v>
      </c>
      <c r="J24" s="3">
        <v>14</v>
      </c>
      <c r="K24" s="2">
        <v>0.96108307658733172</v>
      </c>
      <c r="L24" s="143">
        <v>-2.979145284823605E-2</v>
      </c>
    </row>
    <row r="25" spans="2:12" hidden="1" x14ac:dyDescent="0.3">
      <c r="B25" s="142">
        <v>22</v>
      </c>
      <c r="C25" t="s">
        <v>134</v>
      </c>
      <c r="D25" s="51">
        <v>2010</v>
      </c>
      <c r="E25" t="s">
        <v>636</v>
      </c>
      <c r="F25" t="s">
        <v>35</v>
      </c>
      <c r="G25" s="51" t="s">
        <v>24</v>
      </c>
      <c r="H25" s="72">
        <v>2.6</v>
      </c>
      <c r="I25" s="2" t="s">
        <v>507</v>
      </c>
      <c r="J25" s="3">
        <v>15</v>
      </c>
      <c r="K25" s="2">
        <v>0.96013494164285862</v>
      </c>
      <c r="L25" s="143">
        <v>-2.0403598252058598E-2</v>
      </c>
    </row>
    <row r="26" spans="2:12" hidden="1" x14ac:dyDescent="0.3">
      <c r="B26" s="142">
        <v>23</v>
      </c>
      <c r="C26" t="s">
        <v>143</v>
      </c>
      <c r="D26" s="51">
        <v>2011</v>
      </c>
      <c r="E26" t="s">
        <v>634</v>
      </c>
      <c r="F26" t="s">
        <v>35</v>
      </c>
      <c r="G26" s="51" t="s">
        <v>144</v>
      </c>
      <c r="H26" s="72">
        <v>37.4</v>
      </c>
      <c r="I26" s="2" t="s">
        <v>511</v>
      </c>
      <c r="J26" s="3">
        <v>14</v>
      </c>
      <c r="K26" s="2">
        <v>0.9578702046115537</v>
      </c>
      <c r="L26" s="143">
        <v>-1.719462346747971E-2</v>
      </c>
    </row>
    <row r="27" spans="2:12" hidden="1" x14ac:dyDescent="0.3">
      <c r="B27" s="142">
        <v>24</v>
      </c>
      <c r="C27" t="s">
        <v>223</v>
      </c>
      <c r="D27" s="51">
        <v>2011</v>
      </c>
      <c r="E27" t="s">
        <v>636</v>
      </c>
      <c r="F27" t="s">
        <v>35</v>
      </c>
      <c r="G27" s="51" t="s">
        <v>109</v>
      </c>
      <c r="H27" s="72">
        <v>11.5</v>
      </c>
      <c r="I27" s="2" t="s">
        <v>572</v>
      </c>
      <c r="J27" s="3">
        <v>14</v>
      </c>
      <c r="K27" s="2">
        <v>0.95514108802469533</v>
      </c>
      <c r="L27" s="143">
        <v>-3.3586534252736333E-2</v>
      </c>
    </row>
    <row r="28" spans="2:12" hidden="1" x14ac:dyDescent="0.3">
      <c r="B28" s="142">
        <v>25</v>
      </c>
      <c r="C28" t="s">
        <v>376</v>
      </c>
      <c r="D28" s="51">
        <v>2012</v>
      </c>
      <c r="E28" t="s">
        <v>636</v>
      </c>
      <c r="F28" t="s">
        <v>36</v>
      </c>
      <c r="G28" s="51" t="s">
        <v>377</v>
      </c>
      <c r="H28" s="72">
        <v>2.2000000000000002</v>
      </c>
      <c r="I28" s="2" t="s">
        <v>503</v>
      </c>
      <c r="J28" s="3">
        <v>13</v>
      </c>
      <c r="K28" s="2">
        <v>0.94377185606513125</v>
      </c>
      <c r="L28" s="143">
        <v>-1.0982608543967069E-2</v>
      </c>
    </row>
    <row r="29" spans="2:12" hidden="1" x14ac:dyDescent="0.3">
      <c r="B29" s="142">
        <v>26</v>
      </c>
      <c r="C29" t="s">
        <v>530</v>
      </c>
      <c r="D29" s="51">
        <v>2012</v>
      </c>
      <c r="E29" t="s">
        <v>636</v>
      </c>
      <c r="F29" t="s">
        <v>36</v>
      </c>
      <c r="G29" s="51" t="s">
        <v>138</v>
      </c>
      <c r="H29" s="72">
        <v>35</v>
      </c>
      <c r="I29" s="2" t="s">
        <v>531</v>
      </c>
      <c r="J29" s="3">
        <v>13</v>
      </c>
      <c r="K29" s="2">
        <v>0.94289594178327618</v>
      </c>
      <c r="L29" s="143">
        <v>2.9204067477620369E-4</v>
      </c>
    </row>
    <row r="30" spans="2:12" hidden="1" x14ac:dyDescent="0.3">
      <c r="B30" s="142">
        <v>27</v>
      </c>
      <c r="C30" t="s">
        <v>206</v>
      </c>
      <c r="D30" s="51">
        <v>2011</v>
      </c>
      <c r="E30" t="s">
        <v>636</v>
      </c>
      <c r="F30" t="s">
        <v>35</v>
      </c>
      <c r="G30" s="51" t="s">
        <v>52</v>
      </c>
      <c r="H30" s="72">
        <v>3.2</v>
      </c>
      <c r="I30" s="2" t="s">
        <v>556</v>
      </c>
      <c r="J30" s="3">
        <v>14</v>
      </c>
      <c r="K30" s="2">
        <v>0.93962992511020904</v>
      </c>
      <c r="L30" s="143">
        <v>2.3263826014566203E-3</v>
      </c>
    </row>
    <row r="31" spans="2:12" hidden="1" x14ac:dyDescent="0.3">
      <c r="B31" s="142">
        <v>28</v>
      </c>
      <c r="C31" t="s">
        <v>216</v>
      </c>
      <c r="D31" s="51">
        <v>2010</v>
      </c>
      <c r="E31" t="s">
        <v>636</v>
      </c>
      <c r="F31" t="s">
        <v>36</v>
      </c>
      <c r="G31" s="51" t="s">
        <v>24</v>
      </c>
      <c r="H31" s="72">
        <v>1.51</v>
      </c>
      <c r="I31" s="2" t="s">
        <v>507</v>
      </c>
      <c r="J31" s="3">
        <v>15</v>
      </c>
      <c r="K31" s="2">
        <v>0.93356861514567113</v>
      </c>
      <c r="L31" s="143">
        <v>-3.5224535937218408E-2</v>
      </c>
    </row>
    <row r="32" spans="2:12" hidden="1" x14ac:dyDescent="0.3">
      <c r="B32" s="142">
        <v>29</v>
      </c>
      <c r="C32" t="s">
        <v>82</v>
      </c>
      <c r="D32" s="51">
        <v>2009</v>
      </c>
      <c r="E32" t="s">
        <v>636</v>
      </c>
      <c r="F32" t="s">
        <v>35</v>
      </c>
      <c r="G32" s="51" t="s">
        <v>83</v>
      </c>
      <c r="H32" s="72">
        <v>3.1</v>
      </c>
      <c r="I32" s="2" t="s">
        <v>551</v>
      </c>
      <c r="J32" s="3">
        <v>16</v>
      </c>
      <c r="K32" s="2">
        <v>0.93196702246183927</v>
      </c>
      <c r="L32" s="143">
        <v>-1.1274641426685463E-2</v>
      </c>
    </row>
    <row r="33" spans="2:12" hidden="1" x14ac:dyDescent="0.3">
      <c r="B33" s="152">
        <v>30</v>
      </c>
      <c r="C33" s="33" t="s">
        <v>228</v>
      </c>
      <c r="D33" s="138">
        <v>2012</v>
      </c>
      <c r="E33" s="33" t="s">
        <v>636</v>
      </c>
      <c r="F33" s="33" t="s">
        <v>35</v>
      </c>
      <c r="G33" s="138" t="s">
        <v>52</v>
      </c>
      <c r="H33" s="71">
        <v>1.3</v>
      </c>
      <c r="I33" s="21" t="s">
        <v>551</v>
      </c>
      <c r="J33" s="37">
        <v>13</v>
      </c>
      <c r="K33" s="21">
        <v>0.93145960139800998</v>
      </c>
      <c r="L33" s="153">
        <v>-4.4098734334394709E-3</v>
      </c>
    </row>
    <row r="34" spans="2:12" hidden="1" x14ac:dyDescent="0.3">
      <c r="B34" s="142">
        <v>31</v>
      </c>
      <c r="C34" t="s">
        <v>122</v>
      </c>
      <c r="D34" s="51">
        <v>2010</v>
      </c>
      <c r="E34" t="s">
        <v>634</v>
      </c>
      <c r="F34" t="s">
        <v>35</v>
      </c>
      <c r="G34" s="51" t="s">
        <v>24</v>
      </c>
      <c r="H34" s="72">
        <v>26.4</v>
      </c>
      <c r="I34" s="2" t="s">
        <v>512</v>
      </c>
      <c r="J34" s="3">
        <v>15</v>
      </c>
      <c r="K34" s="2">
        <v>0.92422852382336318</v>
      </c>
      <c r="L34" s="143">
        <v>-1.5750661397304334E-2</v>
      </c>
    </row>
    <row r="35" spans="2:12" hidden="1" x14ac:dyDescent="0.3">
      <c r="B35" s="142">
        <v>32</v>
      </c>
      <c r="C35" t="s">
        <v>232</v>
      </c>
      <c r="D35" s="51">
        <v>2011</v>
      </c>
      <c r="E35" t="s">
        <v>636</v>
      </c>
      <c r="F35" t="s">
        <v>35</v>
      </c>
      <c r="G35" s="51" t="s">
        <v>52</v>
      </c>
      <c r="H35" s="72">
        <v>1.7</v>
      </c>
      <c r="I35" s="2" t="s">
        <v>556</v>
      </c>
      <c r="J35" s="3">
        <v>14</v>
      </c>
      <c r="K35" s="2">
        <v>0.92390684275605861</v>
      </c>
      <c r="L35" s="143">
        <v>1.611571825287008E-3</v>
      </c>
    </row>
    <row r="36" spans="2:12" hidden="1" x14ac:dyDescent="0.3">
      <c r="B36" s="142">
        <v>33</v>
      </c>
      <c r="C36" t="s">
        <v>236</v>
      </c>
      <c r="D36" s="51">
        <v>2011</v>
      </c>
      <c r="E36" t="s">
        <v>634</v>
      </c>
      <c r="F36" t="s">
        <v>35</v>
      </c>
      <c r="G36" s="51" t="s">
        <v>233</v>
      </c>
      <c r="H36" s="72">
        <v>12</v>
      </c>
      <c r="I36" s="2" t="s">
        <v>573</v>
      </c>
      <c r="J36" s="3">
        <v>15</v>
      </c>
      <c r="K36" s="2">
        <v>0.92340920734101395</v>
      </c>
      <c r="L36" s="143">
        <v>-2.330039679731085E-2</v>
      </c>
    </row>
    <row r="37" spans="2:12" hidden="1" x14ac:dyDescent="0.3">
      <c r="B37" s="142">
        <v>34</v>
      </c>
      <c r="C37" t="s">
        <v>226</v>
      </c>
      <c r="D37" s="51">
        <v>2011</v>
      </c>
      <c r="E37" t="s">
        <v>636</v>
      </c>
      <c r="F37" t="s">
        <v>35</v>
      </c>
      <c r="G37" s="51" t="s">
        <v>24</v>
      </c>
      <c r="H37" s="72">
        <v>5</v>
      </c>
      <c r="I37" s="2" t="s">
        <v>509</v>
      </c>
      <c r="J37" s="3">
        <v>14</v>
      </c>
      <c r="K37" s="2">
        <v>0.91761429721748056</v>
      </c>
      <c r="L37" s="143">
        <v>6.0236196207301331E-3</v>
      </c>
    </row>
    <row r="38" spans="2:12" hidden="1" x14ac:dyDescent="0.3">
      <c r="B38" s="142">
        <v>35</v>
      </c>
      <c r="C38" t="s">
        <v>140</v>
      </c>
      <c r="D38" s="51">
        <v>2011</v>
      </c>
      <c r="E38" t="s">
        <v>634</v>
      </c>
      <c r="F38" t="s">
        <v>35</v>
      </c>
      <c r="G38" s="51" t="s">
        <v>47</v>
      </c>
      <c r="H38" s="72">
        <v>60.5</v>
      </c>
      <c r="I38" s="2" t="s">
        <v>510</v>
      </c>
      <c r="J38" s="3">
        <v>14</v>
      </c>
      <c r="K38" s="2">
        <v>0.91496567275538632</v>
      </c>
      <c r="L38" s="143">
        <v>-1.0048840234531051E-2</v>
      </c>
    </row>
    <row r="39" spans="2:12" hidden="1" x14ac:dyDescent="0.3">
      <c r="B39" s="142">
        <v>36</v>
      </c>
      <c r="C39" t="s">
        <v>363</v>
      </c>
      <c r="D39" s="51">
        <v>2011</v>
      </c>
      <c r="E39" t="s">
        <v>636</v>
      </c>
      <c r="F39" t="s">
        <v>36</v>
      </c>
      <c r="G39" s="51" t="s">
        <v>24</v>
      </c>
      <c r="H39" s="72">
        <v>2.4</v>
      </c>
      <c r="I39" s="2" t="s">
        <v>507</v>
      </c>
      <c r="J39" s="3">
        <v>14</v>
      </c>
      <c r="K39" s="2">
        <v>0.90785237163284582</v>
      </c>
      <c r="L39" s="143">
        <v>-1.3711621247229635E-2</v>
      </c>
    </row>
    <row r="40" spans="2:12" hidden="1" x14ac:dyDescent="0.3">
      <c r="B40" s="142">
        <v>37</v>
      </c>
      <c r="C40" t="s">
        <v>362</v>
      </c>
      <c r="D40" s="51">
        <v>2011</v>
      </c>
      <c r="E40" t="s">
        <v>636</v>
      </c>
      <c r="F40" t="s">
        <v>36</v>
      </c>
      <c r="G40" s="51" t="s">
        <v>24</v>
      </c>
      <c r="H40" s="72">
        <v>3.6</v>
      </c>
      <c r="I40" s="2" t="s">
        <v>507</v>
      </c>
      <c r="J40" s="3">
        <v>14</v>
      </c>
      <c r="K40" s="2">
        <v>0.9077275137708698</v>
      </c>
      <c r="L40" s="143">
        <v>-1.6423013973833563E-2</v>
      </c>
    </row>
    <row r="41" spans="2:12" hidden="1" x14ac:dyDescent="0.3">
      <c r="B41" s="142">
        <v>38</v>
      </c>
      <c r="C41" t="s">
        <v>121</v>
      </c>
      <c r="D41" s="51">
        <v>2010</v>
      </c>
      <c r="E41" t="s">
        <v>636</v>
      </c>
      <c r="F41" t="s">
        <v>36</v>
      </c>
      <c r="G41" s="51" t="s">
        <v>51</v>
      </c>
      <c r="H41" s="72">
        <v>2</v>
      </c>
      <c r="I41" s="2" t="s">
        <v>514</v>
      </c>
      <c r="J41" s="3">
        <v>15</v>
      </c>
      <c r="K41" s="2">
        <v>0.9061679845493148</v>
      </c>
      <c r="L41" s="143">
        <v>-2.943008214756836E-2</v>
      </c>
    </row>
    <row r="42" spans="2:12" hidden="1" x14ac:dyDescent="0.3">
      <c r="B42" s="142">
        <v>39</v>
      </c>
      <c r="C42" t="s">
        <v>78</v>
      </c>
      <c r="D42" s="51">
        <v>2009</v>
      </c>
      <c r="E42" t="s">
        <v>634</v>
      </c>
      <c r="F42" t="s">
        <v>35</v>
      </c>
      <c r="G42" s="51" t="s">
        <v>47</v>
      </c>
      <c r="H42" s="72">
        <v>12.4</v>
      </c>
      <c r="I42" s="2" t="s">
        <v>510</v>
      </c>
      <c r="J42" s="3">
        <v>16</v>
      </c>
      <c r="K42" s="2">
        <v>0.90379117984395596</v>
      </c>
      <c r="L42" s="143">
        <v>-7.8419371691700931E-3</v>
      </c>
    </row>
    <row r="43" spans="2:12" hidden="1" x14ac:dyDescent="0.3">
      <c r="B43" s="152">
        <v>40</v>
      </c>
      <c r="C43" s="33" t="s">
        <v>210</v>
      </c>
      <c r="D43" s="138">
        <v>2011</v>
      </c>
      <c r="E43" s="33" t="s">
        <v>636</v>
      </c>
      <c r="F43" s="33" t="s">
        <v>35</v>
      </c>
      <c r="G43" s="138" t="s">
        <v>64</v>
      </c>
      <c r="H43" s="71">
        <v>1</v>
      </c>
      <c r="I43" s="21" t="s">
        <v>569</v>
      </c>
      <c r="J43" s="37">
        <v>14</v>
      </c>
      <c r="K43" s="21">
        <v>0.90272586545838196</v>
      </c>
      <c r="L43" s="153">
        <v>-3.1370760213785933E-3</v>
      </c>
    </row>
    <row r="44" spans="2:12" hidden="1" x14ac:dyDescent="0.3">
      <c r="B44" s="142">
        <v>41</v>
      </c>
      <c r="C44" t="s">
        <v>203</v>
      </c>
      <c r="D44" s="51">
        <v>2011</v>
      </c>
      <c r="E44" t="s">
        <v>634</v>
      </c>
      <c r="F44" t="s">
        <v>35</v>
      </c>
      <c r="G44" s="51" t="s">
        <v>109</v>
      </c>
      <c r="H44" s="72">
        <v>15</v>
      </c>
      <c r="I44" s="2" t="s">
        <v>203</v>
      </c>
      <c r="J44" s="3">
        <v>14</v>
      </c>
      <c r="K44" s="2">
        <v>0.8972785109426078</v>
      </c>
      <c r="L44" s="143">
        <v>-3.4944275438332707E-2</v>
      </c>
    </row>
    <row r="45" spans="2:12" hidden="1" x14ac:dyDescent="0.3">
      <c r="B45" s="142">
        <v>42</v>
      </c>
      <c r="C45" t="s">
        <v>95</v>
      </c>
      <c r="D45" s="51">
        <v>2011</v>
      </c>
      <c r="E45" t="s">
        <v>636</v>
      </c>
      <c r="F45" t="s">
        <v>35</v>
      </c>
      <c r="G45" s="51" t="s">
        <v>96</v>
      </c>
      <c r="H45" s="72">
        <v>0.5</v>
      </c>
      <c r="I45" s="2" t="s">
        <v>554</v>
      </c>
      <c r="J45" s="3">
        <v>15</v>
      </c>
      <c r="K45" s="2">
        <v>0.89714554957601378</v>
      </c>
      <c r="L45" s="143">
        <v>-3.1854189141116887E-2</v>
      </c>
    </row>
    <row r="46" spans="2:12" hidden="1" x14ac:dyDescent="0.3">
      <c r="B46" s="142">
        <v>43</v>
      </c>
      <c r="C46" t="s">
        <v>157</v>
      </c>
      <c r="D46" s="51">
        <v>2011</v>
      </c>
      <c r="E46" t="s">
        <v>636</v>
      </c>
      <c r="F46" t="s">
        <v>35</v>
      </c>
      <c r="G46" s="51" t="s">
        <v>52</v>
      </c>
      <c r="H46" s="72">
        <v>4.0999999999999996</v>
      </c>
      <c r="I46" s="2" t="s">
        <v>556</v>
      </c>
      <c r="J46" s="3">
        <v>14</v>
      </c>
      <c r="K46" s="2">
        <v>0.89024023834151844</v>
      </c>
      <c r="L46" s="143">
        <v>-4.460817596753764E-2</v>
      </c>
    </row>
    <row r="47" spans="2:12" hidden="1" x14ac:dyDescent="0.3">
      <c r="B47" s="142">
        <v>44</v>
      </c>
      <c r="C47" t="s">
        <v>76</v>
      </c>
      <c r="D47" s="51">
        <v>2008</v>
      </c>
      <c r="E47" t="s">
        <v>637</v>
      </c>
      <c r="F47" t="s">
        <v>36</v>
      </c>
      <c r="G47" s="51" t="s">
        <v>47</v>
      </c>
      <c r="H47" s="72">
        <v>14.2</v>
      </c>
      <c r="I47" s="2" t="s">
        <v>510</v>
      </c>
      <c r="J47" s="3">
        <v>17</v>
      </c>
      <c r="K47" s="2">
        <v>0.8883293062644867</v>
      </c>
      <c r="L47" s="143">
        <v>-2.9172846589626326E-2</v>
      </c>
    </row>
    <row r="48" spans="2:12" hidden="1" x14ac:dyDescent="0.3">
      <c r="B48" s="142">
        <v>45</v>
      </c>
      <c r="C48" t="s">
        <v>202</v>
      </c>
      <c r="D48" s="51">
        <v>2011</v>
      </c>
      <c r="E48" t="s">
        <v>636</v>
      </c>
      <c r="F48" t="s">
        <v>35</v>
      </c>
      <c r="G48" s="51" t="s">
        <v>64</v>
      </c>
      <c r="H48" s="72">
        <v>1</v>
      </c>
      <c r="I48" s="2" t="s">
        <v>549</v>
      </c>
      <c r="J48" s="3">
        <v>14</v>
      </c>
      <c r="K48" s="2">
        <v>0.88782912259465796</v>
      </c>
      <c r="L48" s="143">
        <v>-5.319819479111516E-3</v>
      </c>
    </row>
    <row r="49" spans="2:12" hidden="1" x14ac:dyDescent="0.3">
      <c r="B49" s="142">
        <v>46</v>
      </c>
      <c r="C49" t="s">
        <v>527</v>
      </c>
      <c r="D49" s="51">
        <v>2012</v>
      </c>
      <c r="E49" t="s">
        <v>636</v>
      </c>
      <c r="F49" t="s">
        <v>35</v>
      </c>
      <c r="G49" s="51" t="s">
        <v>24</v>
      </c>
      <c r="H49" s="72">
        <v>24.6</v>
      </c>
      <c r="I49" s="2" t="s">
        <v>513</v>
      </c>
      <c r="J49" s="3">
        <v>13</v>
      </c>
      <c r="K49" s="2">
        <v>0.88358672132652116</v>
      </c>
      <c r="L49" s="143">
        <v>-4.9372998260313362E-2</v>
      </c>
    </row>
    <row r="50" spans="2:12" hidden="1" x14ac:dyDescent="0.3">
      <c r="B50" s="142">
        <v>47</v>
      </c>
      <c r="C50" t="s">
        <v>118</v>
      </c>
      <c r="D50" s="51">
        <v>2010</v>
      </c>
      <c r="E50" t="s">
        <v>636</v>
      </c>
      <c r="F50" t="s">
        <v>35</v>
      </c>
      <c r="G50" s="51" t="s">
        <v>52</v>
      </c>
      <c r="H50" s="72">
        <v>2.2000000000000002</v>
      </c>
      <c r="I50" s="2" t="s">
        <v>557</v>
      </c>
      <c r="J50" s="3">
        <v>15</v>
      </c>
      <c r="K50" s="2">
        <v>0.88326363540349817</v>
      </c>
      <c r="L50" s="143">
        <v>-1.7654519841222294E-2</v>
      </c>
    </row>
    <row r="51" spans="2:12" hidden="1" x14ac:dyDescent="0.3">
      <c r="B51" s="142">
        <v>48</v>
      </c>
      <c r="C51" t="s">
        <v>381</v>
      </c>
      <c r="D51" s="51">
        <v>2012</v>
      </c>
      <c r="E51" t="s">
        <v>636</v>
      </c>
      <c r="F51" t="s">
        <v>36</v>
      </c>
      <c r="G51" s="51" t="s">
        <v>23</v>
      </c>
      <c r="H51" s="72">
        <v>21</v>
      </c>
      <c r="I51" s="2" t="s">
        <v>506</v>
      </c>
      <c r="J51" s="3">
        <v>13</v>
      </c>
      <c r="K51" s="2">
        <v>0.88219172548014158</v>
      </c>
      <c r="L51" s="143">
        <v>-1.1956378934225692E-2</v>
      </c>
    </row>
    <row r="52" spans="2:12" hidden="1" x14ac:dyDescent="0.3">
      <c r="B52" s="142">
        <v>49</v>
      </c>
      <c r="C52" t="s">
        <v>62</v>
      </c>
      <c r="D52" s="51">
        <v>2008</v>
      </c>
      <c r="E52" t="s">
        <v>636</v>
      </c>
      <c r="F52" t="s">
        <v>35</v>
      </c>
      <c r="G52" s="51" t="s">
        <v>24</v>
      </c>
      <c r="H52" s="72">
        <v>1.173</v>
      </c>
      <c r="I52" s="2" t="s">
        <v>513</v>
      </c>
      <c r="J52" s="3">
        <v>17</v>
      </c>
      <c r="K52" s="2">
        <v>0.88031106349258481</v>
      </c>
      <c r="L52" s="143">
        <v>-1.6626178430542239E-2</v>
      </c>
    </row>
    <row r="53" spans="2:12" hidden="1" x14ac:dyDescent="0.3">
      <c r="B53" s="152">
        <v>50</v>
      </c>
      <c r="C53" s="33" t="s">
        <v>365</v>
      </c>
      <c r="D53" s="138">
        <v>2011</v>
      </c>
      <c r="E53" s="33" t="s">
        <v>634</v>
      </c>
      <c r="F53" s="33" t="s">
        <v>35</v>
      </c>
      <c r="G53" s="138" t="s">
        <v>144</v>
      </c>
      <c r="H53" s="71">
        <v>2.4</v>
      </c>
      <c r="I53" s="21" t="s">
        <v>505</v>
      </c>
      <c r="J53" s="37">
        <v>14</v>
      </c>
      <c r="K53" s="21">
        <v>0.87962503354728916</v>
      </c>
      <c r="L53" s="153">
        <v>2.9405488708434568E-2</v>
      </c>
    </row>
    <row r="54" spans="2:12" hidden="1" x14ac:dyDescent="0.3">
      <c r="B54" s="142">
        <v>51</v>
      </c>
      <c r="C54" t="s">
        <v>139</v>
      </c>
      <c r="D54" s="51">
        <v>2011</v>
      </c>
      <c r="E54" t="s">
        <v>634</v>
      </c>
      <c r="F54" t="s">
        <v>35</v>
      </c>
      <c r="G54" s="51" t="s">
        <v>138</v>
      </c>
      <c r="H54" s="72">
        <v>16.7</v>
      </c>
      <c r="I54" s="2" t="s">
        <v>564</v>
      </c>
      <c r="J54" s="3">
        <v>14</v>
      </c>
      <c r="K54" s="2">
        <v>0.87554995816986281</v>
      </c>
      <c r="L54" s="143">
        <v>-2.5732083605859889E-2</v>
      </c>
    </row>
    <row r="55" spans="2:12" hidden="1" x14ac:dyDescent="0.3">
      <c r="B55" s="142">
        <v>52</v>
      </c>
      <c r="C55" t="s">
        <v>391</v>
      </c>
      <c r="D55" s="51">
        <v>2012</v>
      </c>
      <c r="E55" t="s">
        <v>636</v>
      </c>
      <c r="F55" t="s">
        <v>35</v>
      </c>
      <c r="G55" s="51" t="s">
        <v>24</v>
      </c>
      <c r="H55" s="72">
        <v>17.600000000000001</v>
      </c>
      <c r="I55" s="2" t="s">
        <v>513</v>
      </c>
      <c r="J55" s="3">
        <v>13</v>
      </c>
      <c r="K55" s="2">
        <v>0.87026025651753569</v>
      </c>
      <c r="L55" s="143">
        <v>-4.3903520562051893E-2</v>
      </c>
    </row>
    <row r="56" spans="2:12" hidden="1" x14ac:dyDescent="0.3">
      <c r="B56" s="142">
        <v>53</v>
      </c>
      <c r="C56" t="s">
        <v>89</v>
      </c>
      <c r="D56" s="51">
        <v>2009</v>
      </c>
      <c r="E56" t="s">
        <v>634</v>
      </c>
      <c r="F56" t="s">
        <v>35</v>
      </c>
      <c r="G56" s="51" t="s">
        <v>24</v>
      </c>
      <c r="H56" s="72">
        <v>1.2363839999999999</v>
      </c>
      <c r="I56" s="2" t="s">
        <v>507</v>
      </c>
      <c r="J56" s="3">
        <v>12</v>
      </c>
      <c r="K56" s="2">
        <v>0.86450043186843828</v>
      </c>
      <c r="L56" s="143">
        <v>-1.7202428298773213E-2</v>
      </c>
    </row>
    <row r="57" spans="2:12" hidden="1" x14ac:dyDescent="0.3">
      <c r="B57" s="142">
        <v>54</v>
      </c>
      <c r="C57" t="s">
        <v>488</v>
      </c>
      <c r="D57" s="51">
        <v>2012</v>
      </c>
      <c r="E57" t="s">
        <v>636</v>
      </c>
      <c r="F57" t="s">
        <v>35</v>
      </c>
      <c r="G57" s="51" t="s">
        <v>24</v>
      </c>
      <c r="H57" s="72">
        <v>18.5</v>
      </c>
      <c r="I57" s="2" t="s">
        <v>513</v>
      </c>
      <c r="J57" s="3">
        <v>13</v>
      </c>
      <c r="K57" s="2">
        <v>0.85772291158434177</v>
      </c>
      <c r="L57" s="143">
        <v>-5.6726612146556596E-2</v>
      </c>
    </row>
    <row r="58" spans="2:12" hidden="1" x14ac:dyDescent="0.3">
      <c r="B58" s="142">
        <v>55</v>
      </c>
      <c r="C58" t="s">
        <v>227</v>
      </c>
      <c r="D58" s="51">
        <v>2011</v>
      </c>
      <c r="E58" t="s">
        <v>636</v>
      </c>
      <c r="F58" t="s">
        <v>36</v>
      </c>
      <c r="G58" s="51" t="s">
        <v>86</v>
      </c>
      <c r="H58" s="72">
        <v>1.2</v>
      </c>
      <c r="I58" s="2" t="s">
        <v>565</v>
      </c>
      <c r="J58" s="3">
        <v>14</v>
      </c>
      <c r="K58" s="2">
        <v>0.85016635466116897</v>
      </c>
      <c r="L58" s="143">
        <v>-2.8274083248515176E-2</v>
      </c>
    </row>
    <row r="59" spans="2:12" hidden="1" x14ac:dyDescent="0.3">
      <c r="B59" s="142">
        <v>56</v>
      </c>
      <c r="C59" t="s">
        <v>358</v>
      </c>
      <c r="D59" s="51">
        <v>2011</v>
      </c>
      <c r="E59" t="s">
        <v>636</v>
      </c>
      <c r="F59" t="s">
        <v>35</v>
      </c>
      <c r="G59" s="51" t="s">
        <v>24</v>
      </c>
      <c r="H59" s="72">
        <v>1.3</v>
      </c>
      <c r="I59" s="2" t="s">
        <v>568</v>
      </c>
      <c r="J59" s="3">
        <v>12</v>
      </c>
      <c r="K59" s="2">
        <v>0.84826786867721959</v>
      </c>
      <c r="L59" s="143">
        <v>-5.4740016088863419E-2</v>
      </c>
    </row>
    <row r="60" spans="2:12" hidden="1" x14ac:dyDescent="0.3">
      <c r="B60" s="142">
        <v>57</v>
      </c>
      <c r="C60" t="s">
        <v>63</v>
      </c>
      <c r="D60" s="51">
        <v>2011</v>
      </c>
      <c r="E60" t="s">
        <v>636</v>
      </c>
      <c r="F60" t="s">
        <v>35</v>
      </c>
      <c r="G60" s="51" t="s">
        <v>64</v>
      </c>
      <c r="H60" s="72">
        <v>0.73599999999999999</v>
      </c>
      <c r="I60" s="2" t="s">
        <v>549</v>
      </c>
      <c r="J60" s="3">
        <v>15</v>
      </c>
      <c r="K60" s="2">
        <v>0.84809324842923273</v>
      </c>
      <c r="L60" s="143">
        <v>2.2763685397168333E-3</v>
      </c>
    </row>
    <row r="61" spans="2:12" hidden="1" x14ac:dyDescent="0.3">
      <c r="B61" s="142">
        <v>58</v>
      </c>
      <c r="C61" t="s">
        <v>141</v>
      </c>
      <c r="D61" s="51">
        <v>2011</v>
      </c>
      <c r="E61" t="s">
        <v>636</v>
      </c>
      <c r="F61" t="s">
        <v>35</v>
      </c>
      <c r="G61" s="51" t="s">
        <v>24</v>
      </c>
      <c r="H61" s="72">
        <v>6.3</v>
      </c>
      <c r="I61" s="2" t="s">
        <v>513</v>
      </c>
      <c r="J61" s="3">
        <v>14</v>
      </c>
      <c r="K61" s="2">
        <v>0.84618577156610564</v>
      </c>
      <c r="L61" s="143">
        <v>-5.4677212584972684E-2</v>
      </c>
    </row>
    <row r="62" spans="2:12" hidden="1" x14ac:dyDescent="0.3">
      <c r="B62" s="142">
        <v>59</v>
      </c>
      <c r="C62" t="s">
        <v>440</v>
      </c>
      <c r="D62" s="51">
        <v>2012</v>
      </c>
      <c r="E62" t="s">
        <v>636</v>
      </c>
      <c r="F62" t="s">
        <v>35</v>
      </c>
      <c r="G62" s="51" t="s">
        <v>389</v>
      </c>
      <c r="H62" s="72">
        <v>1.2</v>
      </c>
      <c r="I62" s="2" t="s">
        <v>524</v>
      </c>
      <c r="J62" s="3">
        <v>13</v>
      </c>
      <c r="K62" s="2">
        <v>0.83874621184944753</v>
      </c>
      <c r="L62" s="143">
        <v>-4.1487042470536181E-2</v>
      </c>
    </row>
    <row r="63" spans="2:12" hidden="1" x14ac:dyDescent="0.3">
      <c r="B63" s="152">
        <v>60</v>
      </c>
      <c r="C63" s="33" t="s">
        <v>128</v>
      </c>
      <c r="D63" s="138">
        <v>2009</v>
      </c>
      <c r="E63" s="33" t="s">
        <v>636</v>
      </c>
      <c r="F63" s="33" t="s">
        <v>36</v>
      </c>
      <c r="G63" s="138" t="s">
        <v>24</v>
      </c>
      <c r="H63" s="71">
        <v>1.2</v>
      </c>
      <c r="I63" s="21" t="s">
        <v>507</v>
      </c>
      <c r="J63" s="37">
        <v>16</v>
      </c>
      <c r="K63" s="21">
        <v>0.83564679862362357</v>
      </c>
      <c r="L63" s="153">
        <v>-4.1477129138236028E-2</v>
      </c>
    </row>
    <row r="64" spans="2:12" hidden="1" x14ac:dyDescent="0.3">
      <c r="B64" s="142">
        <v>61</v>
      </c>
      <c r="C64" t="s">
        <v>113</v>
      </c>
      <c r="D64" s="51">
        <v>2009</v>
      </c>
      <c r="E64" t="s">
        <v>634</v>
      </c>
      <c r="F64" t="s">
        <v>35</v>
      </c>
      <c r="G64" s="51" t="s">
        <v>52</v>
      </c>
      <c r="H64" s="72">
        <v>1.8</v>
      </c>
      <c r="I64" s="2" t="s">
        <v>556</v>
      </c>
      <c r="J64" s="3">
        <v>16</v>
      </c>
      <c r="K64" s="2">
        <v>0.81851808235136048</v>
      </c>
      <c r="L64" s="143">
        <v>-1.9509476031215157E-2</v>
      </c>
    </row>
    <row r="65" spans="2:12" hidden="1" x14ac:dyDescent="0.3">
      <c r="B65" s="142">
        <v>62</v>
      </c>
      <c r="C65" t="s">
        <v>215</v>
      </c>
      <c r="D65" s="51">
        <v>2011</v>
      </c>
      <c r="E65" t="s">
        <v>636</v>
      </c>
      <c r="F65" t="s">
        <v>35</v>
      </c>
      <c r="G65" s="51" t="s">
        <v>51</v>
      </c>
      <c r="H65" s="72">
        <v>3.3</v>
      </c>
      <c r="I65" s="2" t="s">
        <v>514</v>
      </c>
      <c r="J65" s="3">
        <v>14</v>
      </c>
      <c r="K65" s="2">
        <v>0.81844140991716796</v>
      </c>
      <c r="L65" s="143">
        <v>-3.6587323708704989E-2</v>
      </c>
    </row>
    <row r="66" spans="2:12" hidden="1" x14ac:dyDescent="0.3">
      <c r="B66" s="142">
        <v>63</v>
      </c>
      <c r="C66" t="s">
        <v>92</v>
      </c>
      <c r="D66" s="51">
        <v>2010</v>
      </c>
      <c r="E66" t="s">
        <v>636</v>
      </c>
      <c r="F66" t="s">
        <v>35</v>
      </c>
      <c r="G66" s="51" t="s">
        <v>47</v>
      </c>
      <c r="H66" s="72">
        <v>1.575</v>
      </c>
      <c r="I66" s="2" t="s">
        <v>553</v>
      </c>
      <c r="J66" s="3">
        <v>16</v>
      </c>
      <c r="K66" s="2">
        <v>0.81751108053909394</v>
      </c>
      <c r="L66" s="143">
        <v>-2.3309115950285685E-2</v>
      </c>
    </row>
    <row r="67" spans="2:12" hidden="1" x14ac:dyDescent="0.3">
      <c r="B67" s="142">
        <v>64</v>
      </c>
      <c r="C67" t="s">
        <v>585</v>
      </c>
      <c r="D67" s="51">
        <v>2009</v>
      </c>
      <c r="E67" t="s">
        <v>636</v>
      </c>
      <c r="F67" t="s">
        <v>36</v>
      </c>
      <c r="G67" s="51" t="s">
        <v>24</v>
      </c>
      <c r="H67" s="72">
        <v>1.1000000000000001</v>
      </c>
      <c r="I67" s="2" t="s">
        <v>507</v>
      </c>
      <c r="J67" s="3">
        <v>16</v>
      </c>
      <c r="K67" s="2">
        <v>0.81169202088807069</v>
      </c>
      <c r="L67" s="143">
        <v>-3.5557168771112299E-2</v>
      </c>
    </row>
    <row r="68" spans="2:12" hidden="1" x14ac:dyDescent="0.3">
      <c r="B68" s="142">
        <v>65</v>
      </c>
      <c r="C68" t="s">
        <v>107</v>
      </c>
      <c r="D68" s="51">
        <v>2009</v>
      </c>
      <c r="E68" t="s">
        <v>636</v>
      </c>
      <c r="F68" t="s">
        <v>35</v>
      </c>
      <c r="G68" s="51" t="s">
        <v>24</v>
      </c>
      <c r="H68" s="72">
        <v>1.2</v>
      </c>
      <c r="I68" s="2" t="s">
        <v>512</v>
      </c>
      <c r="J68" s="3">
        <v>16</v>
      </c>
      <c r="K68" s="2">
        <v>0.80969620334439452</v>
      </c>
      <c r="L68" s="143">
        <v>-3.9952041013202502E-2</v>
      </c>
    </row>
    <row r="69" spans="2:12" hidden="1" x14ac:dyDescent="0.3">
      <c r="B69" s="142">
        <v>66</v>
      </c>
      <c r="C69" t="s">
        <v>142</v>
      </c>
      <c r="D69" s="51">
        <v>2010</v>
      </c>
      <c r="E69" t="s">
        <v>636</v>
      </c>
      <c r="F69" t="s">
        <v>35</v>
      </c>
      <c r="G69" s="51" t="s">
        <v>51</v>
      </c>
      <c r="H69" s="72">
        <v>2</v>
      </c>
      <c r="I69" s="2" t="s">
        <v>508</v>
      </c>
      <c r="J69" s="3">
        <v>15</v>
      </c>
      <c r="K69" s="2">
        <v>0.80671688630496696</v>
      </c>
      <c r="L69" s="143">
        <v>-3.8305895326163609E-3</v>
      </c>
    </row>
    <row r="70" spans="2:12" hidden="1" x14ac:dyDescent="0.3">
      <c r="B70" s="142">
        <v>67</v>
      </c>
      <c r="C70" t="s">
        <v>463</v>
      </c>
      <c r="D70" s="51">
        <v>2012</v>
      </c>
      <c r="E70" t="s">
        <v>636</v>
      </c>
      <c r="F70" t="s">
        <v>35</v>
      </c>
      <c r="G70" s="51" t="s">
        <v>109</v>
      </c>
      <c r="H70" s="72">
        <v>2</v>
      </c>
      <c r="I70" s="2" t="s">
        <v>203</v>
      </c>
      <c r="J70" s="3">
        <v>13</v>
      </c>
      <c r="K70" s="2">
        <v>0.80294024125221419</v>
      </c>
      <c r="L70" s="143">
        <v>-5.1296568633331027E-2</v>
      </c>
    </row>
    <row r="71" spans="2:12" hidden="1" x14ac:dyDescent="0.3">
      <c r="B71" s="142">
        <v>68</v>
      </c>
      <c r="C71" t="s">
        <v>528</v>
      </c>
      <c r="D71" s="51">
        <v>2012</v>
      </c>
      <c r="E71" t="s">
        <v>636</v>
      </c>
      <c r="F71" t="s">
        <v>35</v>
      </c>
      <c r="G71" s="51" t="s">
        <v>52</v>
      </c>
      <c r="H71" s="72">
        <v>4.8</v>
      </c>
      <c r="I71" s="2" t="s">
        <v>529</v>
      </c>
      <c r="J71" s="3">
        <v>13</v>
      </c>
      <c r="K71" s="2">
        <v>0.79765408462119158</v>
      </c>
      <c r="L71" s="143">
        <v>-6.8615754959211933E-2</v>
      </c>
    </row>
    <row r="72" spans="2:12" hidden="1" x14ac:dyDescent="0.3">
      <c r="B72" s="142">
        <v>69</v>
      </c>
      <c r="C72" t="s">
        <v>53</v>
      </c>
      <c r="D72" s="51">
        <v>2008</v>
      </c>
      <c r="E72" t="s">
        <v>636</v>
      </c>
      <c r="F72" t="s">
        <v>36</v>
      </c>
      <c r="G72" s="51" t="s">
        <v>51</v>
      </c>
      <c r="H72" s="72">
        <v>9.1999999999999993</v>
      </c>
      <c r="I72" s="2" t="s">
        <v>511</v>
      </c>
      <c r="J72" s="3">
        <v>17</v>
      </c>
      <c r="K72" s="2">
        <v>0.79137163456607884</v>
      </c>
      <c r="L72" s="143">
        <v>-1.8012392956256167E-2</v>
      </c>
    </row>
    <row r="73" spans="2:12" hidden="1" x14ac:dyDescent="0.3">
      <c r="B73" s="152">
        <v>70</v>
      </c>
      <c r="C73" s="33" t="s">
        <v>133</v>
      </c>
      <c r="D73" s="138">
        <v>2010</v>
      </c>
      <c r="E73" s="33" t="s">
        <v>636</v>
      </c>
      <c r="F73" s="33" t="s">
        <v>36</v>
      </c>
      <c r="G73" s="138" t="s">
        <v>24</v>
      </c>
      <c r="H73" s="71">
        <v>1.2</v>
      </c>
      <c r="I73" s="21" t="s">
        <v>512</v>
      </c>
      <c r="J73" s="37">
        <v>15</v>
      </c>
      <c r="K73" s="21">
        <v>0.78336786215283571</v>
      </c>
      <c r="L73" s="153">
        <v>-4.6788613677723648E-2</v>
      </c>
    </row>
    <row r="74" spans="2:12" hidden="1" x14ac:dyDescent="0.3">
      <c r="B74" s="142">
        <v>71</v>
      </c>
      <c r="C74" t="s">
        <v>149</v>
      </c>
      <c r="D74" s="51">
        <v>2012</v>
      </c>
      <c r="E74" t="s">
        <v>636</v>
      </c>
      <c r="F74" t="s">
        <v>35</v>
      </c>
      <c r="G74" s="51" t="s">
        <v>86</v>
      </c>
      <c r="H74" s="72">
        <v>2.2000000000000002</v>
      </c>
      <c r="I74" s="2" t="s">
        <v>565</v>
      </c>
      <c r="J74" s="3">
        <v>13</v>
      </c>
      <c r="K74" s="2">
        <v>0.77785024845942707</v>
      </c>
      <c r="L74" s="143">
        <v>-4.8030983635180401E-2</v>
      </c>
    </row>
    <row r="75" spans="2:12" hidden="1" x14ac:dyDescent="0.3">
      <c r="B75" s="142">
        <v>72</v>
      </c>
      <c r="C75" t="s">
        <v>84</v>
      </c>
      <c r="D75" s="51">
        <v>2008</v>
      </c>
      <c r="E75" t="s">
        <v>636</v>
      </c>
      <c r="F75" t="s">
        <v>35</v>
      </c>
      <c r="G75" s="51" t="s">
        <v>52</v>
      </c>
      <c r="H75" s="72">
        <v>2.4</v>
      </c>
      <c r="I75" s="2" t="s">
        <v>551</v>
      </c>
      <c r="J75" s="3">
        <v>16</v>
      </c>
      <c r="K75" s="2">
        <v>0.77673335562167312</v>
      </c>
      <c r="L75" s="143">
        <v>-2.170812915228031E-2</v>
      </c>
    </row>
    <row r="76" spans="2:12" hidden="1" x14ac:dyDescent="0.3">
      <c r="B76" s="142">
        <v>73</v>
      </c>
      <c r="C76" t="s">
        <v>130</v>
      </c>
      <c r="D76" s="51">
        <v>2009</v>
      </c>
      <c r="E76" t="s">
        <v>636</v>
      </c>
      <c r="F76" t="s">
        <v>36</v>
      </c>
      <c r="G76" s="51" t="s">
        <v>86</v>
      </c>
      <c r="H76" s="72">
        <v>1.2</v>
      </c>
      <c r="I76" s="2" t="s">
        <v>664</v>
      </c>
      <c r="J76" s="3">
        <v>16</v>
      </c>
      <c r="K76" s="2">
        <v>0.77604706447910987</v>
      </c>
      <c r="L76" s="143">
        <v>-4.2800950457500708E-2</v>
      </c>
    </row>
    <row r="77" spans="2:12" hidden="1" x14ac:dyDescent="0.3">
      <c r="B77" s="142">
        <v>74</v>
      </c>
      <c r="C77" t="s">
        <v>114</v>
      </c>
      <c r="D77" s="51">
        <v>2009</v>
      </c>
      <c r="E77" t="s">
        <v>636</v>
      </c>
      <c r="F77" t="s">
        <v>35</v>
      </c>
      <c r="G77" s="51" t="s">
        <v>24</v>
      </c>
      <c r="H77" s="72">
        <v>1.2</v>
      </c>
      <c r="I77" s="2" t="s">
        <v>659</v>
      </c>
      <c r="J77" s="3">
        <v>16</v>
      </c>
      <c r="K77" s="2">
        <v>0.77426657082145778</v>
      </c>
      <c r="L77" s="143">
        <v>-5.5840328505384312E-2</v>
      </c>
    </row>
    <row r="78" spans="2:12" hidden="1" x14ac:dyDescent="0.3">
      <c r="B78" s="142">
        <v>75</v>
      </c>
      <c r="C78" t="s">
        <v>151</v>
      </c>
      <c r="D78" s="51">
        <v>2013</v>
      </c>
      <c r="E78" t="s">
        <v>636</v>
      </c>
      <c r="F78" t="s">
        <v>35</v>
      </c>
      <c r="G78" s="51" t="s">
        <v>86</v>
      </c>
      <c r="H78" s="72">
        <v>1.5</v>
      </c>
      <c r="I78" s="2" t="s">
        <v>566</v>
      </c>
      <c r="J78" s="3">
        <v>12</v>
      </c>
      <c r="K78" s="2">
        <v>0.76617013209821849</v>
      </c>
      <c r="L78" s="143">
        <v>-8.7002140790120058E-2</v>
      </c>
    </row>
    <row r="79" spans="2:12" hidden="1" x14ac:dyDescent="0.3">
      <c r="B79" s="142">
        <v>76</v>
      </c>
      <c r="C79" t="s">
        <v>129</v>
      </c>
      <c r="D79" s="51">
        <v>2009</v>
      </c>
      <c r="E79" t="s">
        <v>636</v>
      </c>
      <c r="F79" t="s">
        <v>36</v>
      </c>
      <c r="G79" s="51" t="s">
        <v>24</v>
      </c>
      <c r="H79" s="72">
        <v>1.2</v>
      </c>
      <c r="I79" s="2" t="s">
        <v>512</v>
      </c>
      <c r="J79" s="3">
        <v>16</v>
      </c>
      <c r="K79" s="2">
        <v>0.75911103577946704</v>
      </c>
      <c r="L79" s="143">
        <v>-5.5174100669147595E-2</v>
      </c>
    </row>
    <row r="80" spans="2:12" hidden="1" x14ac:dyDescent="0.3">
      <c r="B80" s="142">
        <v>77</v>
      </c>
      <c r="C80" t="s">
        <v>132</v>
      </c>
      <c r="D80" s="51">
        <v>2009</v>
      </c>
      <c r="E80" t="s">
        <v>636</v>
      </c>
      <c r="F80" t="s">
        <v>35</v>
      </c>
      <c r="G80" s="51" t="s">
        <v>24</v>
      </c>
      <c r="H80" s="72">
        <v>1.2</v>
      </c>
      <c r="I80" s="2" t="s">
        <v>661</v>
      </c>
      <c r="J80" s="3">
        <v>16</v>
      </c>
      <c r="K80" s="2">
        <v>0.7538422724064987</v>
      </c>
      <c r="L80" s="143">
        <v>-4.6433026846912362E-2</v>
      </c>
    </row>
    <row r="81" spans="2:12" hidden="1" x14ac:dyDescent="0.3">
      <c r="B81" s="142">
        <v>78</v>
      </c>
      <c r="C81" t="s">
        <v>150</v>
      </c>
      <c r="D81" s="51">
        <v>2010</v>
      </c>
      <c r="E81" t="s">
        <v>636</v>
      </c>
      <c r="F81" t="s">
        <v>35</v>
      </c>
      <c r="G81" s="51" t="s">
        <v>86</v>
      </c>
      <c r="H81" s="72">
        <v>1.2</v>
      </c>
      <c r="I81" s="2" t="s">
        <v>565</v>
      </c>
      <c r="J81" s="3">
        <v>15</v>
      </c>
      <c r="K81" s="2">
        <v>0.74972231740331219</v>
      </c>
      <c r="L81" s="143">
        <v>-1.1651606732707808E-2</v>
      </c>
    </row>
    <row r="82" spans="2:12" hidden="1" x14ac:dyDescent="0.3">
      <c r="B82" s="142">
        <v>79</v>
      </c>
      <c r="C82" t="s">
        <v>201</v>
      </c>
      <c r="D82" s="51">
        <v>2011</v>
      </c>
      <c r="E82" t="s">
        <v>636</v>
      </c>
      <c r="F82" t="s">
        <v>35</v>
      </c>
      <c r="G82" s="51" t="s">
        <v>83</v>
      </c>
      <c r="H82" s="72">
        <v>3</v>
      </c>
      <c r="I82" s="2" t="s">
        <v>567</v>
      </c>
      <c r="J82" s="3">
        <v>14</v>
      </c>
      <c r="K82" s="2">
        <v>0.74538416169677002</v>
      </c>
      <c r="L82" s="143">
        <v>-7.1918241928173407E-2</v>
      </c>
    </row>
    <row r="83" spans="2:12" hidden="1" x14ac:dyDescent="0.3">
      <c r="B83" s="152">
        <v>80</v>
      </c>
      <c r="C83" s="33" t="s">
        <v>207</v>
      </c>
      <c r="D83" s="138">
        <v>2012</v>
      </c>
      <c r="E83" s="33" t="s">
        <v>636</v>
      </c>
      <c r="F83" s="33" t="s">
        <v>35</v>
      </c>
      <c r="G83" s="138" t="s">
        <v>24</v>
      </c>
      <c r="H83" s="71">
        <v>2.5</v>
      </c>
      <c r="I83" s="21" t="s">
        <v>568</v>
      </c>
      <c r="J83" s="37">
        <v>13</v>
      </c>
      <c r="K83" s="21">
        <v>0.7404241002334887</v>
      </c>
      <c r="L83" s="153">
        <v>-2.5743021558539702E-2</v>
      </c>
    </row>
    <row r="84" spans="2:12" hidden="1" x14ac:dyDescent="0.3">
      <c r="B84" s="142">
        <v>81</v>
      </c>
      <c r="C84" t="s">
        <v>490</v>
      </c>
      <c r="D84" s="51">
        <v>2012</v>
      </c>
      <c r="E84" t="s">
        <v>636</v>
      </c>
      <c r="F84" t="s">
        <v>35</v>
      </c>
      <c r="G84" s="51" t="s">
        <v>370</v>
      </c>
      <c r="H84" s="72">
        <v>1.2</v>
      </c>
      <c r="I84" s="2" t="s">
        <v>575</v>
      </c>
      <c r="J84" s="3">
        <v>13</v>
      </c>
      <c r="K84" s="2">
        <v>0.73785069279726345</v>
      </c>
      <c r="L84" s="143">
        <v>-4.0123653759263196E-2</v>
      </c>
    </row>
    <row r="85" spans="2:12" hidden="1" x14ac:dyDescent="0.3">
      <c r="B85" s="142">
        <v>82</v>
      </c>
      <c r="C85" t="s">
        <v>235</v>
      </c>
      <c r="D85" s="51">
        <v>2011</v>
      </c>
      <c r="E85" t="s">
        <v>637</v>
      </c>
      <c r="F85" t="s">
        <v>36</v>
      </c>
      <c r="G85" s="51" t="s">
        <v>24</v>
      </c>
      <c r="H85" s="72">
        <v>1.1000000000000001</v>
      </c>
      <c r="I85" s="2" t="s">
        <v>507</v>
      </c>
      <c r="J85" s="3">
        <v>14</v>
      </c>
      <c r="K85" s="2">
        <v>0.73609483694078526</v>
      </c>
      <c r="L85" s="143">
        <v>-9.5794326441722991E-2</v>
      </c>
    </row>
    <row r="86" spans="2:12" hidden="1" x14ac:dyDescent="0.3">
      <c r="B86" s="142">
        <v>83</v>
      </c>
      <c r="C86" t="s">
        <v>563</v>
      </c>
      <c r="D86" s="51">
        <v>2009</v>
      </c>
      <c r="E86" t="s">
        <v>636</v>
      </c>
      <c r="F86" t="s">
        <v>35</v>
      </c>
      <c r="G86" s="51" t="s">
        <v>24</v>
      </c>
      <c r="H86" s="72">
        <v>1.2</v>
      </c>
      <c r="I86" s="2" t="s">
        <v>507</v>
      </c>
      <c r="J86" s="3">
        <v>16</v>
      </c>
      <c r="K86" s="2">
        <v>0.73529784202651705</v>
      </c>
      <c r="L86" s="143">
        <v>-4.6054770908611306E-2</v>
      </c>
    </row>
    <row r="87" spans="2:12" hidden="1" x14ac:dyDescent="0.3">
      <c r="B87" s="142">
        <v>84</v>
      </c>
      <c r="C87" t="s">
        <v>148</v>
      </c>
      <c r="D87" s="51">
        <v>2013</v>
      </c>
      <c r="E87" t="s">
        <v>636</v>
      </c>
      <c r="F87" t="s">
        <v>35</v>
      </c>
      <c r="G87" s="51" t="s">
        <v>83</v>
      </c>
      <c r="H87" s="72">
        <v>3.1</v>
      </c>
      <c r="I87" s="2" t="s">
        <v>557</v>
      </c>
      <c r="J87" s="3">
        <v>13</v>
      </c>
      <c r="K87" s="2">
        <v>0.72623632811216499</v>
      </c>
      <c r="L87" s="143">
        <v>-1.8321456879460941E-2</v>
      </c>
    </row>
    <row r="88" spans="2:12" hidden="1" x14ac:dyDescent="0.3">
      <c r="B88" s="142">
        <v>85</v>
      </c>
      <c r="C88" t="s">
        <v>428</v>
      </c>
      <c r="D88" s="51">
        <v>2011</v>
      </c>
      <c r="E88" t="s">
        <v>636</v>
      </c>
      <c r="F88" t="s">
        <v>35</v>
      </c>
      <c r="G88" s="51" t="s">
        <v>24</v>
      </c>
      <c r="H88" s="72">
        <v>1.3</v>
      </c>
      <c r="I88" s="2" t="s">
        <v>523</v>
      </c>
      <c r="J88" s="3">
        <v>14</v>
      </c>
      <c r="K88" s="2">
        <v>0.72192080085081178</v>
      </c>
      <c r="L88" s="143">
        <v>-2.1767528324164093E-2</v>
      </c>
    </row>
    <row r="89" spans="2:12" hidden="1" x14ac:dyDescent="0.3">
      <c r="B89" s="142">
        <v>86</v>
      </c>
      <c r="C89" t="s">
        <v>97</v>
      </c>
      <c r="D89" s="51">
        <v>2010</v>
      </c>
      <c r="E89" t="s">
        <v>636</v>
      </c>
      <c r="F89" t="s">
        <v>35</v>
      </c>
      <c r="G89" s="51" t="s">
        <v>83</v>
      </c>
      <c r="H89" s="72">
        <v>1.2</v>
      </c>
      <c r="I89" s="2" t="s">
        <v>551</v>
      </c>
      <c r="J89" s="3">
        <v>14</v>
      </c>
      <c r="K89" s="2">
        <v>0.72007881396057072</v>
      </c>
      <c r="L89" s="143">
        <v>-5.0660560295433567E-3</v>
      </c>
    </row>
    <row r="90" spans="2:12" hidden="1" x14ac:dyDescent="0.3">
      <c r="B90" s="142">
        <v>87</v>
      </c>
      <c r="C90" t="s">
        <v>110</v>
      </c>
      <c r="D90" s="51">
        <v>2009</v>
      </c>
      <c r="E90" t="s">
        <v>636</v>
      </c>
      <c r="F90" t="s">
        <v>36</v>
      </c>
      <c r="G90" s="51" t="s">
        <v>51</v>
      </c>
      <c r="H90" s="72">
        <v>2</v>
      </c>
      <c r="I90" s="2" t="s">
        <v>514</v>
      </c>
      <c r="J90" s="3">
        <v>16</v>
      </c>
      <c r="K90" s="2">
        <v>0.70202236161037102</v>
      </c>
      <c r="L90" s="143">
        <v>-5.9447846859268287E-2</v>
      </c>
    </row>
    <row r="91" spans="2:12" hidden="1" x14ac:dyDescent="0.3">
      <c r="B91" s="142">
        <v>88</v>
      </c>
      <c r="C91" t="s">
        <v>88</v>
      </c>
      <c r="D91" s="51">
        <v>2009</v>
      </c>
      <c r="E91" t="s">
        <v>636</v>
      </c>
      <c r="F91" t="s">
        <v>36</v>
      </c>
      <c r="G91" s="51" t="s">
        <v>86</v>
      </c>
      <c r="H91" s="72">
        <v>2.4</v>
      </c>
      <c r="I91" s="2" t="s">
        <v>552</v>
      </c>
      <c r="J91" s="3">
        <v>16</v>
      </c>
      <c r="K91" s="2">
        <v>0.69499552631116301</v>
      </c>
      <c r="L91" s="143">
        <v>-3.3131534684130985E-2</v>
      </c>
    </row>
    <row r="92" spans="2:12" hidden="1" x14ac:dyDescent="0.3">
      <c r="B92" s="142">
        <v>89</v>
      </c>
      <c r="C92" t="s">
        <v>209</v>
      </c>
      <c r="D92" s="51">
        <v>2011</v>
      </c>
      <c r="E92" t="s">
        <v>636</v>
      </c>
      <c r="F92" t="s">
        <v>35</v>
      </c>
      <c r="G92" s="51" t="s">
        <v>24</v>
      </c>
      <c r="H92" s="72">
        <v>1.2</v>
      </c>
      <c r="I92" s="2" t="s">
        <v>560</v>
      </c>
      <c r="J92" s="3">
        <v>14</v>
      </c>
      <c r="K92" s="2">
        <v>0.66386229706508892</v>
      </c>
      <c r="L92" s="143">
        <v>-8.1876034864036926E-2</v>
      </c>
    </row>
    <row r="93" spans="2:12" hidden="1" x14ac:dyDescent="0.3">
      <c r="B93" s="152">
        <v>90</v>
      </c>
      <c r="C93" s="33" t="s">
        <v>217</v>
      </c>
      <c r="D93" s="138">
        <v>2011</v>
      </c>
      <c r="E93" s="33" t="s">
        <v>636</v>
      </c>
      <c r="F93" s="33" t="s">
        <v>36</v>
      </c>
      <c r="G93" s="138" t="s">
        <v>23</v>
      </c>
      <c r="H93" s="71">
        <v>1.1000000000000001</v>
      </c>
      <c r="I93" s="21" t="s">
        <v>571</v>
      </c>
      <c r="J93" s="37">
        <v>14</v>
      </c>
      <c r="K93" s="21">
        <v>0.65410999534072334</v>
      </c>
      <c r="L93" s="153">
        <v>-7.1123693733439103E-2</v>
      </c>
    </row>
    <row r="94" spans="2:12" x14ac:dyDescent="0.3">
      <c r="B94" s="142">
        <v>91</v>
      </c>
      <c r="C94" t="s">
        <v>366</v>
      </c>
      <c r="D94" s="51">
        <v>2012</v>
      </c>
      <c r="E94" t="s">
        <v>636</v>
      </c>
      <c r="F94" t="s">
        <v>36</v>
      </c>
      <c r="G94" s="51" t="s">
        <v>23</v>
      </c>
      <c r="H94" s="72">
        <v>5.6</v>
      </c>
      <c r="I94" s="2" t="s">
        <v>506</v>
      </c>
      <c r="J94" s="3">
        <v>13</v>
      </c>
      <c r="K94" s="2">
        <v>0.65172704001020521</v>
      </c>
      <c r="L94" s="143">
        <v>-5.61370469275135E-2</v>
      </c>
    </row>
    <row r="95" spans="2:12" x14ac:dyDescent="0.3">
      <c r="B95" s="142">
        <v>92</v>
      </c>
      <c r="C95" t="s">
        <v>117</v>
      </c>
      <c r="D95" s="51">
        <v>2010</v>
      </c>
      <c r="E95" t="s">
        <v>636</v>
      </c>
      <c r="F95" t="s">
        <v>35</v>
      </c>
      <c r="G95" s="51" t="s">
        <v>52</v>
      </c>
      <c r="H95" s="72">
        <v>1.8</v>
      </c>
      <c r="I95" s="2" t="s">
        <v>556</v>
      </c>
      <c r="J95" s="3">
        <v>15</v>
      </c>
      <c r="K95" s="2">
        <v>0.64217279613066391</v>
      </c>
      <c r="L95" s="143">
        <v>-4.9120148608280727E-2</v>
      </c>
    </row>
    <row r="96" spans="2:12" x14ac:dyDescent="0.3">
      <c r="B96" s="142">
        <v>93</v>
      </c>
      <c r="C96" t="s">
        <v>135</v>
      </c>
      <c r="D96" s="51">
        <v>2010</v>
      </c>
      <c r="E96" t="s">
        <v>636</v>
      </c>
      <c r="F96" t="s">
        <v>35</v>
      </c>
      <c r="G96" s="51" t="s">
        <v>52</v>
      </c>
      <c r="H96" s="72">
        <v>0.28000000000000003</v>
      </c>
      <c r="I96" s="2" t="s">
        <v>529</v>
      </c>
      <c r="J96" s="3">
        <v>15</v>
      </c>
      <c r="K96" s="2">
        <v>0.62907460799763359</v>
      </c>
      <c r="L96" s="143">
        <v>-2.6887200692374269E-2</v>
      </c>
    </row>
    <row r="97" spans="2:12" x14ac:dyDescent="0.3">
      <c r="B97" s="142">
        <v>94</v>
      </c>
      <c r="C97" t="s">
        <v>229</v>
      </c>
      <c r="D97" s="51">
        <v>2012</v>
      </c>
      <c r="E97" t="s">
        <v>636</v>
      </c>
      <c r="F97" t="s">
        <v>36</v>
      </c>
      <c r="G97" s="51" t="s">
        <v>23</v>
      </c>
      <c r="H97" s="72">
        <v>1.6</v>
      </c>
      <c r="I97" s="2" t="s">
        <v>571</v>
      </c>
      <c r="J97" s="3">
        <v>13</v>
      </c>
      <c r="K97" s="2">
        <v>0.60181910001236949</v>
      </c>
      <c r="L97" s="143">
        <v>-8.3320177515830859E-2</v>
      </c>
    </row>
    <row r="98" spans="2:12" x14ac:dyDescent="0.3">
      <c r="B98" s="142">
        <v>95</v>
      </c>
      <c r="C98" t="s">
        <v>56</v>
      </c>
      <c r="D98" s="51">
        <v>2009</v>
      </c>
      <c r="E98" t="s">
        <v>636</v>
      </c>
      <c r="F98" t="s">
        <v>36</v>
      </c>
      <c r="G98" s="51" t="s">
        <v>24</v>
      </c>
      <c r="H98" s="72">
        <v>1.9055</v>
      </c>
      <c r="I98" s="2" t="s">
        <v>512</v>
      </c>
      <c r="J98" s="3">
        <v>16</v>
      </c>
      <c r="K98" s="2">
        <v>0.59743420237988376</v>
      </c>
      <c r="L98" s="143">
        <v>-7.9050240554450216E-2</v>
      </c>
    </row>
    <row r="99" spans="2:12" x14ac:dyDescent="0.3">
      <c r="B99" s="142">
        <v>96</v>
      </c>
      <c r="C99" t="s">
        <v>561</v>
      </c>
      <c r="D99" s="51">
        <v>2010</v>
      </c>
      <c r="E99" t="s">
        <v>636</v>
      </c>
      <c r="F99" t="s">
        <v>36</v>
      </c>
      <c r="G99" s="51" t="s">
        <v>51</v>
      </c>
      <c r="H99" s="72">
        <v>2.2000000000000002</v>
      </c>
      <c r="I99" s="2" t="s">
        <v>562</v>
      </c>
      <c r="J99" s="3">
        <v>15</v>
      </c>
      <c r="K99" s="2">
        <v>0.58583606769154994</v>
      </c>
      <c r="L99" s="143">
        <v>-3.7550386428772196E-2</v>
      </c>
    </row>
    <row r="100" spans="2:12" x14ac:dyDescent="0.3">
      <c r="B100" s="142">
        <v>97</v>
      </c>
      <c r="C100" t="s">
        <v>75</v>
      </c>
      <c r="D100" s="51">
        <v>2009</v>
      </c>
      <c r="E100" t="s">
        <v>637</v>
      </c>
      <c r="F100" t="s">
        <v>36</v>
      </c>
      <c r="G100" s="51" t="s">
        <v>73</v>
      </c>
      <c r="H100" s="72">
        <v>1.4784000000000002</v>
      </c>
      <c r="I100" s="2" t="s">
        <v>550</v>
      </c>
      <c r="J100" s="3">
        <v>16</v>
      </c>
      <c r="K100" s="2">
        <v>0.44453967192172372</v>
      </c>
      <c r="L100" s="143">
        <v>-9.9149805212294218E-2</v>
      </c>
    </row>
    <row r="101" spans="2:12" x14ac:dyDescent="0.3">
      <c r="B101" s="142">
        <v>98</v>
      </c>
      <c r="C101" t="s">
        <v>127</v>
      </c>
      <c r="D101" s="51">
        <v>2010</v>
      </c>
      <c r="E101" t="s">
        <v>634</v>
      </c>
      <c r="F101" t="s">
        <v>35</v>
      </c>
      <c r="G101" s="51" t="s">
        <v>24</v>
      </c>
      <c r="H101" s="72">
        <v>1.2</v>
      </c>
      <c r="I101" s="2" t="s">
        <v>660</v>
      </c>
      <c r="J101" s="3">
        <v>15</v>
      </c>
      <c r="K101" s="2">
        <v>0.42784292130765422</v>
      </c>
      <c r="L101" s="143">
        <v>-8.5117661391527627E-2</v>
      </c>
    </row>
    <row r="102" spans="2:12" x14ac:dyDescent="0.3">
      <c r="B102" s="142">
        <v>99</v>
      </c>
      <c r="C102" t="s">
        <v>29</v>
      </c>
      <c r="D102" s="51">
        <v>2003</v>
      </c>
      <c r="E102" t="s">
        <v>636</v>
      </c>
      <c r="F102" t="s">
        <v>36</v>
      </c>
      <c r="G102" s="51" t="s">
        <v>23</v>
      </c>
      <c r="H102" s="72">
        <v>0.2576</v>
      </c>
      <c r="I102" s="2" t="s">
        <v>506</v>
      </c>
      <c r="J102" s="3">
        <v>23</v>
      </c>
      <c r="K102" s="2">
        <v>0.39997188542591472</v>
      </c>
      <c r="L102" s="143">
        <v>-7.6876015551506138E-2</v>
      </c>
    </row>
    <row r="103" spans="2:12" ht="15" thickBot="1" x14ac:dyDescent="0.35">
      <c r="B103" s="144">
        <v>100</v>
      </c>
      <c r="C103" s="10" t="s">
        <v>211</v>
      </c>
      <c r="D103" s="61">
        <v>2011</v>
      </c>
      <c r="E103" s="10" t="s">
        <v>636</v>
      </c>
      <c r="F103" s="10" t="s">
        <v>35</v>
      </c>
      <c r="G103" s="61" t="s">
        <v>24</v>
      </c>
      <c r="H103" s="145">
        <v>1.079</v>
      </c>
      <c r="I103" s="105" t="s">
        <v>568</v>
      </c>
      <c r="J103" s="109">
        <v>14</v>
      </c>
      <c r="K103" s="105">
        <v>0.34362541880342501</v>
      </c>
      <c r="L103" s="146">
        <v>-0.20736373445480893</v>
      </c>
    </row>
  </sheetData>
  <autoFilter ref="B3:L103" xr:uid="{E5CD6245-70F5-44CC-B9E2-DCF725E7D4A5}">
    <filterColumn colId="0">
      <filters>
        <filter val="1"/>
        <filter val="10"/>
        <filter val="100"/>
        <filter val="2"/>
        <filter val="3"/>
        <filter val="4"/>
        <filter val="5"/>
        <filter val="6"/>
        <filter val="7"/>
        <filter val="8"/>
        <filter val="9"/>
        <filter val="91"/>
        <filter val="92"/>
        <filter val="93"/>
        <filter val="94"/>
        <filter val="95"/>
        <filter val="96"/>
        <filter val="97"/>
        <filter val="98"/>
        <filter val="99"/>
      </filters>
    </filterColumn>
  </autoFilter>
  <sortState xmlns:xlrd2="http://schemas.microsoft.com/office/spreadsheetml/2017/richdata2" ref="C4:M103">
    <sortCondition ref="M4:M103"/>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5AE51-3A08-4EF1-A5F1-008AA35F8643}">
  <dimension ref="A1"/>
  <sheetViews>
    <sheetView topLeftCell="J107" workbookViewId="0">
      <selection activeCell="AF138" sqref="AF138"/>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7CA8D-2B00-4FAB-B138-536F50FAD2A2}">
  <dimension ref="A1:F52"/>
  <sheetViews>
    <sheetView topLeftCell="A36" workbookViewId="0">
      <selection activeCell="A53" sqref="A53"/>
    </sheetView>
  </sheetViews>
  <sheetFormatPr defaultRowHeight="14.4" x14ac:dyDescent="0.3"/>
  <sheetData>
    <row r="1" spans="1:6" x14ac:dyDescent="0.3">
      <c r="A1" t="s">
        <v>57</v>
      </c>
    </row>
    <row r="2" spans="1:6" x14ac:dyDescent="0.3">
      <c r="A2">
        <v>10300</v>
      </c>
      <c r="B2" t="s">
        <v>58</v>
      </c>
      <c r="E2">
        <f>A2*0.185</f>
        <v>1905.5</v>
      </c>
      <c r="F2" t="s">
        <v>59</v>
      </c>
    </row>
    <row r="4" spans="1:6" x14ac:dyDescent="0.3">
      <c r="A4" t="s">
        <v>65</v>
      </c>
    </row>
    <row r="5" spans="1:6" x14ac:dyDescent="0.3">
      <c r="A5">
        <v>736</v>
      </c>
      <c r="B5" t="s">
        <v>66</v>
      </c>
      <c r="C5" t="s">
        <v>67</v>
      </c>
      <c r="D5">
        <v>2011</v>
      </c>
    </row>
    <row r="7" spans="1:6" x14ac:dyDescent="0.3">
      <c r="A7" t="s">
        <v>74</v>
      </c>
    </row>
    <row r="9" spans="1:6" x14ac:dyDescent="0.3">
      <c r="A9" s="92" t="s">
        <v>90</v>
      </c>
    </row>
    <row r="10" spans="1:6" x14ac:dyDescent="0.3">
      <c r="A10" t="s">
        <v>91</v>
      </c>
    </row>
    <row r="12" spans="1:6" x14ac:dyDescent="0.3">
      <c r="A12" t="s">
        <v>93</v>
      </c>
    </row>
    <row r="13" spans="1:6" x14ac:dyDescent="0.3">
      <c r="A13" t="s">
        <v>94</v>
      </c>
    </row>
    <row r="15" spans="1:6" x14ac:dyDescent="0.3">
      <c r="A15" t="s">
        <v>558</v>
      </c>
    </row>
    <row r="17" spans="1:1" x14ac:dyDescent="0.3">
      <c r="A17" t="s">
        <v>559</v>
      </c>
    </row>
    <row r="19" spans="1:1" x14ac:dyDescent="0.3">
      <c r="A19" t="s">
        <v>119</v>
      </c>
    </row>
    <row r="20" spans="1:1" x14ac:dyDescent="0.3">
      <c r="A20" t="s">
        <v>120</v>
      </c>
    </row>
    <row r="22" spans="1:1" x14ac:dyDescent="0.3">
      <c r="A22" t="s">
        <v>125</v>
      </c>
    </row>
    <row r="23" spans="1:1" x14ac:dyDescent="0.3">
      <c r="A23" s="18" t="s">
        <v>126</v>
      </c>
    </row>
    <row r="24" spans="1:1" x14ac:dyDescent="0.3">
      <c r="A24" t="s">
        <v>652</v>
      </c>
    </row>
    <row r="25" spans="1:1" x14ac:dyDescent="0.3">
      <c r="A25" t="s">
        <v>653</v>
      </c>
    </row>
    <row r="26" spans="1:1" x14ac:dyDescent="0.3">
      <c r="A26" t="s">
        <v>654</v>
      </c>
    </row>
    <row r="27" spans="1:1" x14ac:dyDescent="0.3">
      <c r="A27" t="s">
        <v>655</v>
      </c>
    </row>
    <row r="28" spans="1:1" x14ac:dyDescent="0.3">
      <c r="A28" t="s">
        <v>656</v>
      </c>
    </row>
    <row r="30" spans="1:1" x14ac:dyDescent="0.3">
      <c r="A30" t="s">
        <v>136</v>
      </c>
    </row>
    <row r="31" spans="1:1" x14ac:dyDescent="0.3">
      <c r="A31" t="s">
        <v>137</v>
      </c>
    </row>
    <row r="33" spans="1:1" x14ac:dyDescent="0.3">
      <c r="A33" t="s">
        <v>212</v>
      </c>
    </row>
    <row r="34" spans="1:1" x14ac:dyDescent="0.3">
      <c r="A34" t="s">
        <v>213</v>
      </c>
    </row>
    <row r="36" spans="1:1" x14ac:dyDescent="0.3">
      <c r="A36" t="s">
        <v>219</v>
      </c>
    </row>
    <row r="37" spans="1:1" x14ac:dyDescent="0.3">
      <c r="A37" t="s">
        <v>220</v>
      </c>
    </row>
    <row r="49" spans="1:1" x14ac:dyDescent="0.3">
      <c r="A49" t="s">
        <v>497</v>
      </c>
    </row>
    <row r="51" spans="1:1" x14ac:dyDescent="0.3">
      <c r="A51" t="s">
        <v>920</v>
      </c>
    </row>
    <row r="52" spans="1:1" x14ac:dyDescent="0.3">
      <c r="A52" t="s">
        <v>921</v>
      </c>
    </row>
  </sheetData>
  <hyperlinks>
    <hyperlink ref="A9" r:id="rId1" xr:uid="{2D508A8A-89E6-46A5-8299-4E964A3F7C52}"/>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B8C14-5B75-4907-9F83-144798A4DC70}">
  <dimension ref="B2:C10"/>
  <sheetViews>
    <sheetView workbookViewId="0">
      <selection activeCell="C9" sqref="C9"/>
    </sheetView>
  </sheetViews>
  <sheetFormatPr defaultRowHeight="14.4" x14ac:dyDescent="0.3"/>
  <sheetData>
    <row r="2" spans="2:3" x14ac:dyDescent="0.3">
      <c r="B2" t="s">
        <v>101</v>
      </c>
    </row>
    <row r="3" spans="2:3" x14ac:dyDescent="0.3">
      <c r="B3">
        <v>1</v>
      </c>
      <c r="C3" t="s">
        <v>102</v>
      </c>
    </row>
    <row r="4" spans="2:3" x14ac:dyDescent="0.3">
      <c r="B4">
        <v>2</v>
      </c>
      <c r="C4" t="s">
        <v>103</v>
      </c>
    </row>
    <row r="5" spans="2:3" x14ac:dyDescent="0.3">
      <c r="B5">
        <v>3</v>
      </c>
      <c r="C5" t="s">
        <v>104</v>
      </c>
    </row>
    <row r="6" spans="2:3" x14ac:dyDescent="0.3">
      <c r="B6">
        <v>4</v>
      </c>
      <c r="C6" t="s">
        <v>105</v>
      </c>
    </row>
    <row r="7" spans="2:3" x14ac:dyDescent="0.3">
      <c r="B7">
        <v>5</v>
      </c>
      <c r="C7" t="s">
        <v>106</v>
      </c>
    </row>
    <row r="8" spans="2:3" x14ac:dyDescent="0.3">
      <c r="B8">
        <v>6</v>
      </c>
      <c r="C8" t="s">
        <v>145</v>
      </c>
    </row>
    <row r="9" spans="2:3" x14ac:dyDescent="0.3">
      <c r="B9">
        <v>7</v>
      </c>
      <c r="C9" t="s">
        <v>146</v>
      </c>
    </row>
    <row r="10" spans="2:3" x14ac:dyDescent="0.3">
      <c r="B10">
        <v>8</v>
      </c>
      <c r="C10" t="s">
        <v>147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D19-DCDE-4C6B-AC7F-69FB0CFA0638}">
  <dimension ref="A1"/>
  <sheetViews>
    <sheetView topLeftCell="A13" zoomScale="140" zoomScaleNormal="140" workbookViewId="0"/>
  </sheetViews>
  <sheetFormatPr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7D17-08C7-42A1-9B27-6FE0547E4384}">
  <dimension ref="A1:R103"/>
  <sheetViews>
    <sheetView topLeftCell="H1" workbookViewId="0">
      <selection activeCell="AA1" sqref="AA1"/>
    </sheetView>
  </sheetViews>
  <sheetFormatPr defaultRowHeight="14.4" x14ac:dyDescent="0.3"/>
  <cols>
    <col min="4" max="4" width="3.21875" customWidth="1"/>
    <col min="5" max="5" width="6.6640625" customWidth="1"/>
    <col min="6" max="6" width="18.77734375" customWidth="1"/>
    <col min="10" max="10" width="18.33203125" customWidth="1"/>
    <col min="16" max="16" width="23.77734375" customWidth="1"/>
  </cols>
  <sheetData>
    <row r="1" spans="1:18" x14ac:dyDescent="0.3">
      <c r="B1" t="s">
        <v>583</v>
      </c>
      <c r="C1" t="s">
        <v>194</v>
      </c>
      <c r="F1" t="s">
        <v>584</v>
      </c>
      <c r="G1" t="s">
        <v>194</v>
      </c>
      <c r="J1" t="s">
        <v>502</v>
      </c>
      <c r="K1" t="s">
        <v>194</v>
      </c>
      <c r="L1" t="s">
        <v>3</v>
      </c>
      <c r="M1" t="s">
        <v>4</v>
      </c>
      <c r="O1" t="s">
        <v>608</v>
      </c>
      <c r="P1" t="s">
        <v>502</v>
      </c>
      <c r="Q1" s="7" t="s">
        <v>669</v>
      </c>
      <c r="R1" t="s">
        <v>609</v>
      </c>
    </row>
    <row r="2" spans="1:18" x14ac:dyDescent="0.3">
      <c r="A2">
        <v>1</v>
      </c>
      <c r="B2" s="6" t="s">
        <v>24</v>
      </c>
      <c r="C2">
        <f>COUNTIF(PlantData!$K$7:$K$106,States100!$B2)</f>
        <v>30</v>
      </c>
      <c r="E2">
        <v>1</v>
      </c>
      <c r="F2" s="6" t="s">
        <v>261</v>
      </c>
      <c r="G2">
        <f>COUNTIF(PlantData!$F$7:$F$106,States100!$F2)</f>
        <v>2</v>
      </c>
      <c r="I2">
        <v>1</v>
      </c>
      <c r="J2" s="6" t="s">
        <v>507</v>
      </c>
      <c r="K2">
        <f>COUNTIF(PlantData!$Q$7:$Q$106,States100!$J2)</f>
        <v>10</v>
      </c>
      <c r="L2" s="13">
        <v>38.520000000000003</v>
      </c>
      <c r="M2" s="13">
        <v>-121.5</v>
      </c>
      <c r="O2">
        <v>1</v>
      </c>
      <c r="P2" s="6" t="s">
        <v>550</v>
      </c>
      <c r="Q2" s="15">
        <v>56.010499999999993</v>
      </c>
      <c r="R2" s="6" t="s">
        <v>195</v>
      </c>
    </row>
    <row r="3" spans="1:18" x14ac:dyDescent="0.3">
      <c r="A3">
        <f>A2+1</f>
        <v>2</v>
      </c>
      <c r="B3" s="6" t="s">
        <v>52</v>
      </c>
      <c r="C3">
        <f>COUNTIF(PlantData!$K$7:$K$106,States100!$B3)</f>
        <v>16</v>
      </c>
      <c r="E3">
        <f>E2+1</f>
        <v>2</v>
      </c>
      <c r="F3" s="6" t="s">
        <v>278</v>
      </c>
      <c r="G3">
        <f>COUNTIF(PlantData!$F$7:$F$106,States100!$F3)</f>
        <v>9</v>
      </c>
      <c r="I3">
        <f>I2+1</f>
        <v>2</v>
      </c>
      <c r="J3" s="6" t="s">
        <v>556</v>
      </c>
      <c r="K3">
        <f>COUNTIF(PlantData!$Q$7:$Q$106,States100!$J3)</f>
        <v>7</v>
      </c>
      <c r="L3" s="13">
        <v>40.700000000000003</v>
      </c>
      <c r="M3" s="13">
        <v>-74.17</v>
      </c>
      <c r="O3">
        <f>O2+1</f>
        <v>2</v>
      </c>
      <c r="P3" s="6" t="s">
        <v>506</v>
      </c>
      <c r="Q3" s="15">
        <v>55.768000000000001</v>
      </c>
      <c r="R3" s="6" t="s">
        <v>195</v>
      </c>
    </row>
    <row r="4" spans="1:18" x14ac:dyDescent="0.3">
      <c r="A4">
        <f t="shared" ref="A4:A21" si="0">A3+1</f>
        <v>3</v>
      </c>
      <c r="B4" s="6" t="s">
        <v>51</v>
      </c>
      <c r="C4">
        <f>COUNTIF(PlantData!$K$7:$K$106,States100!$B4)</f>
        <v>8</v>
      </c>
      <c r="E4">
        <f>E3+1</f>
        <v>3</v>
      </c>
      <c r="F4" s="6" t="s">
        <v>248</v>
      </c>
      <c r="G4">
        <f>COUNTIF(PlantData!$F$7:$F$106,States100!$F4)</f>
        <v>24</v>
      </c>
      <c r="I4">
        <f t="shared" ref="I4:I49" si="1">I3+1</f>
        <v>3</v>
      </c>
      <c r="J4" s="6" t="s">
        <v>529</v>
      </c>
      <c r="K4">
        <f>COUNTIF(PlantData!$Q$7:$Q$106,States100!$J4)</f>
        <v>5</v>
      </c>
      <c r="L4" s="13">
        <v>39.450000000000003</v>
      </c>
      <c r="M4" s="13">
        <v>-74.569999999999993</v>
      </c>
      <c r="O4">
        <f t="shared" ref="O4:O67" si="2">O3+1</f>
        <v>3</v>
      </c>
      <c r="P4" s="6" t="s">
        <v>506</v>
      </c>
      <c r="Q4" s="15">
        <v>55.768000000000001</v>
      </c>
      <c r="R4" s="6" t="s">
        <v>195</v>
      </c>
    </row>
    <row r="5" spans="1:18" x14ac:dyDescent="0.3">
      <c r="A5">
        <f t="shared" si="0"/>
        <v>4</v>
      </c>
      <c r="B5" s="6" t="s">
        <v>86</v>
      </c>
      <c r="C5">
        <f>COUNTIF(PlantData!$K$7:$K$106,States100!$B5)</f>
        <v>7</v>
      </c>
      <c r="E5">
        <f>E4+1</f>
        <v>4</v>
      </c>
      <c r="F5" s="6" t="s">
        <v>297</v>
      </c>
      <c r="G5">
        <f>COUNTIF(PlantData!$F$7:$F$106,States100!$F5)</f>
        <v>2</v>
      </c>
      <c r="I5">
        <f t="shared" si="1"/>
        <v>4</v>
      </c>
      <c r="J5" s="6" t="s">
        <v>512</v>
      </c>
      <c r="K5">
        <f>COUNTIF(PlantData!$Q$7:$Q$106,States100!$J5)</f>
        <v>5</v>
      </c>
      <c r="L5" s="13">
        <v>34.869999999999997</v>
      </c>
      <c r="M5" s="13">
        <v>-116.78</v>
      </c>
      <c r="O5">
        <f t="shared" si="2"/>
        <v>4</v>
      </c>
      <c r="P5" s="6" t="s">
        <v>506</v>
      </c>
      <c r="Q5" s="15">
        <v>55.768000000000001</v>
      </c>
      <c r="R5" s="6" t="s">
        <v>195</v>
      </c>
    </row>
    <row r="6" spans="1:18" x14ac:dyDescent="0.3">
      <c r="A6">
        <f t="shared" si="0"/>
        <v>5</v>
      </c>
      <c r="B6" s="6" t="s">
        <v>23</v>
      </c>
      <c r="C6">
        <f>COUNTIF(PlantData!$K$7:$K$106,States100!$B6)</f>
        <v>6</v>
      </c>
      <c r="E6">
        <f>E5+1</f>
        <v>5</v>
      </c>
      <c r="F6" s="6" t="s">
        <v>252</v>
      </c>
      <c r="G6" s="33">
        <f>COUNTIF(PlantData!$F$7:$F$106,States100!$F6)</f>
        <v>63</v>
      </c>
      <c r="I6">
        <f t="shared" si="1"/>
        <v>5</v>
      </c>
      <c r="J6" s="6" t="s">
        <v>513</v>
      </c>
      <c r="K6">
        <f>COUNTIF(PlantData!$Q$7:$Q$106,States100!$J6)</f>
        <v>5</v>
      </c>
      <c r="L6" s="13">
        <v>36.770000000000003</v>
      </c>
      <c r="M6" s="13">
        <v>-119.72</v>
      </c>
      <c r="O6">
        <f t="shared" si="2"/>
        <v>5</v>
      </c>
      <c r="P6" s="6" t="s">
        <v>506</v>
      </c>
      <c r="Q6" s="15">
        <v>55.768000000000001</v>
      </c>
      <c r="R6" s="6" t="s">
        <v>195</v>
      </c>
    </row>
    <row r="7" spans="1:18" x14ac:dyDescent="0.3">
      <c r="A7">
        <f t="shared" si="0"/>
        <v>6</v>
      </c>
      <c r="B7" s="6" t="s">
        <v>83</v>
      </c>
      <c r="C7">
        <f>COUNTIF(PlantData!$K$7:$K$106,States100!$B7)</f>
        <v>6</v>
      </c>
      <c r="G7">
        <f>SUM(G2:G6)</f>
        <v>100</v>
      </c>
      <c r="I7">
        <f t="shared" si="1"/>
        <v>6</v>
      </c>
      <c r="J7" s="6" t="s">
        <v>551</v>
      </c>
      <c r="K7">
        <f>COUNTIF(PlantData!$Q$7:$Q$106,States100!$J7)</f>
        <v>5</v>
      </c>
      <c r="L7" s="13">
        <v>39.880000000000003</v>
      </c>
      <c r="M7" s="13">
        <v>-75.25</v>
      </c>
      <c r="O7">
        <f t="shared" si="2"/>
        <v>6</v>
      </c>
      <c r="P7" s="6" t="s">
        <v>512</v>
      </c>
      <c r="Q7" s="15">
        <v>54.461250000000007</v>
      </c>
      <c r="R7" s="6" t="s">
        <v>195</v>
      </c>
    </row>
    <row r="8" spans="1:18" x14ac:dyDescent="0.3">
      <c r="A8">
        <f t="shared" si="0"/>
        <v>7</v>
      </c>
      <c r="B8" s="6" t="s">
        <v>109</v>
      </c>
      <c r="C8">
        <f>COUNTIF(PlantData!$K$7:$K$106,States100!$B8)</f>
        <v>4</v>
      </c>
      <c r="I8">
        <f t="shared" si="1"/>
        <v>7</v>
      </c>
      <c r="J8" s="6" t="s">
        <v>565</v>
      </c>
      <c r="K8">
        <f>COUNTIF(PlantData!$Q$7:$Q$106,States100!$J8)</f>
        <v>4</v>
      </c>
      <c r="L8" s="13">
        <v>38.520000000000003</v>
      </c>
      <c r="M8" s="13">
        <v>-121.5</v>
      </c>
      <c r="O8">
        <f t="shared" si="2"/>
        <v>7</v>
      </c>
      <c r="P8" s="6" t="s">
        <v>510</v>
      </c>
      <c r="Q8" s="15">
        <v>54.339063380281686</v>
      </c>
      <c r="R8" s="6" t="s">
        <v>195</v>
      </c>
    </row>
    <row r="9" spans="1:18" x14ac:dyDescent="0.3">
      <c r="A9">
        <f t="shared" si="0"/>
        <v>8</v>
      </c>
      <c r="B9" s="6" t="s">
        <v>144</v>
      </c>
      <c r="C9">
        <f>COUNTIF(PlantData!$K$7:$K$106,States100!$B9)</f>
        <v>4</v>
      </c>
      <c r="I9">
        <f t="shared" si="1"/>
        <v>8</v>
      </c>
      <c r="J9" s="6" t="s">
        <v>506</v>
      </c>
      <c r="K9">
        <f>COUNTIF(PlantData!$Q$7:$Q$106,States100!$J9)</f>
        <v>4</v>
      </c>
      <c r="L9" s="13">
        <v>33.43</v>
      </c>
      <c r="M9" s="13">
        <v>-112.02</v>
      </c>
      <c r="O9">
        <f t="shared" si="2"/>
        <v>8</v>
      </c>
      <c r="P9" s="6" t="s">
        <v>512</v>
      </c>
      <c r="Q9" s="15">
        <v>54.054000000000002</v>
      </c>
      <c r="R9" s="6" t="s">
        <v>195</v>
      </c>
    </row>
    <row r="10" spans="1:18" x14ac:dyDescent="0.3">
      <c r="A10">
        <f t="shared" si="0"/>
        <v>9</v>
      </c>
      <c r="B10" s="6" t="s">
        <v>47</v>
      </c>
      <c r="C10">
        <f>COUNTIF(PlantData!$K$7:$K$106,States100!$B10)</f>
        <v>4</v>
      </c>
      <c r="I10">
        <f t="shared" si="1"/>
        <v>9</v>
      </c>
      <c r="J10" s="6" t="s">
        <v>511</v>
      </c>
      <c r="K10">
        <f>COUNTIF(PlantData!$Q$7:$Q$106,States100!$J10)</f>
        <v>3</v>
      </c>
      <c r="L10" s="13">
        <v>37.450000000000003</v>
      </c>
      <c r="M10" s="13">
        <v>-105.87</v>
      </c>
      <c r="O10">
        <f t="shared" si="2"/>
        <v>9</v>
      </c>
      <c r="P10" s="6" t="s">
        <v>512</v>
      </c>
      <c r="Q10" s="15">
        <v>54.054000000000002</v>
      </c>
      <c r="R10" s="6" t="s">
        <v>195</v>
      </c>
    </row>
    <row r="11" spans="1:18" x14ac:dyDescent="0.3">
      <c r="A11">
        <f t="shared" si="0"/>
        <v>10</v>
      </c>
      <c r="B11" s="6" t="s">
        <v>64</v>
      </c>
      <c r="C11">
        <f>COUNTIF(PlantData!$K$7:$K$106,States100!$B11)</f>
        <v>3</v>
      </c>
      <c r="I11">
        <f t="shared" si="1"/>
        <v>10</v>
      </c>
      <c r="J11" s="6" t="s">
        <v>514</v>
      </c>
      <c r="K11">
        <f>COUNTIF(PlantData!$Q$7:$Q$106,States100!$J11)</f>
        <v>3</v>
      </c>
      <c r="L11" s="13">
        <v>40.020000000000003</v>
      </c>
      <c r="M11" s="13">
        <v>-105.25</v>
      </c>
      <c r="O11">
        <f t="shared" si="2"/>
        <v>10</v>
      </c>
      <c r="P11" s="6" t="s">
        <v>571</v>
      </c>
      <c r="Q11" s="15">
        <v>53.639499999999998</v>
      </c>
      <c r="R11" s="6" t="s">
        <v>195</v>
      </c>
    </row>
    <row r="12" spans="1:18" x14ac:dyDescent="0.3">
      <c r="A12">
        <f t="shared" si="0"/>
        <v>11</v>
      </c>
      <c r="B12" s="6" t="s">
        <v>73</v>
      </c>
      <c r="C12">
        <f>COUNTIF(PlantData!$K$7:$K$106,States100!$B12)</f>
        <v>2</v>
      </c>
      <c r="I12">
        <f t="shared" si="1"/>
        <v>11</v>
      </c>
      <c r="J12" s="6" t="s">
        <v>510</v>
      </c>
      <c r="K12">
        <f>COUNTIF(PlantData!$Q$7:$Q$106,States100!$J12)</f>
        <v>3</v>
      </c>
      <c r="L12" s="13">
        <v>36.08</v>
      </c>
      <c r="M12" s="13">
        <v>-115.17</v>
      </c>
      <c r="O12">
        <f t="shared" si="2"/>
        <v>11</v>
      </c>
      <c r="P12" s="6" t="s">
        <v>571</v>
      </c>
      <c r="Q12" s="15">
        <v>53.639499999999998</v>
      </c>
      <c r="R12" s="6" t="s">
        <v>195</v>
      </c>
    </row>
    <row r="13" spans="1:18" x14ac:dyDescent="0.3">
      <c r="A13">
        <f t="shared" si="0"/>
        <v>12</v>
      </c>
      <c r="B13" s="6" t="s">
        <v>138</v>
      </c>
      <c r="C13">
        <f>COUNTIF(PlantData!$K$7:$K$106,States100!$B13)</f>
        <v>2</v>
      </c>
      <c r="I13">
        <f t="shared" si="1"/>
        <v>12</v>
      </c>
      <c r="J13" s="6" t="s">
        <v>568</v>
      </c>
      <c r="K13">
        <f>COUNTIF(PlantData!$Q$7:$Q$106,States100!$J13)</f>
        <v>3</v>
      </c>
      <c r="L13" s="13">
        <v>33.82</v>
      </c>
      <c r="M13" s="13">
        <v>-118.15</v>
      </c>
      <c r="O13">
        <f t="shared" si="2"/>
        <v>12</v>
      </c>
      <c r="P13" s="6" t="s">
        <v>555</v>
      </c>
      <c r="Q13" s="15">
        <v>50.952500000000001</v>
      </c>
      <c r="R13" s="6" t="s">
        <v>195</v>
      </c>
    </row>
    <row r="14" spans="1:18" x14ac:dyDescent="0.3">
      <c r="A14">
        <f t="shared" si="0"/>
        <v>13</v>
      </c>
      <c r="B14" s="6" t="s">
        <v>386</v>
      </c>
      <c r="C14">
        <f>COUNTIF(PlantData!$K$7:$K$106,States100!$B14)</f>
        <v>1</v>
      </c>
      <c r="I14">
        <f t="shared" si="1"/>
        <v>13</v>
      </c>
      <c r="J14" s="6" t="s">
        <v>557</v>
      </c>
      <c r="K14">
        <f>COUNTIF(PlantData!$Q$7:$Q$106,States100!$J15)</f>
        <v>2</v>
      </c>
      <c r="L14" s="13">
        <v>40.65</v>
      </c>
      <c r="M14" s="13">
        <v>-75.430000000000007</v>
      </c>
      <c r="O14">
        <f t="shared" si="2"/>
        <v>13</v>
      </c>
      <c r="P14" s="6" t="s">
        <v>516</v>
      </c>
      <c r="Q14" s="15">
        <v>49.765999999999991</v>
      </c>
      <c r="R14" s="6" t="s">
        <v>197</v>
      </c>
    </row>
    <row r="15" spans="1:18" x14ac:dyDescent="0.3">
      <c r="A15">
        <f t="shared" si="0"/>
        <v>14</v>
      </c>
      <c r="B15" s="6" t="s">
        <v>112</v>
      </c>
      <c r="C15">
        <f>COUNTIF(PlantData!$K$7:$K$106,States100!$B15)</f>
        <v>1</v>
      </c>
      <c r="I15">
        <f t="shared" si="1"/>
        <v>14</v>
      </c>
      <c r="J15" s="6" t="s">
        <v>549</v>
      </c>
      <c r="K15">
        <f>COUNTIF(PlantData!$Q$7:$Q$106,States100!$J16)</f>
        <v>2</v>
      </c>
      <c r="L15" s="13">
        <v>42.37</v>
      </c>
      <c r="M15" s="13">
        <v>-71.03</v>
      </c>
      <c r="O15">
        <f t="shared" si="2"/>
        <v>14</v>
      </c>
      <c r="P15" s="6" t="s">
        <v>531</v>
      </c>
      <c r="Q15" s="15">
        <v>49.124000000000002</v>
      </c>
      <c r="R15" s="6" t="s">
        <v>197</v>
      </c>
    </row>
    <row r="16" spans="1:18" x14ac:dyDescent="0.3">
      <c r="A16">
        <f t="shared" si="0"/>
        <v>15</v>
      </c>
      <c r="B16" s="6" t="s">
        <v>389</v>
      </c>
      <c r="C16">
        <f>COUNTIF(PlantData!$K$7:$K$106,States100!$B16)</f>
        <v>1</v>
      </c>
      <c r="I16">
        <f t="shared" si="1"/>
        <v>15</v>
      </c>
      <c r="J16" s="6" t="s">
        <v>508</v>
      </c>
      <c r="K16">
        <f>COUNTIF(PlantData!$Q$7:$Q$106,States100!$J17)</f>
        <v>2</v>
      </c>
      <c r="L16" s="13">
        <v>38.82</v>
      </c>
      <c r="M16" s="13">
        <v>-104.72</v>
      </c>
      <c r="O16">
        <f t="shared" si="2"/>
        <v>15</v>
      </c>
      <c r="P16" s="6" t="s">
        <v>512</v>
      </c>
      <c r="Q16" s="15">
        <v>48.895499999999998</v>
      </c>
      <c r="R16" s="6" t="s">
        <v>197</v>
      </c>
    </row>
    <row r="17" spans="1:18" x14ac:dyDescent="0.3">
      <c r="A17">
        <f t="shared" si="0"/>
        <v>16</v>
      </c>
      <c r="B17" s="6" t="s">
        <v>411</v>
      </c>
      <c r="C17">
        <f>COUNTIF(PlantData!$K$7:$K$106,States100!$B17)</f>
        <v>1</v>
      </c>
      <c r="I17">
        <f t="shared" si="1"/>
        <v>16</v>
      </c>
      <c r="J17" s="6" t="s">
        <v>567</v>
      </c>
      <c r="K17">
        <f>COUNTIF(PlantData!$Q$7:$Q$106,States100!$J18)</f>
        <v>2</v>
      </c>
      <c r="L17" s="13">
        <v>40.22</v>
      </c>
      <c r="M17" s="13">
        <v>-76.849999999999994</v>
      </c>
      <c r="O17">
        <f t="shared" si="2"/>
        <v>16</v>
      </c>
      <c r="P17" s="6" t="s">
        <v>512</v>
      </c>
      <c r="Q17" s="15">
        <v>48.895499999999998</v>
      </c>
      <c r="R17" s="6" t="s">
        <v>197</v>
      </c>
    </row>
    <row r="18" spans="1:18" x14ac:dyDescent="0.3">
      <c r="A18">
        <f t="shared" si="0"/>
        <v>17</v>
      </c>
      <c r="B18" s="6" t="s">
        <v>233</v>
      </c>
      <c r="C18">
        <f>COUNTIF(PlantData!$K$7:$K$106,States100!$B18)</f>
        <v>1</v>
      </c>
      <c r="I18">
        <f t="shared" si="1"/>
        <v>17</v>
      </c>
      <c r="J18" s="6" t="s">
        <v>203</v>
      </c>
      <c r="K18">
        <f>COUNTIF(PlantData!$Q$7:$Q$106,States100!$J19)</f>
        <v>2</v>
      </c>
      <c r="L18" s="13">
        <v>30.5</v>
      </c>
      <c r="M18" s="13">
        <v>-81.7</v>
      </c>
      <c r="O18">
        <f t="shared" si="2"/>
        <v>17</v>
      </c>
      <c r="P18" s="6" t="s">
        <v>526</v>
      </c>
      <c r="Q18" s="15">
        <v>48.667499999999997</v>
      </c>
      <c r="R18" s="6" t="s">
        <v>197</v>
      </c>
    </row>
    <row r="19" spans="1:18" x14ac:dyDescent="0.3">
      <c r="A19">
        <f t="shared" si="0"/>
        <v>18</v>
      </c>
      <c r="B19" s="6" t="s">
        <v>370</v>
      </c>
      <c r="C19">
        <f>COUNTIF(PlantData!$K$7:$K$106,States100!$B19)</f>
        <v>1</v>
      </c>
      <c r="I19">
        <f t="shared" si="1"/>
        <v>18</v>
      </c>
      <c r="J19" s="6" t="s">
        <v>560</v>
      </c>
      <c r="K19">
        <f>COUNTIF(PlantData!$Q$7:$Q$106,States100!$J14)</f>
        <v>2</v>
      </c>
      <c r="L19" s="13">
        <v>33.93</v>
      </c>
      <c r="M19" s="13">
        <v>-118.4</v>
      </c>
      <c r="O19">
        <f t="shared" si="2"/>
        <v>18</v>
      </c>
      <c r="P19" s="6" t="s">
        <v>510</v>
      </c>
      <c r="Q19" s="15">
        <v>48.323999999999998</v>
      </c>
      <c r="R19" s="6" t="s">
        <v>197</v>
      </c>
    </row>
    <row r="20" spans="1:18" x14ac:dyDescent="0.3">
      <c r="A20">
        <f t="shared" si="0"/>
        <v>19</v>
      </c>
      <c r="B20" s="6" t="s">
        <v>377</v>
      </c>
      <c r="C20">
        <f>COUNTIF(PlantData!$K$7:$K$106,States100!$B20)</f>
        <v>1</v>
      </c>
      <c r="I20">
        <f t="shared" si="1"/>
        <v>19</v>
      </c>
      <c r="J20" s="6" t="s">
        <v>571</v>
      </c>
      <c r="K20">
        <f>COUNTIF(PlantData!$Q$7:$Q$106,States100!$J20)</f>
        <v>2</v>
      </c>
      <c r="L20" s="13">
        <v>32.119999999999997</v>
      </c>
      <c r="M20" s="13">
        <v>-110.93</v>
      </c>
      <c r="O20">
        <f t="shared" si="2"/>
        <v>19</v>
      </c>
      <c r="P20" s="6" t="s">
        <v>510</v>
      </c>
      <c r="Q20" s="15">
        <v>48.323999999999998</v>
      </c>
      <c r="R20" s="6" t="s">
        <v>197</v>
      </c>
    </row>
    <row r="21" spans="1:18" x14ac:dyDescent="0.3">
      <c r="A21">
        <f t="shared" si="0"/>
        <v>20</v>
      </c>
      <c r="B21" s="6" t="s">
        <v>96</v>
      </c>
      <c r="C21" s="33">
        <f>COUNTIF(PlantData!$K$7:$K$106,States100!$B21)</f>
        <v>1</v>
      </c>
      <c r="I21">
        <f t="shared" si="1"/>
        <v>20</v>
      </c>
      <c r="J21" s="6" t="s">
        <v>505</v>
      </c>
      <c r="K21">
        <f>COUNTIF(PlantData!$Q$7:$Q$106,States100!$J22)</f>
        <v>1</v>
      </c>
      <c r="L21" s="13">
        <v>35.049999999999997</v>
      </c>
      <c r="M21" s="13">
        <v>-106.62</v>
      </c>
      <c r="O21">
        <f t="shared" si="2"/>
        <v>20</v>
      </c>
      <c r="P21" s="6" t="s">
        <v>572</v>
      </c>
      <c r="Q21" s="15">
        <v>46.866</v>
      </c>
      <c r="R21" s="6" t="s">
        <v>197</v>
      </c>
    </row>
    <row r="22" spans="1:18" x14ac:dyDescent="0.3">
      <c r="C22">
        <f>SUM(C2:C21)</f>
        <v>100</v>
      </c>
      <c r="I22">
        <f t="shared" si="1"/>
        <v>21</v>
      </c>
      <c r="J22" s="6" t="s">
        <v>531</v>
      </c>
      <c r="K22">
        <f>COUNTIF(PlantData!$Q$7:$Q$106,States100!$J23)</f>
        <v>1</v>
      </c>
      <c r="L22" s="13">
        <v>30.3</v>
      </c>
      <c r="M22" s="13">
        <v>-97.7</v>
      </c>
      <c r="O22">
        <f t="shared" si="2"/>
        <v>21</v>
      </c>
      <c r="P22" s="6" t="s">
        <v>564</v>
      </c>
      <c r="Q22" s="15">
        <v>46.300399999999996</v>
      </c>
      <c r="R22" s="6" t="s">
        <v>197</v>
      </c>
    </row>
    <row r="23" spans="1:18" x14ac:dyDescent="0.3">
      <c r="I23">
        <f t="shared" si="1"/>
        <v>22</v>
      </c>
      <c r="J23" s="6" t="s">
        <v>524</v>
      </c>
      <c r="K23">
        <f>COUNTIF(PlantData!$Q$7:$Q$106,States100!$J24)</f>
        <v>1</v>
      </c>
      <c r="L23" s="13">
        <v>39.18</v>
      </c>
      <c r="M23" s="13">
        <v>-76.67</v>
      </c>
      <c r="O23">
        <f t="shared" si="2"/>
        <v>22</v>
      </c>
      <c r="P23" s="6" t="s">
        <v>504</v>
      </c>
      <c r="Q23" s="15">
        <v>46.124000000000002</v>
      </c>
      <c r="R23" s="6" t="s">
        <v>197</v>
      </c>
    </row>
    <row r="24" spans="1:18" x14ac:dyDescent="0.3">
      <c r="I24">
        <f t="shared" si="1"/>
        <v>23</v>
      </c>
      <c r="J24" s="6" t="s">
        <v>574</v>
      </c>
      <c r="K24">
        <f>COUNTIF(PlantData!$Q$7:$Q$106,States100!$J25)</f>
        <v>1</v>
      </c>
      <c r="L24" s="13">
        <v>41.17</v>
      </c>
      <c r="M24" s="13">
        <v>-73.13</v>
      </c>
      <c r="O24">
        <f t="shared" si="2"/>
        <v>23</v>
      </c>
      <c r="P24" s="6" t="s">
        <v>507</v>
      </c>
      <c r="Q24" s="15">
        <v>45.91</v>
      </c>
      <c r="R24" s="6" t="s">
        <v>197</v>
      </c>
    </row>
    <row r="25" spans="1:18" x14ac:dyDescent="0.3">
      <c r="I25">
        <f t="shared" si="1"/>
        <v>24</v>
      </c>
      <c r="J25" s="6" t="s">
        <v>503</v>
      </c>
      <c r="K25">
        <f>COUNTIF(PlantData!$Q$7:$Q$106,States100!$J26)</f>
        <v>1</v>
      </c>
      <c r="L25" s="13">
        <v>44.47</v>
      </c>
      <c r="M25" s="13">
        <v>-73.150000000000006</v>
      </c>
      <c r="O25">
        <f t="shared" si="2"/>
        <v>24</v>
      </c>
      <c r="P25" s="6" t="s">
        <v>507</v>
      </c>
      <c r="Q25" s="15">
        <v>45.91</v>
      </c>
      <c r="R25" s="6" t="s">
        <v>197</v>
      </c>
    </row>
    <row r="26" spans="1:18" x14ac:dyDescent="0.3">
      <c r="I26">
        <f t="shared" si="1"/>
        <v>25</v>
      </c>
      <c r="J26" s="6" t="s">
        <v>515</v>
      </c>
      <c r="K26">
        <f>COUNTIF(PlantData!$Q$7:$Q$106,States100!$J27)</f>
        <v>1</v>
      </c>
      <c r="L26" s="13">
        <v>41.78</v>
      </c>
      <c r="M26" s="13">
        <v>-87.75</v>
      </c>
      <c r="O26">
        <f t="shared" si="2"/>
        <v>25</v>
      </c>
      <c r="P26" s="6" t="s">
        <v>507</v>
      </c>
      <c r="Q26" s="15">
        <v>45.91</v>
      </c>
      <c r="R26" s="6" t="s">
        <v>197</v>
      </c>
    </row>
    <row r="27" spans="1:18" x14ac:dyDescent="0.3">
      <c r="I27">
        <f t="shared" si="1"/>
        <v>26</v>
      </c>
      <c r="J27" s="6" t="s">
        <v>660</v>
      </c>
      <c r="K27">
        <f>COUNTIF(PlantData!$Q$7:$Q$106,States100!$J48)</f>
        <v>1</v>
      </c>
      <c r="L27" s="13">
        <v>33.99</v>
      </c>
      <c r="M27" s="13">
        <v>-117.7</v>
      </c>
      <c r="O27">
        <f t="shared" si="2"/>
        <v>26</v>
      </c>
      <c r="P27" s="6" t="s">
        <v>507</v>
      </c>
      <c r="Q27" s="15">
        <v>45.91</v>
      </c>
      <c r="R27" s="6" t="s">
        <v>197</v>
      </c>
    </row>
    <row r="28" spans="1:18" x14ac:dyDescent="0.3">
      <c r="I28">
        <f t="shared" si="1"/>
        <v>27</v>
      </c>
      <c r="J28" s="6" t="s">
        <v>572</v>
      </c>
      <c r="K28">
        <f>COUNTIF(PlantData!$Q$7:$Q$106,States100!$J28)</f>
        <v>1</v>
      </c>
      <c r="L28" s="13">
        <v>29.18</v>
      </c>
      <c r="M28" s="13">
        <v>-81.05</v>
      </c>
      <c r="O28">
        <f t="shared" si="2"/>
        <v>27</v>
      </c>
      <c r="P28" s="6" t="s">
        <v>507</v>
      </c>
      <c r="Q28" s="15">
        <v>45.91</v>
      </c>
      <c r="R28" s="6" t="s">
        <v>197</v>
      </c>
    </row>
    <row r="29" spans="1:18" x14ac:dyDescent="0.3">
      <c r="I29">
        <f t="shared" si="1"/>
        <v>28</v>
      </c>
      <c r="J29" s="6" t="s">
        <v>504</v>
      </c>
      <c r="K29">
        <f>COUNTIF(PlantData!$Q$7:$Q$106,States100!$J29)</f>
        <v>1</v>
      </c>
      <c r="L29" s="13">
        <v>31.8</v>
      </c>
      <c r="M29" s="13">
        <v>-106.4</v>
      </c>
      <c r="O29">
        <f t="shared" si="2"/>
        <v>28</v>
      </c>
      <c r="P29" s="6" t="s">
        <v>507</v>
      </c>
      <c r="Q29" s="15">
        <v>45.91</v>
      </c>
      <c r="R29" s="6" t="s">
        <v>197</v>
      </c>
    </row>
    <row r="30" spans="1:18" x14ac:dyDescent="0.3">
      <c r="I30">
        <f t="shared" si="1"/>
        <v>29</v>
      </c>
      <c r="J30" s="6" t="s">
        <v>562</v>
      </c>
      <c r="K30">
        <f>COUNTIF(PlantData!$Q$7:$Q$106,States100!$J30)</f>
        <v>1</v>
      </c>
      <c r="L30" s="13">
        <v>39.119999999999997</v>
      </c>
      <c r="M30" s="13">
        <v>-108.53</v>
      </c>
      <c r="O30">
        <f t="shared" si="2"/>
        <v>29</v>
      </c>
      <c r="P30" s="6" t="s">
        <v>659</v>
      </c>
      <c r="Q30" s="15">
        <v>45.585049999999995</v>
      </c>
      <c r="R30" s="6" t="s">
        <v>197</v>
      </c>
    </row>
    <row r="31" spans="1:18" x14ac:dyDescent="0.3">
      <c r="I31">
        <f t="shared" si="1"/>
        <v>30</v>
      </c>
      <c r="J31" s="6" t="s">
        <v>566</v>
      </c>
      <c r="K31">
        <f>COUNTIF(PlantData!$Q$7:$Q$106,States100!$J31)</f>
        <v>1</v>
      </c>
      <c r="L31" s="13">
        <v>36.08</v>
      </c>
      <c r="M31" s="13">
        <v>-79.95</v>
      </c>
      <c r="O31">
        <f t="shared" si="2"/>
        <v>30</v>
      </c>
      <c r="P31" s="6" t="s">
        <v>661</v>
      </c>
      <c r="Q31" s="15">
        <v>44.79365</v>
      </c>
      <c r="R31" s="6" t="s">
        <v>197</v>
      </c>
    </row>
    <row r="32" spans="1:18" x14ac:dyDescent="0.3">
      <c r="I32">
        <f t="shared" si="1"/>
        <v>31</v>
      </c>
      <c r="J32" s="6" t="s">
        <v>550</v>
      </c>
      <c r="K32">
        <f>COUNTIF(PlantData!$Q$7:$Q$106,States100!$J32)</f>
        <v>1</v>
      </c>
      <c r="L32" s="13">
        <v>20.9</v>
      </c>
      <c r="M32" s="13">
        <v>-156.43</v>
      </c>
      <c r="O32">
        <f t="shared" si="2"/>
        <v>31</v>
      </c>
      <c r="P32" s="6" t="s">
        <v>203</v>
      </c>
      <c r="Q32" s="15">
        <v>44.7515</v>
      </c>
      <c r="R32" s="6" t="s">
        <v>197</v>
      </c>
    </row>
    <row r="33" spans="9:18" x14ac:dyDescent="0.3">
      <c r="I33">
        <f t="shared" si="1"/>
        <v>32</v>
      </c>
      <c r="J33" s="6" t="s">
        <v>516</v>
      </c>
      <c r="K33">
        <f>COUNTIF(PlantData!$Q$7:$Q$106,States100!$J33)</f>
        <v>1</v>
      </c>
      <c r="L33" s="13">
        <v>21.98</v>
      </c>
      <c r="M33" s="13">
        <v>-159.35</v>
      </c>
      <c r="O33">
        <f t="shared" si="2"/>
        <v>32</v>
      </c>
      <c r="P33" s="6" t="s">
        <v>203</v>
      </c>
      <c r="Q33" s="15">
        <v>44.7515</v>
      </c>
      <c r="R33" s="6" t="s">
        <v>197</v>
      </c>
    </row>
    <row r="34" spans="9:18" x14ac:dyDescent="0.3">
      <c r="I34">
        <f t="shared" si="1"/>
        <v>33</v>
      </c>
      <c r="J34" s="6" t="s">
        <v>573</v>
      </c>
      <c r="K34">
        <f>COUNTIF(PlantData!$Q$7:$Q$106,States100!$J34)</f>
        <v>1</v>
      </c>
      <c r="L34" s="13">
        <v>40.82</v>
      </c>
      <c r="M34" s="13">
        <v>-82.52</v>
      </c>
      <c r="O34">
        <f t="shared" si="2"/>
        <v>33</v>
      </c>
      <c r="P34" s="6" t="s">
        <v>513</v>
      </c>
      <c r="Q34" s="15">
        <v>44.323499999999996</v>
      </c>
      <c r="R34" s="6" t="s">
        <v>197</v>
      </c>
    </row>
    <row r="35" spans="9:18" x14ac:dyDescent="0.3">
      <c r="I35">
        <f t="shared" si="1"/>
        <v>34</v>
      </c>
      <c r="J35" s="6" t="s">
        <v>526</v>
      </c>
      <c r="K35">
        <f>COUNTIF(PlantData!$Q$7:$Q$106,States100!$J35)</f>
        <v>1</v>
      </c>
      <c r="L35" s="13">
        <v>31.93</v>
      </c>
      <c r="M35" s="13">
        <v>-102.2</v>
      </c>
      <c r="O35">
        <f t="shared" si="2"/>
        <v>34</v>
      </c>
      <c r="P35" s="6" t="s">
        <v>513</v>
      </c>
      <c r="Q35" s="15">
        <v>44.323499999999996</v>
      </c>
      <c r="R35" s="6" t="s">
        <v>197</v>
      </c>
    </row>
    <row r="36" spans="9:18" x14ac:dyDescent="0.3">
      <c r="I36">
        <f t="shared" si="1"/>
        <v>35</v>
      </c>
      <c r="J36" s="6" t="s">
        <v>661</v>
      </c>
      <c r="K36">
        <f>COUNTIF(PlantData!$Q$7:$Q$106,States100!$J36)</f>
        <v>1</v>
      </c>
      <c r="L36" s="13">
        <v>33.865900000000003</v>
      </c>
      <c r="M36" s="13">
        <v>-117.22150000000001</v>
      </c>
      <c r="O36">
        <f t="shared" si="2"/>
        <v>35</v>
      </c>
      <c r="P36" s="6" t="s">
        <v>513</v>
      </c>
      <c r="Q36" s="15">
        <v>44.323499999999996</v>
      </c>
      <c r="R36" s="6" t="s">
        <v>197</v>
      </c>
    </row>
    <row r="37" spans="9:18" x14ac:dyDescent="0.3">
      <c r="I37">
        <f t="shared" si="1"/>
        <v>36</v>
      </c>
      <c r="J37" s="6" t="s">
        <v>552</v>
      </c>
      <c r="K37">
        <f>COUNTIF(PlantData!$Q$7:$Q$106,States100!$J37)</f>
        <v>1</v>
      </c>
      <c r="L37" s="13">
        <v>35.869999999999997</v>
      </c>
      <c r="M37" s="13">
        <v>-78.78</v>
      </c>
      <c r="O37">
        <f t="shared" si="2"/>
        <v>36</v>
      </c>
      <c r="P37" s="6" t="s">
        <v>513</v>
      </c>
      <c r="Q37" s="15">
        <v>44.323499999999996</v>
      </c>
      <c r="R37" s="6" t="s">
        <v>197</v>
      </c>
    </row>
    <row r="38" spans="9:18" x14ac:dyDescent="0.3">
      <c r="I38">
        <f t="shared" si="1"/>
        <v>37</v>
      </c>
      <c r="J38" s="6" t="s">
        <v>553</v>
      </c>
      <c r="K38">
        <f>COUNTIF(PlantData!$Q$7:$Q$106,States100!$J38)</f>
        <v>1</v>
      </c>
      <c r="L38" s="13">
        <v>39.5</v>
      </c>
      <c r="M38" s="13">
        <v>-119.78</v>
      </c>
      <c r="O38">
        <f t="shared" si="2"/>
        <v>37</v>
      </c>
      <c r="P38" s="6" t="s">
        <v>568</v>
      </c>
      <c r="Q38" s="15">
        <v>43.601749999999996</v>
      </c>
      <c r="R38" s="6" t="s">
        <v>197</v>
      </c>
    </row>
    <row r="39" spans="9:18" x14ac:dyDescent="0.3">
      <c r="I39">
        <f t="shared" si="1"/>
        <v>38</v>
      </c>
      <c r="J39" s="6" t="s">
        <v>575</v>
      </c>
      <c r="K39">
        <f>COUNTIF(PlantData!$Q$7:$Q$106,States100!$J39)</f>
        <v>1</v>
      </c>
      <c r="L39" s="13">
        <v>44.92</v>
      </c>
      <c r="M39" s="13">
        <v>-123.02</v>
      </c>
      <c r="O39">
        <f t="shared" si="2"/>
        <v>38</v>
      </c>
      <c r="P39" s="6" t="s">
        <v>560</v>
      </c>
      <c r="Q39" s="15">
        <v>43.580500000000001</v>
      </c>
      <c r="R39" s="6" t="s">
        <v>197</v>
      </c>
    </row>
    <row r="40" spans="9:18" x14ac:dyDescent="0.3">
      <c r="I40">
        <f t="shared" si="1"/>
        <v>39</v>
      </c>
      <c r="J40" s="6" t="s">
        <v>564</v>
      </c>
      <c r="K40">
        <f>COUNTIF(PlantData!$Q$7:$Q$106,States100!$J40)</f>
        <v>1</v>
      </c>
      <c r="L40" s="13">
        <v>29.53</v>
      </c>
      <c r="M40" s="13">
        <v>-98.47</v>
      </c>
      <c r="O40">
        <f t="shared" si="2"/>
        <v>39</v>
      </c>
      <c r="P40" s="6" t="s">
        <v>513</v>
      </c>
      <c r="Q40" s="15">
        <v>43.248359999999998</v>
      </c>
      <c r="R40" s="6" t="s">
        <v>197</v>
      </c>
    </row>
    <row r="41" spans="9:18" x14ac:dyDescent="0.3">
      <c r="I41">
        <f t="shared" si="1"/>
        <v>40</v>
      </c>
      <c r="J41" s="6" t="s">
        <v>659</v>
      </c>
      <c r="K41">
        <f>COUNTIF(PlantData!$Q$7:$Q$106,States100!$J41)</f>
        <v>1</v>
      </c>
      <c r="L41" s="13">
        <v>34.094700000000003</v>
      </c>
      <c r="M41" s="13">
        <v>-117.26683</v>
      </c>
      <c r="O41">
        <f t="shared" si="2"/>
        <v>40</v>
      </c>
      <c r="P41" s="6" t="s">
        <v>568</v>
      </c>
      <c r="Q41" s="15">
        <v>43.194499999999998</v>
      </c>
      <c r="R41" s="6" t="s">
        <v>197</v>
      </c>
    </row>
    <row r="42" spans="9:18" x14ac:dyDescent="0.3">
      <c r="I42">
        <f t="shared" si="1"/>
        <v>41</v>
      </c>
      <c r="J42" s="6" t="s">
        <v>509</v>
      </c>
      <c r="K42">
        <f>COUNTIF(PlantData!$Q$7:$Q$106,States100!$J42)</f>
        <v>1</v>
      </c>
      <c r="L42" s="13">
        <v>37.619999999999997</v>
      </c>
      <c r="M42" s="13">
        <v>-122.38</v>
      </c>
      <c r="O42">
        <f t="shared" si="2"/>
        <v>41</v>
      </c>
      <c r="P42" s="6" t="s">
        <v>568</v>
      </c>
      <c r="Q42" s="15">
        <v>43.194499999999998</v>
      </c>
      <c r="R42" s="6" t="s">
        <v>197</v>
      </c>
    </row>
    <row r="43" spans="9:18" x14ac:dyDescent="0.3">
      <c r="I43">
        <f t="shared" si="1"/>
        <v>42</v>
      </c>
      <c r="J43" s="6" t="s">
        <v>523</v>
      </c>
      <c r="K43">
        <f>COUNTIF(PlantData!$Q$7:$Q$106,States100!$J43)</f>
        <v>1</v>
      </c>
      <c r="L43" s="13">
        <v>34.9</v>
      </c>
      <c r="M43" s="13">
        <v>-120.45</v>
      </c>
      <c r="O43">
        <f t="shared" si="2"/>
        <v>42</v>
      </c>
      <c r="P43" s="6" t="s">
        <v>660</v>
      </c>
      <c r="Q43" s="15">
        <v>43.130250000000004</v>
      </c>
      <c r="R43" s="6" t="s">
        <v>197</v>
      </c>
    </row>
    <row r="44" spans="9:18" x14ac:dyDescent="0.3">
      <c r="I44">
        <f t="shared" si="1"/>
        <v>43</v>
      </c>
      <c r="J44" s="6" t="s">
        <v>555</v>
      </c>
      <c r="K44">
        <f>COUNTIF(PlantData!$Q$7:$Q$106,States100!$J44)</f>
        <v>1</v>
      </c>
      <c r="L44" s="13">
        <v>27.97</v>
      </c>
      <c r="M44" s="13">
        <v>-82.53</v>
      </c>
      <c r="O44">
        <f t="shared" si="2"/>
        <v>43</v>
      </c>
      <c r="P44" s="6" t="s">
        <v>565</v>
      </c>
      <c r="Q44" s="15">
        <v>42.795000000000002</v>
      </c>
      <c r="R44" s="6" t="s">
        <v>197</v>
      </c>
    </row>
    <row r="45" spans="9:18" x14ac:dyDescent="0.3">
      <c r="I45">
        <f t="shared" si="1"/>
        <v>44</v>
      </c>
      <c r="J45" s="6" t="s">
        <v>570</v>
      </c>
      <c r="K45">
        <f>COUNTIF(PlantData!$Q$7:$Q$106,States100!$J45)</f>
        <v>1</v>
      </c>
      <c r="L45" s="13">
        <v>41.33</v>
      </c>
      <c r="M45" s="13">
        <v>-75.73</v>
      </c>
      <c r="O45">
        <f t="shared" si="2"/>
        <v>44</v>
      </c>
      <c r="P45" s="6" t="s">
        <v>565</v>
      </c>
      <c r="Q45" s="15">
        <v>42.795000000000002</v>
      </c>
      <c r="R45" s="6" t="s">
        <v>197</v>
      </c>
    </row>
    <row r="46" spans="9:18" x14ac:dyDescent="0.3">
      <c r="I46">
        <f t="shared" si="1"/>
        <v>45</v>
      </c>
      <c r="J46" s="6" t="s">
        <v>663</v>
      </c>
      <c r="K46">
        <f>COUNTIF(PlantData!$Q$7:$Q$106,States100!$J48)</f>
        <v>1</v>
      </c>
      <c r="L46" s="13">
        <v>39.67</v>
      </c>
      <c r="M46" s="13">
        <v>-75.599999999999994</v>
      </c>
      <c r="O46">
        <f t="shared" si="2"/>
        <v>45</v>
      </c>
      <c r="P46" s="6" t="s">
        <v>507</v>
      </c>
      <c r="Q46" s="15">
        <v>42.380499999999998</v>
      </c>
      <c r="R46" s="6" t="s">
        <v>197</v>
      </c>
    </row>
    <row r="47" spans="9:18" x14ac:dyDescent="0.3">
      <c r="I47">
        <f t="shared" si="1"/>
        <v>46</v>
      </c>
      <c r="J47" s="6" t="s">
        <v>664</v>
      </c>
      <c r="K47">
        <f>COUNTIF(PlantData!$Q$7:$Q$106,States100!$J21)</f>
        <v>1</v>
      </c>
      <c r="L47" s="13">
        <v>34.270000000000003</v>
      </c>
      <c r="M47" s="13">
        <v>-77.900000000000006</v>
      </c>
      <c r="O47">
        <f t="shared" si="2"/>
        <v>46</v>
      </c>
      <c r="P47" s="6" t="s">
        <v>560</v>
      </c>
      <c r="Q47" s="15">
        <v>42.358750000000001</v>
      </c>
      <c r="R47" s="6" t="s">
        <v>197</v>
      </c>
    </row>
    <row r="48" spans="9:18" x14ac:dyDescent="0.3">
      <c r="I48">
        <f t="shared" si="1"/>
        <v>47</v>
      </c>
      <c r="J48" s="6" t="s">
        <v>569</v>
      </c>
      <c r="K48">
        <f>COUNTIF(PlantData!$Q$7:$Q$106,States100!$J46)</f>
        <v>1</v>
      </c>
      <c r="L48" s="13">
        <v>42.27</v>
      </c>
      <c r="M48" s="13">
        <v>-71.87</v>
      </c>
      <c r="O48">
        <f t="shared" si="2"/>
        <v>47</v>
      </c>
      <c r="P48" s="6" t="s">
        <v>507</v>
      </c>
      <c r="Q48" s="15">
        <v>42.231175</v>
      </c>
      <c r="R48" s="6" t="s">
        <v>197</v>
      </c>
    </row>
    <row r="49" spans="9:18" x14ac:dyDescent="0.3">
      <c r="I49">
        <f t="shared" si="1"/>
        <v>48</v>
      </c>
      <c r="J49" s="6" t="s">
        <v>554</v>
      </c>
      <c r="K49">
        <f>COUNTIF(PlantData!$Q$7:$Q$106,States100!$J47)</f>
        <v>1</v>
      </c>
      <c r="L49" s="13">
        <v>46.57</v>
      </c>
      <c r="M49" s="13">
        <v>-120.53</v>
      </c>
      <c r="O49">
        <f t="shared" si="2"/>
        <v>48</v>
      </c>
      <c r="P49" s="6" t="s">
        <v>562</v>
      </c>
      <c r="Q49" s="15">
        <v>42.152999999999999</v>
      </c>
      <c r="R49" s="6" t="s">
        <v>197</v>
      </c>
    </row>
    <row r="50" spans="9:18" x14ac:dyDescent="0.3">
      <c r="K50" s="7" t="s">
        <v>824</v>
      </c>
      <c r="L50" s="72">
        <f>AVERAGE(L2:L49)</f>
        <v>36.42188749999999</v>
      </c>
      <c r="M50" s="72">
        <f>AVERAGE(M2:M49)</f>
        <v>-100.20184020833331</v>
      </c>
      <c r="N50" t="s">
        <v>928</v>
      </c>
      <c r="O50">
        <f t="shared" si="2"/>
        <v>49</v>
      </c>
      <c r="P50" s="6" t="s">
        <v>552</v>
      </c>
      <c r="Q50" s="15">
        <v>42.1235</v>
      </c>
      <c r="R50" s="6" t="s">
        <v>197</v>
      </c>
    </row>
    <row r="51" spans="9:18" x14ac:dyDescent="0.3">
      <c r="K51" s="7" t="s">
        <v>665</v>
      </c>
      <c r="L51" s="3">
        <f>MAX($L$2:$L$49)</f>
        <v>46.57</v>
      </c>
      <c r="M51" t="str">
        <f>VLOOKUP(MATCH(L51,$L$2:$L$49,0),$I$2:$J$49,2)</f>
        <v>Yakima</v>
      </c>
      <c r="O51">
        <f t="shared" si="2"/>
        <v>50</v>
      </c>
      <c r="P51" s="6" t="s">
        <v>507</v>
      </c>
      <c r="Q51" s="15">
        <v>42.081850000000003</v>
      </c>
      <c r="R51" s="6" t="s">
        <v>197</v>
      </c>
    </row>
    <row r="52" spans="9:18" x14ac:dyDescent="0.3">
      <c r="K52" s="7" t="s">
        <v>666</v>
      </c>
      <c r="L52" s="3">
        <f>MIN($L$2:$L$49)</f>
        <v>20.9</v>
      </c>
      <c r="M52" t="str">
        <f>VLOOKUP(MATCH(L52,$L$2:$L$49,0),$I$2:$J$49,2)</f>
        <v>Kahului</v>
      </c>
      <c r="O52">
        <f t="shared" si="2"/>
        <v>51</v>
      </c>
      <c r="P52" s="6" t="s">
        <v>505</v>
      </c>
      <c r="Q52" s="15">
        <v>41.952500000000001</v>
      </c>
      <c r="R52" s="6" t="s">
        <v>197</v>
      </c>
    </row>
    <row r="53" spans="9:18" x14ac:dyDescent="0.3">
      <c r="K53" s="7" t="s">
        <v>667</v>
      </c>
      <c r="L53" s="3">
        <f>MAX($M$2:$M$49)</f>
        <v>-71.03</v>
      </c>
      <c r="M53" t="str">
        <f>VLOOKUP(MATCH(L53,$M$2:$M$49,0),$I$2:$J$49,2)</f>
        <v>Boston</v>
      </c>
      <c r="O53">
        <f t="shared" si="2"/>
        <v>52</v>
      </c>
      <c r="P53" s="6" t="s">
        <v>523</v>
      </c>
      <c r="Q53" s="15">
        <v>41.476905000000002</v>
      </c>
      <c r="R53" s="6" t="s">
        <v>197</v>
      </c>
    </row>
    <row r="54" spans="9:18" x14ac:dyDescent="0.3">
      <c r="K54" s="7" t="s">
        <v>668</v>
      </c>
      <c r="L54" s="3">
        <f>MIN($M$2:$M$49)</f>
        <v>-159.35</v>
      </c>
      <c r="M54" t="str">
        <f>VLOOKUP(MATCH(L54,$M$2:$M$49,0),$I$2:$J$49,2)</f>
        <v>Lihue</v>
      </c>
      <c r="O54">
        <f t="shared" si="2"/>
        <v>53</v>
      </c>
      <c r="P54" s="6" t="s">
        <v>507</v>
      </c>
      <c r="Q54" s="15">
        <v>41.260562499999999</v>
      </c>
      <c r="R54" s="6" t="s">
        <v>197</v>
      </c>
    </row>
    <row r="55" spans="9:18" x14ac:dyDescent="0.3">
      <c r="K55" s="7" t="s">
        <v>825</v>
      </c>
      <c r="L55" s="72">
        <f>AVERAGE(L2:L31,L34:L49)</f>
        <v>37.073273913043465</v>
      </c>
      <c r="M55" s="72">
        <f>AVERAGE(M2:M31,M34:M49)</f>
        <v>-97.693659347826085</v>
      </c>
      <c r="N55" t="s">
        <v>827</v>
      </c>
      <c r="O55">
        <f t="shared" si="2"/>
        <v>54</v>
      </c>
      <c r="P55" s="6" t="s">
        <v>664</v>
      </c>
      <c r="Q55" s="15">
        <v>39.766500000000001</v>
      </c>
      <c r="R55" s="6" t="s">
        <v>196</v>
      </c>
    </row>
    <row r="56" spans="9:18" x14ac:dyDescent="0.3">
      <c r="O56">
        <f t="shared" si="2"/>
        <v>55</v>
      </c>
      <c r="P56" s="6" t="s">
        <v>565</v>
      </c>
      <c r="Q56" s="15">
        <v>39.672750000000001</v>
      </c>
      <c r="R56" s="6" t="s">
        <v>196</v>
      </c>
    </row>
    <row r="57" spans="9:18" x14ac:dyDescent="0.3">
      <c r="O57">
        <f t="shared" si="2"/>
        <v>56</v>
      </c>
      <c r="P57" s="6" t="s">
        <v>511</v>
      </c>
      <c r="Q57" s="15">
        <v>39.353999999999999</v>
      </c>
      <c r="R57" s="6" t="s">
        <v>196</v>
      </c>
    </row>
    <row r="58" spans="9:18" x14ac:dyDescent="0.3">
      <c r="O58">
        <f t="shared" si="2"/>
        <v>57</v>
      </c>
      <c r="P58" s="6" t="s">
        <v>565</v>
      </c>
      <c r="Q58" s="15">
        <v>39.333375000000004</v>
      </c>
      <c r="R58" s="6" t="s">
        <v>196</v>
      </c>
    </row>
    <row r="59" spans="9:18" x14ac:dyDescent="0.3">
      <c r="O59">
        <f t="shared" si="2"/>
        <v>58</v>
      </c>
      <c r="P59" s="6" t="s">
        <v>514</v>
      </c>
      <c r="Q59" s="15">
        <v>39.024000000000001</v>
      </c>
      <c r="R59" s="6" t="s">
        <v>196</v>
      </c>
    </row>
    <row r="60" spans="9:18" x14ac:dyDescent="0.3">
      <c r="O60">
        <f t="shared" si="2"/>
        <v>59</v>
      </c>
      <c r="P60" s="6" t="s">
        <v>514</v>
      </c>
      <c r="Q60" s="15">
        <v>39.024000000000001</v>
      </c>
      <c r="R60" s="6" t="s">
        <v>196</v>
      </c>
    </row>
    <row r="61" spans="9:18" x14ac:dyDescent="0.3">
      <c r="O61">
        <f t="shared" si="2"/>
        <v>60</v>
      </c>
      <c r="P61" s="6" t="s">
        <v>508</v>
      </c>
      <c r="Q61" s="15">
        <v>38.838499999999996</v>
      </c>
      <c r="R61" s="6" t="s">
        <v>196</v>
      </c>
    </row>
    <row r="62" spans="9:18" x14ac:dyDescent="0.3">
      <c r="O62">
        <f t="shared" si="2"/>
        <v>61</v>
      </c>
      <c r="P62" s="6" t="s">
        <v>566</v>
      </c>
      <c r="Q62" s="15">
        <v>38.664612500000004</v>
      </c>
      <c r="R62" s="6" t="s">
        <v>196</v>
      </c>
    </row>
    <row r="63" spans="9:18" x14ac:dyDescent="0.3">
      <c r="O63">
        <f t="shared" si="2"/>
        <v>62</v>
      </c>
      <c r="P63" s="6" t="s">
        <v>509</v>
      </c>
      <c r="Q63" s="15">
        <v>38.515749999999997</v>
      </c>
      <c r="R63" s="6" t="s">
        <v>196</v>
      </c>
    </row>
    <row r="64" spans="9:18" x14ac:dyDescent="0.3">
      <c r="O64">
        <f t="shared" si="2"/>
        <v>63</v>
      </c>
      <c r="P64" s="6" t="s">
        <v>663</v>
      </c>
      <c r="Q64" s="15">
        <v>38.137500000000003</v>
      </c>
      <c r="R64" s="6" t="s">
        <v>196</v>
      </c>
    </row>
    <row r="65" spans="15:18" x14ac:dyDescent="0.3">
      <c r="O65">
        <f t="shared" si="2"/>
        <v>64</v>
      </c>
      <c r="P65" s="6" t="s">
        <v>511</v>
      </c>
      <c r="Q65" s="15">
        <v>37.778119565217395</v>
      </c>
      <c r="R65" s="6" t="s">
        <v>196</v>
      </c>
    </row>
    <row r="66" spans="15:18" x14ac:dyDescent="0.3">
      <c r="O66">
        <f t="shared" si="2"/>
        <v>65</v>
      </c>
      <c r="P66" s="6" t="s">
        <v>553</v>
      </c>
      <c r="Q66" s="15">
        <v>37.594999999999999</v>
      </c>
      <c r="R66" s="6" t="s">
        <v>196</v>
      </c>
    </row>
    <row r="67" spans="15:18" x14ac:dyDescent="0.3">
      <c r="O67">
        <f t="shared" si="2"/>
        <v>66</v>
      </c>
      <c r="P67" s="6" t="s">
        <v>529</v>
      </c>
      <c r="Q67" s="15">
        <v>37.537500000000001</v>
      </c>
      <c r="R67" s="6" t="s">
        <v>196</v>
      </c>
    </row>
    <row r="68" spans="15:18" x14ac:dyDescent="0.3">
      <c r="O68">
        <f t="shared" ref="O68:O101" si="3">O67+1</f>
        <v>67</v>
      </c>
      <c r="P68" s="6" t="s">
        <v>524</v>
      </c>
      <c r="Q68" s="15">
        <v>36.736999999999995</v>
      </c>
      <c r="R68" s="6" t="s">
        <v>196</v>
      </c>
    </row>
    <row r="69" spans="15:18" x14ac:dyDescent="0.3">
      <c r="O69">
        <f t="shared" si="3"/>
        <v>68</v>
      </c>
      <c r="P69" s="6" t="s">
        <v>514</v>
      </c>
      <c r="Q69" s="15">
        <v>36.308999999999997</v>
      </c>
      <c r="R69" s="6" t="s">
        <v>196</v>
      </c>
    </row>
    <row r="70" spans="15:18" x14ac:dyDescent="0.3">
      <c r="O70">
        <f t="shared" si="3"/>
        <v>69</v>
      </c>
      <c r="P70" s="6" t="s">
        <v>556</v>
      </c>
      <c r="Q70" s="15">
        <v>36.094000000000001</v>
      </c>
      <c r="R70" s="6" t="s">
        <v>196</v>
      </c>
    </row>
    <row r="71" spans="15:18" x14ac:dyDescent="0.3">
      <c r="O71">
        <f t="shared" si="3"/>
        <v>70</v>
      </c>
      <c r="P71" s="6" t="s">
        <v>556</v>
      </c>
      <c r="Q71" s="15">
        <v>36.094000000000001</v>
      </c>
      <c r="R71" s="6" t="s">
        <v>196</v>
      </c>
    </row>
    <row r="72" spans="15:18" x14ac:dyDescent="0.3">
      <c r="O72">
        <f t="shared" si="3"/>
        <v>71</v>
      </c>
      <c r="P72" s="6" t="s">
        <v>551</v>
      </c>
      <c r="Q72" s="15">
        <v>36.0655</v>
      </c>
      <c r="R72" s="6" t="s">
        <v>196</v>
      </c>
    </row>
    <row r="73" spans="15:18" x14ac:dyDescent="0.3">
      <c r="O73">
        <f t="shared" si="3"/>
        <v>72</v>
      </c>
      <c r="P73" s="6" t="s">
        <v>551</v>
      </c>
      <c r="Q73" s="15">
        <v>36.0655</v>
      </c>
      <c r="R73" s="6" t="s">
        <v>196</v>
      </c>
    </row>
    <row r="74" spans="15:18" x14ac:dyDescent="0.3">
      <c r="O74">
        <f t="shared" si="3"/>
        <v>73</v>
      </c>
      <c r="P74" s="6" t="s">
        <v>551</v>
      </c>
      <c r="Q74" s="15">
        <v>36.0655</v>
      </c>
      <c r="R74" s="6" t="s">
        <v>196</v>
      </c>
    </row>
    <row r="75" spans="15:18" x14ac:dyDescent="0.3">
      <c r="O75">
        <f t="shared" si="3"/>
        <v>74</v>
      </c>
      <c r="P75" s="6" t="s">
        <v>551</v>
      </c>
      <c r="Q75" s="15">
        <v>36.0655</v>
      </c>
      <c r="R75" s="6" t="s">
        <v>196</v>
      </c>
    </row>
    <row r="76" spans="15:18" x14ac:dyDescent="0.3">
      <c r="O76">
        <f t="shared" si="3"/>
        <v>75</v>
      </c>
      <c r="P76" s="6" t="s">
        <v>529</v>
      </c>
      <c r="Q76" s="15">
        <v>35.637</v>
      </c>
      <c r="R76" s="6" t="s">
        <v>196</v>
      </c>
    </row>
    <row r="77" spans="15:18" x14ac:dyDescent="0.3">
      <c r="O77">
        <f t="shared" si="3"/>
        <v>76</v>
      </c>
      <c r="P77" s="6" t="s">
        <v>529</v>
      </c>
      <c r="Q77" s="15">
        <v>35.637</v>
      </c>
      <c r="R77" s="6" t="s">
        <v>196</v>
      </c>
    </row>
    <row r="78" spans="15:18" x14ac:dyDescent="0.3">
      <c r="O78">
        <f t="shared" si="3"/>
        <v>77</v>
      </c>
      <c r="P78" s="6" t="s">
        <v>508</v>
      </c>
      <c r="Q78" s="15">
        <v>35.580500000000001</v>
      </c>
      <c r="R78" s="6" t="s">
        <v>196</v>
      </c>
    </row>
    <row r="79" spans="15:18" x14ac:dyDescent="0.3">
      <c r="O79">
        <f t="shared" si="3"/>
        <v>78</v>
      </c>
      <c r="P79" s="6" t="s">
        <v>556</v>
      </c>
      <c r="Q79" s="15">
        <v>35.41525</v>
      </c>
      <c r="R79" s="6" t="s">
        <v>196</v>
      </c>
    </row>
    <row r="80" spans="15:18" x14ac:dyDescent="0.3">
      <c r="O80">
        <f t="shared" si="3"/>
        <v>79</v>
      </c>
      <c r="P80" s="6" t="s">
        <v>556</v>
      </c>
      <c r="Q80" s="15">
        <v>35.41525</v>
      </c>
      <c r="R80" s="6" t="s">
        <v>196</v>
      </c>
    </row>
    <row r="81" spans="15:18" x14ac:dyDescent="0.3">
      <c r="O81">
        <f t="shared" si="3"/>
        <v>80</v>
      </c>
      <c r="P81" s="6" t="s">
        <v>556</v>
      </c>
      <c r="Q81" s="15">
        <v>35.41525</v>
      </c>
      <c r="R81" s="6" t="s">
        <v>196</v>
      </c>
    </row>
    <row r="82" spans="15:18" x14ac:dyDescent="0.3">
      <c r="O82">
        <f t="shared" si="3"/>
        <v>81</v>
      </c>
      <c r="P82" s="6" t="s">
        <v>551</v>
      </c>
      <c r="Q82" s="15">
        <v>35.386749999999999</v>
      </c>
      <c r="R82" s="6" t="s">
        <v>196</v>
      </c>
    </row>
    <row r="83" spans="15:18" x14ac:dyDescent="0.3">
      <c r="O83">
        <f t="shared" si="3"/>
        <v>82</v>
      </c>
      <c r="P83" s="6" t="s">
        <v>567</v>
      </c>
      <c r="Q83" s="15">
        <v>35.265500000000003</v>
      </c>
      <c r="R83" s="6" t="s">
        <v>196</v>
      </c>
    </row>
    <row r="84" spans="15:18" x14ac:dyDescent="0.3">
      <c r="O84">
        <f t="shared" si="3"/>
        <v>83</v>
      </c>
      <c r="P84" s="6" t="s">
        <v>556</v>
      </c>
      <c r="Q84" s="15">
        <v>35.007999999999996</v>
      </c>
      <c r="R84" s="6" t="s">
        <v>196</v>
      </c>
    </row>
    <row r="85" spans="15:18" x14ac:dyDescent="0.3">
      <c r="O85">
        <f t="shared" si="3"/>
        <v>84</v>
      </c>
      <c r="P85" s="6" t="s">
        <v>529</v>
      </c>
      <c r="Q85" s="15">
        <v>34.822499999999998</v>
      </c>
      <c r="R85" s="6" t="s">
        <v>196</v>
      </c>
    </row>
    <row r="86" spans="15:18" x14ac:dyDescent="0.3">
      <c r="O86">
        <f t="shared" si="3"/>
        <v>85</v>
      </c>
      <c r="P86" s="6" t="s">
        <v>529</v>
      </c>
      <c r="Q86" s="15">
        <v>34.822499999999998</v>
      </c>
      <c r="R86" s="6" t="s">
        <v>196</v>
      </c>
    </row>
    <row r="87" spans="15:18" x14ac:dyDescent="0.3">
      <c r="O87">
        <f t="shared" si="3"/>
        <v>86</v>
      </c>
      <c r="P87" s="6" t="s">
        <v>556</v>
      </c>
      <c r="Q87" s="15">
        <v>34.736499999999999</v>
      </c>
      <c r="R87" s="6" t="s">
        <v>196</v>
      </c>
    </row>
    <row r="88" spans="15:18" x14ac:dyDescent="0.3">
      <c r="O88">
        <f t="shared" si="3"/>
        <v>87</v>
      </c>
      <c r="P88" s="6" t="s">
        <v>515</v>
      </c>
      <c r="Q88" s="15">
        <v>34.694499999999998</v>
      </c>
      <c r="R88" s="6" t="s">
        <v>196</v>
      </c>
    </row>
    <row r="89" spans="15:18" x14ac:dyDescent="0.3">
      <c r="O89">
        <f t="shared" si="3"/>
        <v>88</v>
      </c>
      <c r="P89" s="6" t="s">
        <v>554</v>
      </c>
      <c r="Q89" s="15">
        <v>34.379999999999995</v>
      </c>
      <c r="R89" s="6" t="s">
        <v>196</v>
      </c>
    </row>
    <row r="90" spans="15:18" x14ac:dyDescent="0.3">
      <c r="O90">
        <f t="shared" si="3"/>
        <v>89</v>
      </c>
      <c r="P90" s="6" t="s">
        <v>549</v>
      </c>
      <c r="Q90" s="15">
        <v>34.365499999999997</v>
      </c>
      <c r="R90" s="6" t="s">
        <v>196</v>
      </c>
    </row>
    <row r="91" spans="15:18" x14ac:dyDescent="0.3">
      <c r="O91">
        <f t="shared" si="3"/>
        <v>90</v>
      </c>
      <c r="P91" s="6" t="s">
        <v>574</v>
      </c>
      <c r="Q91" s="15">
        <v>34.293999999999997</v>
      </c>
      <c r="R91" s="6" t="s">
        <v>196</v>
      </c>
    </row>
    <row r="92" spans="15:18" x14ac:dyDescent="0.3">
      <c r="O92">
        <f t="shared" si="3"/>
        <v>91</v>
      </c>
      <c r="P92" s="6" t="s">
        <v>557</v>
      </c>
      <c r="Q92" s="15">
        <v>34.094000000000001</v>
      </c>
      <c r="R92" s="6" t="s">
        <v>196</v>
      </c>
    </row>
    <row r="93" spans="15:18" x14ac:dyDescent="0.3">
      <c r="O93">
        <f t="shared" si="3"/>
        <v>92</v>
      </c>
      <c r="P93" s="6" t="s">
        <v>557</v>
      </c>
      <c r="Q93" s="15">
        <v>34.094000000000001</v>
      </c>
      <c r="R93" s="6" t="s">
        <v>196</v>
      </c>
    </row>
    <row r="94" spans="15:18" x14ac:dyDescent="0.3">
      <c r="O94">
        <f t="shared" si="3"/>
        <v>93</v>
      </c>
      <c r="P94" s="6" t="s">
        <v>575</v>
      </c>
      <c r="Q94" s="15">
        <v>34.051000000000002</v>
      </c>
      <c r="R94" s="6" t="s">
        <v>196</v>
      </c>
    </row>
    <row r="95" spans="15:18" x14ac:dyDescent="0.3">
      <c r="O95">
        <f t="shared" si="3"/>
        <v>94</v>
      </c>
      <c r="P95" s="6" t="s">
        <v>567</v>
      </c>
      <c r="Q95" s="15">
        <v>33.962299999999999</v>
      </c>
      <c r="R95" s="6" t="s">
        <v>196</v>
      </c>
    </row>
    <row r="96" spans="15:18" x14ac:dyDescent="0.3">
      <c r="O96">
        <f t="shared" si="3"/>
        <v>95</v>
      </c>
      <c r="P96" s="6" t="s">
        <v>503</v>
      </c>
      <c r="Q96" s="15">
        <v>33.652000000000001</v>
      </c>
      <c r="R96" s="6" t="s">
        <v>196</v>
      </c>
    </row>
    <row r="97" spans="15:18" x14ac:dyDescent="0.3">
      <c r="O97">
        <f t="shared" si="3"/>
        <v>96</v>
      </c>
      <c r="P97" s="6" t="s">
        <v>549</v>
      </c>
      <c r="Q97" s="15">
        <v>33.551000000000002</v>
      </c>
      <c r="R97" s="6" t="s">
        <v>196</v>
      </c>
    </row>
    <row r="98" spans="15:18" x14ac:dyDescent="0.3">
      <c r="O98">
        <f t="shared" si="3"/>
        <v>97</v>
      </c>
      <c r="P98" s="6" t="s">
        <v>511</v>
      </c>
      <c r="Q98" s="15">
        <v>33.109499999999997</v>
      </c>
      <c r="R98" s="6" t="s">
        <v>196</v>
      </c>
    </row>
    <row r="99" spans="15:18" x14ac:dyDescent="0.3">
      <c r="O99">
        <f t="shared" si="3"/>
        <v>98</v>
      </c>
      <c r="P99" s="6" t="s">
        <v>573</v>
      </c>
      <c r="Q99" s="15">
        <v>32.551000000000002</v>
      </c>
      <c r="R99" s="6" t="s">
        <v>196</v>
      </c>
    </row>
    <row r="100" spans="15:18" x14ac:dyDescent="0.3">
      <c r="O100">
        <f t="shared" si="3"/>
        <v>99</v>
      </c>
      <c r="P100" s="6" t="s">
        <v>570</v>
      </c>
      <c r="Q100" s="15">
        <v>32.350999999999999</v>
      </c>
      <c r="R100" s="6" t="s">
        <v>196</v>
      </c>
    </row>
    <row r="101" spans="15:18" x14ac:dyDescent="0.3">
      <c r="O101">
        <f t="shared" si="3"/>
        <v>100</v>
      </c>
      <c r="P101" s="6" t="s">
        <v>569</v>
      </c>
      <c r="Q101" s="15">
        <v>30.490623999999997</v>
      </c>
      <c r="R101" s="6" t="s">
        <v>196</v>
      </c>
    </row>
    <row r="103" spans="15:18" x14ac:dyDescent="0.3">
      <c r="P103" s="7" t="s">
        <v>828</v>
      </c>
      <c r="Q103" s="3">
        <f>AVERAGE(Q2:Q101)</f>
        <v>41.772235469455012</v>
      </c>
    </row>
  </sheetData>
  <sortState xmlns:xlrd2="http://schemas.microsoft.com/office/spreadsheetml/2017/richdata2" ref="J56:J80">
    <sortCondition ref="J56:J80"/>
  </sortState>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4818F-44B2-42E0-B2DD-04F9FD665046}">
  <dimension ref="A1:R85"/>
  <sheetViews>
    <sheetView topLeftCell="I1" workbookViewId="0">
      <selection activeCell="AB1" sqref="AB1"/>
    </sheetView>
  </sheetViews>
  <sheetFormatPr defaultRowHeight="14.4" x14ac:dyDescent="0.3"/>
  <cols>
    <col min="4" max="4" width="3.21875" customWidth="1"/>
    <col min="5" max="5" width="6.6640625" customWidth="1"/>
    <col min="6" max="6" width="18.77734375" customWidth="1"/>
    <col min="10" max="10" width="18.33203125" customWidth="1"/>
    <col min="13" max="13" width="9.21875" bestFit="1" customWidth="1"/>
    <col min="16" max="16" width="23.77734375" customWidth="1"/>
  </cols>
  <sheetData>
    <row r="1" spans="1:18" x14ac:dyDescent="0.3">
      <c r="B1" t="s">
        <v>583</v>
      </c>
      <c r="C1" t="s">
        <v>194</v>
      </c>
      <c r="F1" t="s">
        <v>584</v>
      </c>
      <c r="G1" t="s">
        <v>194</v>
      </c>
      <c r="J1" t="s">
        <v>502</v>
      </c>
      <c r="K1" t="s">
        <v>194</v>
      </c>
      <c r="L1" t="s">
        <v>3</v>
      </c>
      <c r="M1" t="s">
        <v>4</v>
      </c>
      <c r="O1" t="s">
        <v>608</v>
      </c>
      <c r="P1" t="s">
        <v>502</v>
      </c>
      <c r="Q1" s="7" t="s">
        <v>669</v>
      </c>
      <c r="R1" t="s">
        <v>609</v>
      </c>
    </row>
    <row r="2" spans="1:18" x14ac:dyDescent="0.3">
      <c r="A2">
        <v>1</v>
      </c>
      <c r="B2" s="6" t="s">
        <v>687</v>
      </c>
      <c r="C2">
        <f>COUNTIF(Newer25!$K$7:$K$31,States25!$B2)</f>
        <v>5</v>
      </c>
      <c r="E2">
        <v>1</v>
      </c>
      <c r="F2" s="6" t="s">
        <v>261</v>
      </c>
      <c r="G2">
        <f>COUNTIF(Newer25!$F$7:$F$31,States25!$F2)</f>
        <v>0</v>
      </c>
      <c r="I2">
        <v>1</v>
      </c>
      <c r="J2" s="6" t="s">
        <v>735</v>
      </c>
      <c r="K2">
        <f>COUNTIF(Newer25!$Q$7:$Q$31,States25!$J2)</f>
        <v>3</v>
      </c>
      <c r="L2" s="13">
        <v>44.88</v>
      </c>
      <c r="M2" s="13">
        <v>-93.22</v>
      </c>
      <c r="O2">
        <v>1</v>
      </c>
      <c r="P2" s="6" t="s">
        <v>555</v>
      </c>
      <c r="Q2" s="15">
        <v>50.952500000000001</v>
      </c>
      <c r="R2" s="6" t="s">
        <v>195</v>
      </c>
    </row>
    <row r="3" spans="1:18" x14ac:dyDescent="0.3">
      <c r="A3">
        <f>A2+1</f>
        <v>2</v>
      </c>
      <c r="B3" s="6" t="s">
        <v>24</v>
      </c>
      <c r="C3">
        <f>COUNTIF(Newer25!$K$7:$K$31,States25!$B3)</f>
        <v>2</v>
      </c>
      <c r="E3">
        <f>E2+1</f>
        <v>2</v>
      </c>
      <c r="F3" s="6" t="s">
        <v>278</v>
      </c>
      <c r="G3">
        <f>COUNTIF(Newer25!$F$7:$F$31,States25!$F3)</f>
        <v>0</v>
      </c>
      <c r="I3">
        <f>I2+1</f>
        <v>2</v>
      </c>
      <c r="J3" s="6" t="s">
        <v>569</v>
      </c>
      <c r="K3">
        <f>COUNTIF(Newer25!$Q$7:$Q$31,States25!$J3)</f>
        <v>2</v>
      </c>
      <c r="L3" s="13">
        <v>42.27</v>
      </c>
      <c r="M3" s="13">
        <v>-71.87</v>
      </c>
      <c r="O3">
        <f>O2+1</f>
        <v>2</v>
      </c>
      <c r="P3" s="6" t="s">
        <v>742</v>
      </c>
      <c r="Q3" s="15">
        <v>48.395499999999998</v>
      </c>
      <c r="R3" s="6" t="s">
        <v>197</v>
      </c>
    </row>
    <row r="4" spans="1:18" x14ac:dyDescent="0.3">
      <c r="A4">
        <f t="shared" ref="A4:A18" si="0">A3+1</f>
        <v>3</v>
      </c>
      <c r="B4" s="6" t="s">
        <v>64</v>
      </c>
      <c r="C4">
        <f>COUNTIF(Newer25!$K$7:$K$31,States25!$B4)</f>
        <v>2</v>
      </c>
      <c r="E4">
        <f>E3+1</f>
        <v>3</v>
      </c>
      <c r="F4" s="6" t="s">
        <v>248</v>
      </c>
      <c r="G4">
        <f>COUNTIF(Newer25!$F$7:$F$31,States25!$F4)</f>
        <v>3</v>
      </c>
      <c r="I4">
        <f t="shared" ref="I4:I23" si="1">I3+1</f>
        <v>3</v>
      </c>
      <c r="J4" s="6" t="s">
        <v>505</v>
      </c>
      <c r="K4">
        <f>COUNTIF(Newer25!$Q$7:$Q$31,States25!$J4)</f>
        <v>1</v>
      </c>
      <c r="L4" s="13">
        <v>35.049999999999997</v>
      </c>
      <c r="M4" s="13">
        <v>-106.62</v>
      </c>
      <c r="O4">
        <f t="shared" ref="O4:O26" si="2">O3+1</f>
        <v>3</v>
      </c>
      <c r="P4" s="6" t="s">
        <v>571</v>
      </c>
      <c r="Q4" s="15">
        <v>47.938000000000002</v>
      </c>
      <c r="R4" s="6" t="s">
        <v>197</v>
      </c>
    </row>
    <row r="5" spans="1:18" x14ac:dyDescent="0.3">
      <c r="A5">
        <f t="shared" si="0"/>
        <v>4</v>
      </c>
      <c r="B5" s="6" t="s">
        <v>86</v>
      </c>
      <c r="C5">
        <f>COUNTIF(Newer25!$K$7:$K$31,States25!$B5)</f>
        <v>2</v>
      </c>
      <c r="E5">
        <f>E4+1</f>
        <v>4</v>
      </c>
      <c r="F5" s="6" t="s">
        <v>297</v>
      </c>
      <c r="G5">
        <f>COUNTIF(Newer25!$F$7:$F$31,States25!$F5)</f>
        <v>0</v>
      </c>
      <c r="I5">
        <f t="shared" si="1"/>
        <v>4</v>
      </c>
      <c r="J5" s="6" t="s">
        <v>557</v>
      </c>
      <c r="K5">
        <f>COUNTIF(Newer25!$Q$7:$Q$31,States25!$J5)</f>
        <v>1</v>
      </c>
      <c r="L5" s="13">
        <v>40.65</v>
      </c>
      <c r="M5" s="13">
        <v>-75.430000000000007</v>
      </c>
      <c r="O5">
        <f t="shared" si="2"/>
        <v>4</v>
      </c>
      <c r="P5" s="6" t="s">
        <v>505</v>
      </c>
      <c r="Q5" s="15">
        <v>46.024999999999999</v>
      </c>
      <c r="R5" s="6" t="s">
        <v>197</v>
      </c>
    </row>
    <row r="6" spans="1:18" x14ac:dyDescent="0.3">
      <c r="A6">
        <f t="shared" si="0"/>
        <v>5</v>
      </c>
      <c r="B6" s="6" t="s">
        <v>411</v>
      </c>
      <c r="C6">
        <f>COUNTIF(Newer25!$K$7:$K$31,States25!$B6)</f>
        <v>2</v>
      </c>
      <c r="E6">
        <f>E5+1</f>
        <v>5</v>
      </c>
      <c r="F6" s="6" t="s">
        <v>252</v>
      </c>
      <c r="G6" s="33">
        <f>COUNTIF(Newer25!$F$7:$F$31,States25!$F6)</f>
        <v>22</v>
      </c>
      <c r="I6">
        <f t="shared" si="1"/>
        <v>5</v>
      </c>
      <c r="J6" s="6" t="s">
        <v>524</v>
      </c>
      <c r="K6">
        <f>COUNTIF(Newer25!$Q$7:$Q$31,States25!$J6)</f>
        <v>1</v>
      </c>
      <c r="L6" s="13">
        <v>39.18</v>
      </c>
      <c r="M6" s="13">
        <v>-76.67</v>
      </c>
      <c r="O6">
        <f t="shared" si="2"/>
        <v>5</v>
      </c>
      <c r="P6" s="6" t="s">
        <v>664</v>
      </c>
      <c r="Q6" s="15">
        <v>44.866500000000002</v>
      </c>
      <c r="R6" s="6" t="s">
        <v>197</v>
      </c>
    </row>
    <row r="7" spans="1:18" x14ac:dyDescent="0.3">
      <c r="A7">
        <f t="shared" si="0"/>
        <v>6</v>
      </c>
      <c r="B7" s="6" t="s">
        <v>23</v>
      </c>
      <c r="C7">
        <f>COUNTIF(Newer25!$K$7:$K$31,States25!$B7)</f>
        <v>1</v>
      </c>
      <c r="G7">
        <f>SUM(G2:G6)</f>
        <v>25</v>
      </c>
      <c r="I7">
        <f t="shared" si="1"/>
        <v>6</v>
      </c>
      <c r="J7" s="6" t="s">
        <v>514</v>
      </c>
      <c r="K7">
        <f>COUNTIF(Newer25!$Q$7:$Q$31,States25!$J7)</f>
        <v>1</v>
      </c>
      <c r="L7" s="13">
        <v>40.020000000000003</v>
      </c>
      <c r="M7" s="13">
        <v>-105.25</v>
      </c>
      <c r="O7">
        <f t="shared" si="2"/>
        <v>6</v>
      </c>
      <c r="P7" s="6" t="s">
        <v>739</v>
      </c>
      <c r="Q7" s="15">
        <v>44.009</v>
      </c>
      <c r="R7" s="6" t="s">
        <v>197</v>
      </c>
    </row>
    <row r="8" spans="1:18" x14ac:dyDescent="0.3">
      <c r="A8">
        <f t="shared" si="0"/>
        <v>7</v>
      </c>
      <c r="B8" s="6" t="s">
        <v>51</v>
      </c>
      <c r="C8">
        <f>COUNTIF(Newer25!$K$7:$K$31,States25!$B8)</f>
        <v>1</v>
      </c>
      <c r="I8">
        <f t="shared" si="1"/>
        <v>7</v>
      </c>
      <c r="J8" s="6" t="s">
        <v>733</v>
      </c>
      <c r="K8">
        <f>COUNTIF(Newer25!$Q$7:$Q$31,States25!$J8)</f>
        <v>1</v>
      </c>
      <c r="L8" s="13">
        <v>38.049999999999997</v>
      </c>
      <c r="M8" s="13">
        <v>-87.53</v>
      </c>
      <c r="O8">
        <f t="shared" si="2"/>
        <v>7</v>
      </c>
      <c r="P8" s="6" t="s">
        <v>566</v>
      </c>
      <c r="Q8" s="15">
        <v>41.494999999999997</v>
      </c>
      <c r="R8" s="6" t="s">
        <v>197</v>
      </c>
    </row>
    <row r="9" spans="1:18" x14ac:dyDescent="0.3">
      <c r="A9">
        <f t="shared" si="0"/>
        <v>8</v>
      </c>
      <c r="B9" s="6" t="s">
        <v>688</v>
      </c>
      <c r="C9">
        <f>COUNTIF(Newer25!$K$7:$K$31,States25!$B9)</f>
        <v>1</v>
      </c>
      <c r="I9">
        <f t="shared" si="1"/>
        <v>8</v>
      </c>
      <c r="J9" s="6" t="s">
        <v>566</v>
      </c>
      <c r="K9">
        <f>COUNTIF(Newer25!$Q$7:$Q$31,States25!$J9)</f>
        <v>1</v>
      </c>
      <c r="L9" s="13">
        <v>36.08</v>
      </c>
      <c r="M9" s="13">
        <v>-79.95</v>
      </c>
      <c r="O9">
        <f t="shared" si="2"/>
        <v>8</v>
      </c>
      <c r="P9" s="6" t="s">
        <v>552</v>
      </c>
      <c r="Q9" s="15">
        <v>39.951499999999996</v>
      </c>
      <c r="R9" s="6" t="s">
        <v>196</v>
      </c>
    </row>
    <row r="10" spans="1:18" x14ac:dyDescent="0.3">
      <c r="A10">
        <f t="shared" si="0"/>
        <v>9</v>
      </c>
      <c r="B10" s="6" t="s">
        <v>109</v>
      </c>
      <c r="C10">
        <f>COUNTIF(Newer25!$K$7:$K$31,States25!$B10)</f>
        <v>1</v>
      </c>
      <c r="I10">
        <f t="shared" si="1"/>
        <v>9</v>
      </c>
      <c r="J10" s="6" t="s">
        <v>743</v>
      </c>
      <c r="K10">
        <f>COUNTIF(Newer25!$Q$7:$Q$31,States25!$J10)</f>
        <v>1</v>
      </c>
      <c r="L10" s="13">
        <v>41.93</v>
      </c>
      <c r="M10" s="13">
        <v>-72.680000000000007</v>
      </c>
      <c r="O10">
        <f t="shared" si="2"/>
        <v>9</v>
      </c>
      <c r="P10" s="6" t="s">
        <v>514</v>
      </c>
      <c r="Q10" s="15">
        <v>39.024000000000001</v>
      </c>
      <c r="R10" s="6" t="s">
        <v>196</v>
      </c>
    </row>
    <row r="11" spans="1:18" x14ac:dyDescent="0.3">
      <c r="A11">
        <f t="shared" si="0"/>
        <v>10</v>
      </c>
      <c r="B11" s="6" t="s">
        <v>722</v>
      </c>
      <c r="C11">
        <f>COUNTIF(Newer25!$K$7:$K$31,States25!$B11)</f>
        <v>1</v>
      </c>
      <c r="I11">
        <f t="shared" si="1"/>
        <v>10</v>
      </c>
      <c r="J11" s="6" t="s">
        <v>740</v>
      </c>
      <c r="K11">
        <f>COUNTIF(Newer25!$Q$7:$Q$31,States25!$J11)</f>
        <v>1</v>
      </c>
      <c r="L11" s="13">
        <v>40.78</v>
      </c>
      <c r="M11" s="13">
        <v>-73.97</v>
      </c>
      <c r="O11">
        <f t="shared" si="2"/>
        <v>10</v>
      </c>
      <c r="P11" s="6" t="s">
        <v>509</v>
      </c>
      <c r="Q11" s="15">
        <v>38.923000000000002</v>
      </c>
      <c r="R11" s="6" t="s">
        <v>196</v>
      </c>
    </row>
    <row r="12" spans="1:18" x14ac:dyDescent="0.3">
      <c r="A12">
        <f t="shared" si="0"/>
        <v>11</v>
      </c>
      <c r="B12" s="6" t="s">
        <v>389</v>
      </c>
      <c r="C12">
        <f>COUNTIF(Newer25!$K$7:$K$31,States25!$B12)</f>
        <v>1</v>
      </c>
      <c r="I12">
        <f t="shared" si="1"/>
        <v>11</v>
      </c>
      <c r="J12" s="6" t="s">
        <v>556</v>
      </c>
      <c r="K12">
        <f>COUNTIF(Newer25!$Q$7:$Q$31,States25!$J12)</f>
        <v>1</v>
      </c>
      <c r="L12" s="13">
        <v>40.700000000000003</v>
      </c>
      <c r="M12" s="13">
        <v>-74.17</v>
      </c>
      <c r="O12">
        <f t="shared" si="2"/>
        <v>11</v>
      </c>
      <c r="P12" s="6" t="s">
        <v>727</v>
      </c>
      <c r="Q12" s="15">
        <v>37.59199212</v>
      </c>
      <c r="R12" s="6" t="s">
        <v>196</v>
      </c>
    </row>
    <row r="13" spans="1:18" x14ac:dyDescent="0.3">
      <c r="A13">
        <f t="shared" si="0"/>
        <v>12</v>
      </c>
      <c r="B13" s="6" t="s">
        <v>52</v>
      </c>
      <c r="C13">
        <f>COUNTIF(Newer25!$K$7:$K$31,States25!$B13)</f>
        <v>1</v>
      </c>
      <c r="I13">
        <f t="shared" si="1"/>
        <v>12</v>
      </c>
      <c r="J13" s="6" t="s">
        <v>734</v>
      </c>
      <c r="K13">
        <f>COUNTIF(Newer25!$Q$7:$Q$31,States25!$J13)</f>
        <v>1</v>
      </c>
      <c r="L13" s="13">
        <v>41.73</v>
      </c>
      <c r="M13" s="13">
        <v>-71.430000000000007</v>
      </c>
      <c r="O13">
        <f t="shared" si="2"/>
        <v>12</v>
      </c>
      <c r="P13" s="6" t="s">
        <v>733</v>
      </c>
      <c r="Q13" s="15">
        <v>37.408499999999997</v>
      </c>
      <c r="R13" s="6" t="s">
        <v>196</v>
      </c>
    </row>
    <row r="14" spans="1:18" x14ac:dyDescent="0.3">
      <c r="A14">
        <f t="shared" si="0"/>
        <v>13</v>
      </c>
      <c r="B14" s="6" t="s">
        <v>144</v>
      </c>
      <c r="C14">
        <f>COUNTIF(Newer25!$K$7:$K$31,States25!$B14)</f>
        <v>1</v>
      </c>
      <c r="I14">
        <f t="shared" si="1"/>
        <v>13</v>
      </c>
      <c r="J14" s="6" t="s">
        <v>552</v>
      </c>
      <c r="K14">
        <f>COUNTIF(Newer25!$Q$7:$Q$31,States25!$J14)</f>
        <v>1</v>
      </c>
      <c r="L14" s="13">
        <v>35.869999999999997</v>
      </c>
      <c r="M14" s="13">
        <v>-78.78</v>
      </c>
      <c r="O14">
        <f t="shared" si="2"/>
        <v>13</v>
      </c>
      <c r="P14" s="6" t="s">
        <v>524</v>
      </c>
      <c r="Q14" s="15">
        <v>36.736999999999995</v>
      </c>
      <c r="R14" s="6" t="s">
        <v>196</v>
      </c>
    </row>
    <row r="15" spans="1:18" x14ac:dyDescent="0.3">
      <c r="A15">
        <f t="shared" si="0"/>
        <v>14</v>
      </c>
      <c r="B15" s="6" t="s">
        <v>370</v>
      </c>
      <c r="C15">
        <f>COUNTIF(Newer25!$K$7:$K$31,States25!$B15)</f>
        <v>1</v>
      </c>
      <c r="I15">
        <f t="shared" si="1"/>
        <v>14</v>
      </c>
      <c r="J15" s="6" t="s">
        <v>737</v>
      </c>
      <c r="K15">
        <f>COUNTIF(Newer25!$Q$7:$Q$31,States25!$J15)</f>
        <v>1</v>
      </c>
      <c r="L15" s="13">
        <v>43.92</v>
      </c>
      <c r="M15" s="13">
        <v>-92.5</v>
      </c>
      <c r="O15">
        <f t="shared" si="2"/>
        <v>14</v>
      </c>
      <c r="P15" s="6" t="s">
        <v>556</v>
      </c>
      <c r="Q15" s="15">
        <v>36.094000000000001</v>
      </c>
      <c r="R15" s="6" t="s">
        <v>196</v>
      </c>
    </row>
    <row r="16" spans="1:18" x14ac:dyDescent="0.3">
      <c r="A16">
        <f t="shared" si="0"/>
        <v>15</v>
      </c>
      <c r="B16" s="6" t="s">
        <v>723</v>
      </c>
      <c r="C16">
        <f>COUNTIF(Newer25!$K$7:$K$31,States25!$B16)</f>
        <v>1</v>
      </c>
      <c r="I16">
        <f t="shared" si="1"/>
        <v>15</v>
      </c>
      <c r="J16" s="6" t="s">
        <v>736</v>
      </c>
      <c r="K16">
        <f>COUNTIF(Newer25!$Q$7:$Q$31,States25!$J16)</f>
        <v>1</v>
      </c>
      <c r="L16" s="13">
        <v>45.55</v>
      </c>
      <c r="M16" s="13">
        <v>-94.07</v>
      </c>
      <c r="O16">
        <f t="shared" si="2"/>
        <v>15</v>
      </c>
      <c r="P16" s="6" t="s">
        <v>740</v>
      </c>
      <c r="Q16" s="15">
        <v>35.586750000000002</v>
      </c>
      <c r="R16" s="6" t="s">
        <v>196</v>
      </c>
    </row>
    <row r="17" spans="1:18" x14ac:dyDescent="0.3">
      <c r="A17">
        <f t="shared" si="0"/>
        <v>16</v>
      </c>
      <c r="B17" s="6" t="s">
        <v>689</v>
      </c>
      <c r="C17">
        <f>COUNTIF(Newer25!$K$7:$K$31,States25!$B17)</f>
        <v>1</v>
      </c>
      <c r="I17">
        <f t="shared" si="1"/>
        <v>16</v>
      </c>
      <c r="J17" s="6" t="s">
        <v>739</v>
      </c>
      <c r="K17">
        <f>COUNTIF(Newer25!$Q$7:$Q$31,States25!$J17)</f>
        <v>1</v>
      </c>
      <c r="L17" s="13">
        <v>32.729999999999997</v>
      </c>
      <c r="M17" s="13">
        <v>-117.17</v>
      </c>
      <c r="O17">
        <f t="shared" si="2"/>
        <v>16</v>
      </c>
      <c r="P17" s="6" t="s">
        <v>557</v>
      </c>
      <c r="Q17" s="15">
        <v>34.094000000000001</v>
      </c>
      <c r="R17" s="6" t="s">
        <v>196</v>
      </c>
    </row>
    <row r="18" spans="1:18" x14ac:dyDescent="0.3">
      <c r="A18">
        <f t="shared" si="0"/>
        <v>17</v>
      </c>
      <c r="B18" s="6" t="s">
        <v>138</v>
      </c>
      <c r="C18">
        <f>COUNTIF(Newer25!$K$7:$K$31,States25!$B18)</f>
        <v>1</v>
      </c>
      <c r="I18">
        <f t="shared" si="1"/>
        <v>17</v>
      </c>
      <c r="J18" s="6" t="s">
        <v>509</v>
      </c>
      <c r="K18">
        <f>COUNTIF(Newer25!$Q$7:$Q$31,States25!$J18)</f>
        <v>1</v>
      </c>
      <c r="L18" s="13">
        <v>37.619999999999997</v>
      </c>
      <c r="M18" s="13">
        <v>-122.38</v>
      </c>
      <c r="O18">
        <f t="shared" si="2"/>
        <v>17</v>
      </c>
      <c r="P18" s="6" t="s">
        <v>734</v>
      </c>
      <c r="Q18" s="15">
        <v>33.865499999999997</v>
      </c>
      <c r="R18" s="6" t="s">
        <v>196</v>
      </c>
    </row>
    <row r="19" spans="1:18" x14ac:dyDescent="0.3">
      <c r="C19">
        <f>SUM(C2:C18)</f>
        <v>25</v>
      </c>
      <c r="I19">
        <f t="shared" si="1"/>
        <v>18</v>
      </c>
      <c r="J19" s="6" t="s">
        <v>555</v>
      </c>
      <c r="K19">
        <f>COUNTIF(Newer25!$Q$7:$Q$31,States25!$J19)</f>
        <v>1</v>
      </c>
      <c r="L19" s="13">
        <v>27.97</v>
      </c>
      <c r="M19" s="13">
        <v>-82.53</v>
      </c>
      <c r="O19">
        <f t="shared" si="2"/>
        <v>18</v>
      </c>
      <c r="P19" s="6" t="s">
        <v>743</v>
      </c>
      <c r="Q19" s="15">
        <v>33.293999999999997</v>
      </c>
      <c r="R19" s="6" t="s">
        <v>196</v>
      </c>
    </row>
    <row r="20" spans="1:18" x14ac:dyDescent="0.3">
      <c r="I20">
        <f t="shared" si="1"/>
        <v>19</v>
      </c>
      <c r="J20" s="6" t="s">
        <v>571</v>
      </c>
      <c r="K20">
        <f>COUNTIF(Newer25!$Q$7:$Q$31,States25!$J20)</f>
        <v>1</v>
      </c>
      <c r="L20" s="13">
        <v>32.119999999999997</v>
      </c>
      <c r="M20" s="13">
        <v>-110.93</v>
      </c>
      <c r="O20">
        <f t="shared" si="2"/>
        <v>19</v>
      </c>
      <c r="P20" s="6" t="s">
        <v>735</v>
      </c>
      <c r="Q20" s="15">
        <v>33.037500000000001</v>
      </c>
      <c r="R20" s="6" t="s">
        <v>196</v>
      </c>
    </row>
    <row r="21" spans="1:18" x14ac:dyDescent="0.3">
      <c r="I21">
        <f t="shared" si="1"/>
        <v>20</v>
      </c>
      <c r="J21" s="6" t="s">
        <v>742</v>
      </c>
      <c r="K21">
        <f>COUNTIF(Newer25!$Q$7:$Q$31,States25!$J21)</f>
        <v>1</v>
      </c>
      <c r="L21" s="13">
        <v>31.62</v>
      </c>
      <c r="M21" s="13">
        <v>-97.22</v>
      </c>
      <c r="O21">
        <f t="shared" si="2"/>
        <v>20</v>
      </c>
      <c r="P21" s="6" t="s">
        <v>569</v>
      </c>
      <c r="Q21" s="15">
        <v>31.865499999999997</v>
      </c>
      <c r="R21" s="6" t="s">
        <v>196</v>
      </c>
    </row>
    <row r="22" spans="1:18" x14ac:dyDescent="0.3">
      <c r="I22">
        <f t="shared" si="1"/>
        <v>21</v>
      </c>
      <c r="J22" s="6" t="s">
        <v>664</v>
      </c>
      <c r="K22">
        <f>COUNTIF(Newer25!$Q$7:$Q$31,States25!$J22)</f>
        <v>1</v>
      </c>
      <c r="L22" s="13">
        <v>34.270000000000003</v>
      </c>
      <c r="M22" s="13">
        <v>-77.900000000000006</v>
      </c>
      <c r="O22">
        <f t="shared" si="2"/>
        <v>21</v>
      </c>
      <c r="P22" s="6" t="s">
        <v>569</v>
      </c>
      <c r="Q22" s="15">
        <v>31.865499999999997</v>
      </c>
      <c r="R22" s="6" t="s">
        <v>196</v>
      </c>
    </row>
    <row r="23" spans="1:18" x14ac:dyDescent="0.3">
      <c r="I23">
        <f t="shared" si="1"/>
        <v>22</v>
      </c>
      <c r="J23" s="6" t="s">
        <v>727</v>
      </c>
      <c r="K23">
        <f>COUNTIF(Newer25!$Q$7:$Q$31,States25!$J23)</f>
        <v>1</v>
      </c>
      <c r="L23" s="13">
        <v>45.584600000000002</v>
      </c>
      <c r="M23" s="13">
        <v>-120.59990000000001</v>
      </c>
      <c r="O23">
        <f t="shared" si="2"/>
        <v>22</v>
      </c>
      <c r="P23" s="6" t="s">
        <v>735</v>
      </c>
      <c r="Q23" s="15">
        <v>31.136999999999997</v>
      </c>
      <c r="R23" s="6" t="s">
        <v>196</v>
      </c>
    </row>
    <row r="24" spans="1:18" x14ac:dyDescent="0.3">
      <c r="K24" s="7" t="s">
        <v>824</v>
      </c>
      <c r="L24" s="72">
        <f>AVERAGE(L2:L23)</f>
        <v>38.571572727272724</v>
      </c>
      <c r="M24" s="72">
        <f>AVERAGE(M2:M23)</f>
        <v>-90.13045000000001</v>
      </c>
      <c r="N24" t="s">
        <v>826</v>
      </c>
      <c r="O24">
        <f t="shared" si="2"/>
        <v>23</v>
      </c>
      <c r="P24" s="6" t="s">
        <v>735</v>
      </c>
      <c r="Q24" s="15">
        <v>31.136999999999997</v>
      </c>
      <c r="R24" s="6" t="s">
        <v>196</v>
      </c>
    </row>
    <row r="25" spans="1:18" x14ac:dyDescent="0.3">
      <c r="K25" s="7" t="s">
        <v>665</v>
      </c>
      <c r="L25" s="3">
        <f>MAX($L$2:$L$23)</f>
        <v>45.584600000000002</v>
      </c>
      <c r="M25" t="str">
        <f>VLOOKUP(MATCH(L25,$L$2:$L$23,0),$I$2:$J$23,2)</f>
        <v>WyEast (Meteonorm)</v>
      </c>
      <c r="O25">
        <f t="shared" si="2"/>
        <v>24</v>
      </c>
      <c r="P25" s="6" t="s">
        <v>737</v>
      </c>
      <c r="Q25" s="15">
        <v>30.0655</v>
      </c>
      <c r="R25" s="6" t="s">
        <v>196</v>
      </c>
    </row>
    <row r="26" spans="1:18" x14ac:dyDescent="0.3">
      <c r="K26" s="7" t="s">
        <v>666</v>
      </c>
      <c r="L26" s="3">
        <f>MIN($L$2:$L$23)</f>
        <v>27.97</v>
      </c>
      <c r="M26" t="str">
        <f>VLOOKUP(MATCH(L26,$L$2:$L$23,0),$I$2:$J$23,2)</f>
        <v>Tampa</v>
      </c>
      <c r="O26">
        <f t="shared" si="2"/>
        <v>25</v>
      </c>
      <c r="P26" s="6" t="s">
        <v>736</v>
      </c>
      <c r="Q26" s="15">
        <v>29.236999999999998</v>
      </c>
      <c r="R26" s="6" t="s">
        <v>196</v>
      </c>
    </row>
    <row r="27" spans="1:18" x14ac:dyDescent="0.3">
      <c r="K27" s="7" t="s">
        <v>667</v>
      </c>
      <c r="L27" s="3">
        <f>MAX($M$2:$M$23)</f>
        <v>-71.430000000000007</v>
      </c>
      <c r="M27" t="str">
        <f>VLOOKUP(MATCH(L27,$M$2:$M$23,0),$I$2:$J$23,2)</f>
        <v>Providence</v>
      </c>
    </row>
    <row r="28" spans="1:18" x14ac:dyDescent="0.3">
      <c r="K28" s="7" t="s">
        <v>668</v>
      </c>
      <c r="L28" s="3">
        <f>MIN($M$2:$M$23)</f>
        <v>-122.38</v>
      </c>
      <c r="M28" t="str">
        <f>VLOOKUP(MATCH(L28,$M$2:$M$23,0),$I$2:$J$23,2)</f>
        <v>San Francisco</v>
      </c>
      <c r="P28" s="7" t="s">
        <v>828</v>
      </c>
      <c r="Q28" s="3">
        <f>AVERAGE(Q2:Q26)</f>
        <v>37.783869684800003</v>
      </c>
    </row>
    <row r="30" spans="1:18" x14ac:dyDescent="0.3">
      <c r="P30" s="7" t="s">
        <v>829</v>
      </c>
      <c r="Q30" s="51" t="s">
        <v>833</v>
      </c>
    </row>
    <row r="31" spans="1:18" x14ac:dyDescent="0.3">
      <c r="J31" t="s">
        <v>924</v>
      </c>
      <c r="P31" s="7" t="s">
        <v>830</v>
      </c>
      <c r="Q31">
        <f>COUNTIF($Q$2:$Q$26,"&lt;40")</f>
        <v>18</v>
      </c>
      <c r="R31" t="s">
        <v>196</v>
      </c>
    </row>
    <row r="32" spans="1:18" x14ac:dyDescent="0.3">
      <c r="I32">
        <v>1</v>
      </c>
      <c r="J32" s="6" t="s">
        <v>511</v>
      </c>
      <c r="P32" s="7" t="s">
        <v>831</v>
      </c>
      <c r="Q32" s="3">
        <f>COUNTIF($Q$2:$Q$26,"&gt;40")-Q33</f>
        <v>6</v>
      </c>
      <c r="R32" t="s">
        <v>197</v>
      </c>
    </row>
    <row r="33" spans="9:18" x14ac:dyDescent="0.3">
      <c r="I33">
        <f>I32+1</f>
        <v>2</v>
      </c>
      <c r="J33" s="6" t="s">
        <v>505</v>
      </c>
      <c r="P33" s="7" t="s">
        <v>832</v>
      </c>
      <c r="Q33">
        <f>COUNTIF($Q$2:$Q$26,"&gt;50")</f>
        <v>1</v>
      </c>
      <c r="R33" t="s">
        <v>195</v>
      </c>
    </row>
    <row r="34" spans="9:18" x14ac:dyDescent="0.3">
      <c r="I34">
        <f t="shared" ref="I34:I85" si="3">I33+1</f>
        <v>3</v>
      </c>
      <c r="J34" s="6" t="s">
        <v>557</v>
      </c>
    </row>
    <row r="35" spans="9:18" x14ac:dyDescent="0.3">
      <c r="I35">
        <f t="shared" si="3"/>
        <v>4</v>
      </c>
      <c r="J35" s="6" t="s">
        <v>529</v>
      </c>
    </row>
    <row r="36" spans="9:18" x14ac:dyDescent="0.3">
      <c r="I36">
        <f t="shared" si="3"/>
        <v>5</v>
      </c>
      <c r="J36" s="6" t="s">
        <v>531</v>
      </c>
    </row>
    <row r="37" spans="9:18" x14ac:dyDescent="0.3">
      <c r="I37">
        <f t="shared" si="3"/>
        <v>6</v>
      </c>
      <c r="J37" s="6" t="s">
        <v>524</v>
      </c>
    </row>
    <row r="38" spans="9:18" x14ac:dyDescent="0.3">
      <c r="I38">
        <f t="shared" si="3"/>
        <v>7</v>
      </c>
      <c r="J38" s="6" t="s">
        <v>549</v>
      </c>
    </row>
    <row r="39" spans="9:18" x14ac:dyDescent="0.3">
      <c r="I39">
        <f t="shared" si="3"/>
        <v>8</v>
      </c>
      <c r="J39" s="6" t="s">
        <v>514</v>
      </c>
    </row>
    <row r="40" spans="9:18" x14ac:dyDescent="0.3">
      <c r="I40">
        <f t="shared" si="3"/>
        <v>9</v>
      </c>
      <c r="J40" s="6" t="s">
        <v>574</v>
      </c>
    </row>
    <row r="41" spans="9:18" x14ac:dyDescent="0.3">
      <c r="I41">
        <f t="shared" si="3"/>
        <v>10</v>
      </c>
      <c r="J41" s="6" t="s">
        <v>503</v>
      </c>
    </row>
    <row r="42" spans="9:18" x14ac:dyDescent="0.3">
      <c r="I42">
        <f t="shared" si="3"/>
        <v>11</v>
      </c>
      <c r="J42" s="6" t="s">
        <v>565</v>
      </c>
    </row>
    <row r="43" spans="9:18" x14ac:dyDescent="0.3">
      <c r="I43">
        <f t="shared" si="3"/>
        <v>12</v>
      </c>
      <c r="J43" s="6" t="s">
        <v>515</v>
      </c>
    </row>
    <row r="44" spans="9:18" x14ac:dyDescent="0.3">
      <c r="I44">
        <f t="shared" si="3"/>
        <v>13</v>
      </c>
      <c r="J44" s="6" t="s">
        <v>508</v>
      </c>
    </row>
    <row r="45" spans="9:18" x14ac:dyDescent="0.3">
      <c r="I45">
        <f t="shared" si="3"/>
        <v>14</v>
      </c>
      <c r="J45" s="6" t="s">
        <v>512</v>
      </c>
    </row>
    <row r="46" spans="9:18" x14ac:dyDescent="0.3">
      <c r="I46">
        <f t="shared" si="3"/>
        <v>15</v>
      </c>
      <c r="J46" s="6" t="s">
        <v>572</v>
      </c>
    </row>
    <row r="47" spans="9:18" x14ac:dyDescent="0.3">
      <c r="I47">
        <f t="shared" si="3"/>
        <v>16</v>
      </c>
      <c r="J47" s="6" t="s">
        <v>504</v>
      </c>
    </row>
    <row r="48" spans="9:18" x14ac:dyDescent="0.3">
      <c r="I48">
        <f t="shared" si="3"/>
        <v>17</v>
      </c>
      <c r="J48" s="6" t="s">
        <v>733</v>
      </c>
    </row>
    <row r="49" spans="9:10" x14ac:dyDescent="0.3">
      <c r="I49">
        <f t="shared" si="3"/>
        <v>18</v>
      </c>
      <c r="J49" s="6" t="s">
        <v>513</v>
      </c>
    </row>
    <row r="50" spans="9:10" x14ac:dyDescent="0.3">
      <c r="I50">
        <f t="shared" si="3"/>
        <v>19</v>
      </c>
      <c r="J50" s="6" t="s">
        <v>562</v>
      </c>
    </row>
    <row r="51" spans="9:10" x14ac:dyDescent="0.3">
      <c r="I51">
        <f t="shared" si="3"/>
        <v>20</v>
      </c>
      <c r="J51" s="6" t="s">
        <v>566</v>
      </c>
    </row>
    <row r="52" spans="9:10" x14ac:dyDescent="0.3">
      <c r="I52">
        <f t="shared" si="3"/>
        <v>21</v>
      </c>
      <c r="J52" s="6" t="s">
        <v>567</v>
      </c>
    </row>
    <row r="53" spans="9:10" x14ac:dyDescent="0.3">
      <c r="I53">
        <f t="shared" si="3"/>
        <v>22</v>
      </c>
      <c r="J53" s="6" t="s">
        <v>743</v>
      </c>
    </row>
    <row r="54" spans="9:10" x14ac:dyDescent="0.3">
      <c r="I54">
        <f t="shared" si="3"/>
        <v>23</v>
      </c>
      <c r="J54" s="6" t="s">
        <v>203</v>
      </c>
    </row>
    <row r="55" spans="9:10" x14ac:dyDescent="0.3">
      <c r="I55">
        <f t="shared" si="3"/>
        <v>24</v>
      </c>
      <c r="J55" s="6" t="s">
        <v>550</v>
      </c>
    </row>
    <row r="56" spans="9:10" x14ac:dyDescent="0.3">
      <c r="I56">
        <f t="shared" si="3"/>
        <v>25</v>
      </c>
      <c r="J56" s="6" t="s">
        <v>510</v>
      </c>
    </row>
    <row r="57" spans="9:10" x14ac:dyDescent="0.3">
      <c r="I57">
        <f t="shared" si="3"/>
        <v>26</v>
      </c>
      <c r="J57" s="6" t="s">
        <v>516</v>
      </c>
    </row>
    <row r="58" spans="9:10" x14ac:dyDescent="0.3">
      <c r="I58">
        <f t="shared" si="3"/>
        <v>27</v>
      </c>
      <c r="J58" s="6" t="s">
        <v>568</v>
      </c>
    </row>
    <row r="59" spans="9:10" x14ac:dyDescent="0.3">
      <c r="I59">
        <f t="shared" si="3"/>
        <v>28</v>
      </c>
      <c r="J59" s="6" t="s">
        <v>560</v>
      </c>
    </row>
    <row r="60" spans="9:10" x14ac:dyDescent="0.3">
      <c r="I60">
        <f t="shared" si="3"/>
        <v>29</v>
      </c>
      <c r="J60" s="6" t="s">
        <v>573</v>
      </c>
    </row>
    <row r="61" spans="9:10" x14ac:dyDescent="0.3">
      <c r="I61">
        <f t="shared" si="3"/>
        <v>30</v>
      </c>
      <c r="J61" s="6" t="s">
        <v>526</v>
      </c>
    </row>
    <row r="62" spans="9:10" x14ac:dyDescent="0.3">
      <c r="I62">
        <f t="shared" si="3"/>
        <v>31</v>
      </c>
      <c r="J62" s="6" t="s">
        <v>735</v>
      </c>
    </row>
    <row r="63" spans="9:10" x14ac:dyDescent="0.3">
      <c r="I63">
        <f t="shared" si="3"/>
        <v>32</v>
      </c>
      <c r="J63" s="6" t="s">
        <v>740</v>
      </c>
    </row>
    <row r="64" spans="9:10" x14ac:dyDescent="0.3">
      <c r="I64">
        <f t="shared" si="3"/>
        <v>33</v>
      </c>
      <c r="J64" s="6" t="s">
        <v>556</v>
      </c>
    </row>
    <row r="65" spans="9:10" x14ac:dyDescent="0.3">
      <c r="I65">
        <f t="shared" si="3"/>
        <v>34</v>
      </c>
      <c r="J65" s="6" t="s">
        <v>551</v>
      </c>
    </row>
    <row r="66" spans="9:10" x14ac:dyDescent="0.3">
      <c r="I66">
        <f t="shared" si="3"/>
        <v>35</v>
      </c>
      <c r="J66" s="6" t="s">
        <v>506</v>
      </c>
    </row>
    <row r="67" spans="9:10" x14ac:dyDescent="0.3">
      <c r="I67">
        <f t="shared" si="3"/>
        <v>36</v>
      </c>
      <c r="J67" s="6" t="s">
        <v>734</v>
      </c>
    </row>
    <row r="68" spans="9:10" x14ac:dyDescent="0.3">
      <c r="I68">
        <f t="shared" si="3"/>
        <v>37</v>
      </c>
      <c r="J68" s="6" t="s">
        <v>552</v>
      </c>
    </row>
    <row r="69" spans="9:10" x14ac:dyDescent="0.3">
      <c r="I69">
        <f t="shared" si="3"/>
        <v>38</v>
      </c>
      <c r="J69" s="6" t="s">
        <v>553</v>
      </c>
    </row>
    <row r="70" spans="9:10" x14ac:dyDescent="0.3">
      <c r="I70">
        <f t="shared" si="3"/>
        <v>39</v>
      </c>
      <c r="J70" s="6" t="s">
        <v>737</v>
      </c>
    </row>
    <row r="71" spans="9:10" x14ac:dyDescent="0.3">
      <c r="I71">
        <f t="shared" si="3"/>
        <v>40</v>
      </c>
      <c r="J71" s="6" t="s">
        <v>507</v>
      </c>
    </row>
    <row r="72" spans="9:10" x14ac:dyDescent="0.3">
      <c r="I72">
        <f t="shared" si="3"/>
        <v>41</v>
      </c>
      <c r="J72" s="6" t="s">
        <v>736</v>
      </c>
    </row>
    <row r="73" spans="9:10" x14ac:dyDescent="0.3">
      <c r="I73">
        <f t="shared" si="3"/>
        <v>42</v>
      </c>
      <c r="J73" s="6" t="s">
        <v>575</v>
      </c>
    </row>
    <row r="74" spans="9:10" x14ac:dyDescent="0.3">
      <c r="I74">
        <f t="shared" si="3"/>
        <v>43</v>
      </c>
      <c r="J74" s="6" t="s">
        <v>564</v>
      </c>
    </row>
    <row r="75" spans="9:10" x14ac:dyDescent="0.3">
      <c r="I75">
        <f t="shared" si="3"/>
        <v>44</v>
      </c>
      <c r="J75" s="6" t="s">
        <v>739</v>
      </c>
    </row>
    <row r="76" spans="9:10" x14ac:dyDescent="0.3">
      <c r="I76">
        <f t="shared" si="3"/>
        <v>45</v>
      </c>
      <c r="J76" s="6" t="s">
        <v>509</v>
      </c>
    </row>
    <row r="77" spans="9:10" x14ac:dyDescent="0.3">
      <c r="I77">
        <f t="shared" si="3"/>
        <v>46</v>
      </c>
      <c r="J77" s="6" t="s">
        <v>523</v>
      </c>
    </row>
    <row r="78" spans="9:10" x14ac:dyDescent="0.3">
      <c r="I78">
        <f t="shared" si="3"/>
        <v>47</v>
      </c>
      <c r="J78" s="6" t="s">
        <v>555</v>
      </c>
    </row>
    <row r="79" spans="9:10" x14ac:dyDescent="0.3">
      <c r="I79">
        <f t="shared" si="3"/>
        <v>48</v>
      </c>
      <c r="J79" s="6" t="s">
        <v>571</v>
      </c>
    </row>
    <row r="80" spans="9:10" x14ac:dyDescent="0.3">
      <c r="I80">
        <f t="shared" si="3"/>
        <v>49</v>
      </c>
      <c r="J80" s="6" t="s">
        <v>742</v>
      </c>
    </row>
    <row r="81" spans="9:10" x14ac:dyDescent="0.3">
      <c r="I81">
        <f t="shared" si="3"/>
        <v>50</v>
      </c>
      <c r="J81" s="6" t="s">
        <v>570</v>
      </c>
    </row>
    <row r="82" spans="9:10" x14ac:dyDescent="0.3">
      <c r="I82">
        <f t="shared" si="3"/>
        <v>51</v>
      </c>
      <c r="J82" s="6" t="s">
        <v>663</v>
      </c>
    </row>
    <row r="83" spans="9:10" x14ac:dyDescent="0.3">
      <c r="I83">
        <f t="shared" si="3"/>
        <v>52</v>
      </c>
      <c r="J83" s="6" t="s">
        <v>664</v>
      </c>
    </row>
    <row r="84" spans="9:10" x14ac:dyDescent="0.3">
      <c r="I84">
        <f t="shared" si="3"/>
        <v>53</v>
      </c>
      <c r="J84" s="6" t="s">
        <v>569</v>
      </c>
    </row>
    <row r="85" spans="9:10" x14ac:dyDescent="0.3">
      <c r="I85">
        <f t="shared" si="3"/>
        <v>54</v>
      </c>
      <c r="J85" s="6" t="s">
        <v>554</v>
      </c>
    </row>
  </sheetData>
  <sortState xmlns:xlrd2="http://schemas.microsoft.com/office/spreadsheetml/2017/richdata2" ref="J32:J85">
    <sortCondition ref="J32:J85"/>
  </sortState>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9FBB8-FEAF-4A8F-BEBE-5CCFB4F90C7D}">
  <dimension ref="A1:N111"/>
  <sheetViews>
    <sheetView workbookViewId="0">
      <selection activeCell="M9" sqref="M9"/>
    </sheetView>
  </sheetViews>
  <sheetFormatPr defaultRowHeight="14.4" x14ac:dyDescent="0.3"/>
  <cols>
    <col min="1" max="1" width="46.21875" customWidth="1"/>
    <col min="4" max="4" width="19.109375" customWidth="1"/>
  </cols>
  <sheetData>
    <row r="1" spans="1:14" x14ac:dyDescent="0.3">
      <c r="A1" t="s">
        <v>237</v>
      </c>
    </row>
    <row r="2" spans="1:14" x14ac:dyDescent="0.3">
      <c r="A2" t="s">
        <v>238</v>
      </c>
    </row>
    <row r="3" spans="1:14" x14ac:dyDescent="0.3">
      <c r="A3" t="s">
        <v>239</v>
      </c>
    </row>
    <row r="4" spans="1:14" x14ac:dyDescent="0.3">
      <c r="A4" t="s">
        <v>240</v>
      </c>
    </row>
    <row r="5" spans="1:14" x14ac:dyDescent="0.3">
      <c r="A5" t="s">
        <v>241</v>
      </c>
      <c r="B5" t="s">
        <v>242</v>
      </c>
      <c r="C5" t="s">
        <v>2</v>
      </c>
      <c r="D5" t="s">
        <v>243</v>
      </c>
      <c r="E5" t="s">
        <v>244</v>
      </c>
      <c r="F5" t="s">
        <v>245</v>
      </c>
      <c r="G5" t="s">
        <v>246</v>
      </c>
    </row>
    <row r="6" spans="1:14" x14ac:dyDescent="0.3">
      <c r="A6" t="s">
        <v>247</v>
      </c>
      <c r="B6">
        <v>141</v>
      </c>
      <c r="C6" t="s">
        <v>23</v>
      </c>
      <c r="D6" t="s">
        <v>248</v>
      </c>
      <c r="E6" t="s">
        <v>249</v>
      </c>
      <c r="F6" t="s">
        <v>250</v>
      </c>
      <c r="G6" t="s">
        <v>251</v>
      </c>
    </row>
    <row r="7" spans="1:14" x14ac:dyDescent="0.3">
      <c r="A7" t="s">
        <v>97</v>
      </c>
      <c r="B7">
        <v>57280</v>
      </c>
      <c r="C7" t="s">
        <v>83</v>
      </c>
      <c r="D7" t="s">
        <v>252</v>
      </c>
      <c r="E7" t="s">
        <v>253</v>
      </c>
      <c r="F7" t="s">
        <v>254</v>
      </c>
      <c r="G7" t="s">
        <v>255</v>
      </c>
      <c r="M7">
        <v>106</v>
      </c>
      <c r="N7" t="s">
        <v>354</v>
      </c>
    </row>
    <row r="8" spans="1:14" x14ac:dyDescent="0.3">
      <c r="A8" t="s">
        <v>256</v>
      </c>
      <c r="B8">
        <v>56900</v>
      </c>
      <c r="C8" t="s">
        <v>52</v>
      </c>
      <c r="D8" t="s">
        <v>252</v>
      </c>
      <c r="E8" t="s">
        <v>253</v>
      </c>
      <c r="F8" t="s">
        <v>254</v>
      </c>
      <c r="G8" t="s">
        <v>255</v>
      </c>
      <c r="M8">
        <v>76</v>
      </c>
      <c r="N8" t="s">
        <v>355</v>
      </c>
    </row>
    <row r="9" spans="1:14" x14ac:dyDescent="0.3">
      <c r="A9" t="s">
        <v>257</v>
      </c>
      <c r="B9">
        <v>56943</v>
      </c>
      <c r="C9" t="s">
        <v>24</v>
      </c>
      <c r="D9" t="s">
        <v>252</v>
      </c>
      <c r="E9" t="s">
        <v>258</v>
      </c>
      <c r="F9" t="s">
        <v>254</v>
      </c>
      <c r="G9" t="s">
        <v>259</v>
      </c>
      <c r="M9" s="4">
        <f>M8/M7</f>
        <v>0.71698113207547165</v>
      </c>
    </row>
    <row r="10" spans="1:14" x14ac:dyDescent="0.3">
      <c r="A10" t="s">
        <v>260</v>
      </c>
      <c r="B10">
        <v>54569</v>
      </c>
      <c r="C10" t="s">
        <v>52</v>
      </c>
      <c r="D10" t="s">
        <v>261</v>
      </c>
      <c r="E10" t="s">
        <v>262</v>
      </c>
      <c r="F10" t="s">
        <v>263</v>
      </c>
      <c r="G10" t="s">
        <v>251</v>
      </c>
    </row>
    <row r="11" spans="1:14" x14ac:dyDescent="0.3">
      <c r="A11" t="s">
        <v>264</v>
      </c>
      <c r="B11">
        <v>56861</v>
      </c>
      <c r="C11" t="s">
        <v>51</v>
      </c>
      <c r="D11" t="s">
        <v>252</v>
      </c>
      <c r="E11" t="s">
        <v>253</v>
      </c>
      <c r="F11" t="s">
        <v>254</v>
      </c>
      <c r="G11" t="s">
        <v>255</v>
      </c>
    </row>
    <row r="12" spans="1:14" x14ac:dyDescent="0.3">
      <c r="A12" t="s">
        <v>265</v>
      </c>
      <c r="B12">
        <v>57197</v>
      </c>
      <c r="C12" t="s">
        <v>138</v>
      </c>
      <c r="D12" t="s">
        <v>252</v>
      </c>
      <c r="E12" t="s">
        <v>253</v>
      </c>
      <c r="F12" t="s">
        <v>254</v>
      </c>
      <c r="G12" t="s">
        <v>255</v>
      </c>
    </row>
    <row r="13" spans="1:14" x14ac:dyDescent="0.3">
      <c r="A13" t="s">
        <v>266</v>
      </c>
      <c r="B13">
        <v>56862</v>
      </c>
      <c r="C13" t="s">
        <v>24</v>
      </c>
      <c r="D13" t="s">
        <v>252</v>
      </c>
      <c r="E13" t="s">
        <v>253</v>
      </c>
      <c r="F13" t="s">
        <v>254</v>
      </c>
      <c r="G13" t="s">
        <v>255</v>
      </c>
    </row>
    <row r="14" spans="1:14" x14ac:dyDescent="0.3">
      <c r="A14" t="s">
        <v>267</v>
      </c>
      <c r="B14">
        <v>56944</v>
      </c>
      <c r="C14" t="s">
        <v>47</v>
      </c>
      <c r="D14" t="s">
        <v>252</v>
      </c>
      <c r="E14" t="s">
        <v>253</v>
      </c>
      <c r="F14" t="s">
        <v>254</v>
      </c>
      <c r="G14" t="s">
        <v>255</v>
      </c>
    </row>
    <row r="15" spans="1:14" x14ac:dyDescent="0.3">
      <c r="A15" t="s">
        <v>268</v>
      </c>
      <c r="B15">
        <v>57205</v>
      </c>
      <c r="C15" t="s">
        <v>47</v>
      </c>
      <c r="D15" t="s">
        <v>252</v>
      </c>
      <c r="E15" t="s">
        <v>253</v>
      </c>
      <c r="F15" t="s">
        <v>254</v>
      </c>
      <c r="G15" t="s">
        <v>255</v>
      </c>
    </row>
    <row r="16" spans="1:14" x14ac:dyDescent="0.3">
      <c r="A16" t="s">
        <v>269</v>
      </c>
      <c r="B16">
        <v>56813</v>
      </c>
      <c r="C16" t="s">
        <v>24</v>
      </c>
      <c r="D16" t="s">
        <v>252</v>
      </c>
      <c r="E16" t="s">
        <v>253</v>
      </c>
      <c r="F16" t="s">
        <v>254</v>
      </c>
      <c r="G16" t="s">
        <v>255</v>
      </c>
    </row>
    <row r="17" spans="1:7" x14ac:dyDescent="0.3">
      <c r="A17" t="s">
        <v>141</v>
      </c>
      <c r="B17">
        <v>56768</v>
      </c>
      <c r="C17" t="s">
        <v>24</v>
      </c>
      <c r="D17" t="s">
        <v>252</v>
      </c>
      <c r="E17" t="s">
        <v>253</v>
      </c>
      <c r="F17" t="s">
        <v>254</v>
      </c>
      <c r="G17" t="s">
        <v>255</v>
      </c>
    </row>
    <row r="18" spans="1:7" x14ac:dyDescent="0.3">
      <c r="A18" t="s">
        <v>100</v>
      </c>
      <c r="B18">
        <v>57081</v>
      </c>
      <c r="C18" t="s">
        <v>52</v>
      </c>
      <c r="D18" t="s">
        <v>252</v>
      </c>
      <c r="E18" t="s">
        <v>253</v>
      </c>
      <c r="F18" t="s">
        <v>254</v>
      </c>
      <c r="G18" t="s">
        <v>255</v>
      </c>
    </row>
    <row r="19" spans="1:7" x14ac:dyDescent="0.3">
      <c r="A19" t="s">
        <v>270</v>
      </c>
      <c r="B19">
        <v>57509</v>
      </c>
      <c r="C19" t="s">
        <v>51</v>
      </c>
      <c r="D19" t="s">
        <v>252</v>
      </c>
      <c r="E19" t="s">
        <v>253</v>
      </c>
      <c r="F19" t="s">
        <v>254</v>
      </c>
      <c r="G19" t="s">
        <v>255</v>
      </c>
    </row>
    <row r="20" spans="1:7" x14ac:dyDescent="0.3">
      <c r="A20" t="s">
        <v>271</v>
      </c>
      <c r="B20">
        <v>57011</v>
      </c>
      <c r="C20" t="s">
        <v>24</v>
      </c>
      <c r="D20" t="s">
        <v>252</v>
      </c>
      <c r="E20" t="s">
        <v>253</v>
      </c>
      <c r="F20" t="s">
        <v>254</v>
      </c>
      <c r="G20" t="s">
        <v>255</v>
      </c>
    </row>
    <row r="21" spans="1:7" x14ac:dyDescent="0.3">
      <c r="A21" t="s">
        <v>272</v>
      </c>
      <c r="B21">
        <v>57243</v>
      </c>
      <c r="C21" t="s">
        <v>144</v>
      </c>
      <c r="D21" t="s">
        <v>252</v>
      </c>
      <c r="E21" t="s">
        <v>253</v>
      </c>
      <c r="F21" t="s">
        <v>254</v>
      </c>
      <c r="G21" t="s">
        <v>255</v>
      </c>
    </row>
    <row r="22" spans="1:7" x14ac:dyDescent="0.3">
      <c r="A22" t="s">
        <v>273</v>
      </c>
      <c r="B22">
        <v>57216</v>
      </c>
      <c r="C22" t="s">
        <v>83</v>
      </c>
      <c r="D22" t="s">
        <v>252</v>
      </c>
      <c r="E22" t="s">
        <v>253</v>
      </c>
      <c r="F22" t="s">
        <v>254</v>
      </c>
      <c r="G22" t="s">
        <v>255</v>
      </c>
    </row>
    <row r="23" spans="1:7" x14ac:dyDescent="0.3">
      <c r="A23" t="s">
        <v>274</v>
      </c>
      <c r="B23">
        <v>57334</v>
      </c>
      <c r="C23" t="s">
        <v>86</v>
      </c>
      <c r="D23" t="s">
        <v>248</v>
      </c>
      <c r="E23" t="s">
        <v>253</v>
      </c>
      <c r="F23" t="s">
        <v>254</v>
      </c>
      <c r="G23" t="s">
        <v>255</v>
      </c>
    </row>
    <row r="24" spans="1:7" x14ac:dyDescent="0.3">
      <c r="A24" t="s">
        <v>275</v>
      </c>
      <c r="B24">
        <v>57336</v>
      </c>
      <c r="C24" t="s">
        <v>86</v>
      </c>
      <c r="D24" t="s">
        <v>248</v>
      </c>
      <c r="E24" t="s">
        <v>253</v>
      </c>
      <c r="F24" t="s">
        <v>254</v>
      </c>
      <c r="G24" t="s">
        <v>255</v>
      </c>
    </row>
    <row r="25" spans="1:7" x14ac:dyDescent="0.3">
      <c r="A25" t="s">
        <v>276</v>
      </c>
      <c r="B25">
        <v>57335</v>
      </c>
      <c r="C25" t="s">
        <v>86</v>
      </c>
      <c r="D25" t="s">
        <v>248</v>
      </c>
      <c r="E25" t="s">
        <v>253</v>
      </c>
      <c r="F25" t="s">
        <v>254</v>
      </c>
      <c r="G25" t="s">
        <v>255</v>
      </c>
    </row>
    <row r="26" spans="1:7" x14ac:dyDescent="0.3">
      <c r="A26" t="s">
        <v>277</v>
      </c>
      <c r="B26">
        <v>57694</v>
      </c>
      <c r="C26" t="s">
        <v>51</v>
      </c>
      <c r="D26" t="s">
        <v>278</v>
      </c>
      <c r="E26" t="s">
        <v>253</v>
      </c>
      <c r="F26" t="s">
        <v>254</v>
      </c>
      <c r="G26" t="s">
        <v>255</v>
      </c>
    </row>
    <row r="27" spans="1:7" x14ac:dyDescent="0.3">
      <c r="A27" t="s">
        <v>279</v>
      </c>
      <c r="B27">
        <v>57692</v>
      </c>
      <c r="C27" t="s">
        <v>51</v>
      </c>
      <c r="D27" t="s">
        <v>278</v>
      </c>
      <c r="E27" t="s">
        <v>253</v>
      </c>
      <c r="F27" t="s">
        <v>254</v>
      </c>
      <c r="G27" t="s">
        <v>255</v>
      </c>
    </row>
    <row r="28" spans="1:7" x14ac:dyDescent="0.3">
      <c r="A28" t="s">
        <v>280</v>
      </c>
      <c r="B28">
        <v>56929</v>
      </c>
      <c r="C28" t="s">
        <v>109</v>
      </c>
      <c r="D28" t="s">
        <v>248</v>
      </c>
      <c r="E28" t="s">
        <v>253</v>
      </c>
      <c r="F28" t="s">
        <v>254</v>
      </c>
      <c r="G28" t="s">
        <v>255</v>
      </c>
    </row>
    <row r="29" spans="1:7" x14ac:dyDescent="0.3">
      <c r="A29" t="s">
        <v>281</v>
      </c>
      <c r="B29">
        <v>10823</v>
      </c>
      <c r="C29" t="s">
        <v>64</v>
      </c>
      <c r="D29" t="s">
        <v>261</v>
      </c>
      <c r="E29" t="s">
        <v>282</v>
      </c>
      <c r="F29" t="s">
        <v>283</v>
      </c>
      <c r="G29" t="s">
        <v>251</v>
      </c>
    </row>
    <row r="30" spans="1:7" x14ac:dyDescent="0.3">
      <c r="A30" t="s">
        <v>284</v>
      </c>
      <c r="B30">
        <v>56815</v>
      </c>
      <c r="C30" t="s">
        <v>51</v>
      </c>
      <c r="D30" t="s">
        <v>252</v>
      </c>
      <c r="E30" t="s">
        <v>253</v>
      </c>
      <c r="F30" t="s">
        <v>254</v>
      </c>
      <c r="G30" t="s">
        <v>255</v>
      </c>
    </row>
    <row r="31" spans="1:7" x14ac:dyDescent="0.3">
      <c r="A31" t="s">
        <v>285</v>
      </c>
      <c r="B31">
        <v>57397</v>
      </c>
      <c r="C31" t="s">
        <v>52</v>
      </c>
      <c r="D31" t="s">
        <v>252</v>
      </c>
      <c r="E31" t="s">
        <v>253</v>
      </c>
      <c r="F31" t="s">
        <v>254</v>
      </c>
      <c r="G31" t="s">
        <v>255</v>
      </c>
    </row>
    <row r="32" spans="1:7" x14ac:dyDescent="0.3">
      <c r="A32" t="s">
        <v>286</v>
      </c>
      <c r="B32">
        <v>56814</v>
      </c>
      <c r="C32" t="s">
        <v>24</v>
      </c>
      <c r="D32" t="s">
        <v>252</v>
      </c>
      <c r="E32" t="s">
        <v>253</v>
      </c>
      <c r="F32" t="s">
        <v>254</v>
      </c>
      <c r="G32" t="s">
        <v>255</v>
      </c>
    </row>
    <row r="33" spans="1:7" x14ac:dyDescent="0.3">
      <c r="A33" t="s">
        <v>287</v>
      </c>
      <c r="B33">
        <v>57574</v>
      </c>
      <c r="C33" t="s">
        <v>52</v>
      </c>
      <c r="D33" t="s">
        <v>252</v>
      </c>
      <c r="E33" t="s">
        <v>253</v>
      </c>
      <c r="F33" t="s">
        <v>254</v>
      </c>
      <c r="G33" t="s">
        <v>255</v>
      </c>
    </row>
    <row r="34" spans="1:7" x14ac:dyDescent="0.3">
      <c r="A34" t="s">
        <v>288</v>
      </c>
      <c r="B34">
        <v>57191</v>
      </c>
      <c r="C34" t="s">
        <v>112</v>
      </c>
      <c r="D34" t="s">
        <v>252</v>
      </c>
      <c r="E34" t="s">
        <v>253</v>
      </c>
      <c r="F34" t="s">
        <v>254</v>
      </c>
      <c r="G34" t="s">
        <v>255</v>
      </c>
    </row>
    <row r="35" spans="1:7" x14ac:dyDescent="0.3">
      <c r="A35" t="s">
        <v>289</v>
      </c>
      <c r="B35">
        <v>57506</v>
      </c>
      <c r="C35" t="s">
        <v>24</v>
      </c>
      <c r="D35" t="s">
        <v>252</v>
      </c>
      <c r="E35" t="s">
        <v>253</v>
      </c>
      <c r="F35" t="s">
        <v>254</v>
      </c>
      <c r="G35" t="s">
        <v>255</v>
      </c>
    </row>
    <row r="36" spans="1:7" x14ac:dyDescent="0.3">
      <c r="A36" t="s">
        <v>290</v>
      </c>
      <c r="B36">
        <v>56909</v>
      </c>
      <c r="C36" t="s">
        <v>24</v>
      </c>
      <c r="D36" t="s">
        <v>252</v>
      </c>
      <c r="E36" t="s">
        <v>253</v>
      </c>
      <c r="F36" t="s">
        <v>254</v>
      </c>
      <c r="G36" t="s">
        <v>255</v>
      </c>
    </row>
    <row r="37" spans="1:7" x14ac:dyDescent="0.3">
      <c r="A37" t="s">
        <v>291</v>
      </c>
      <c r="B37">
        <v>57377</v>
      </c>
      <c r="C37" t="s">
        <v>51</v>
      </c>
      <c r="D37" t="s">
        <v>252</v>
      </c>
      <c r="E37" t="s">
        <v>253</v>
      </c>
      <c r="F37" t="s">
        <v>254</v>
      </c>
      <c r="G37" t="s">
        <v>255</v>
      </c>
    </row>
    <row r="38" spans="1:7" x14ac:dyDescent="0.3">
      <c r="A38" t="s">
        <v>201</v>
      </c>
      <c r="B38">
        <v>57390</v>
      </c>
      <c r="C38" t="s">
        <v>83</v>
      </c>
      <c r="D38" t="s">
        <v>252</v>
      </c>
      <c r="E38" t="s">
        <v>253</v>
      </c>
      <c r="F38" t="s">
        <v>254</v>
      </c>
      <c r="G38" t="s">
        <v>255</v>
      </c>
    </row>
    <row r="39" spans="1:7" x14ac:dyDescent="0.3">
      <c r="A39" t="s">
        <v>292</v>
      </c>
      <c r="B39">
        <v>56877</v>
      </c>
      <c r="C39" t="s">
        <v>52</v>
      </c>
      <c r="D39" t="s">
        <v>252</v>
      </c>
      <c r="E39" t="s">
        <v>253</v>
      </c>
      <c r="F39" t="s">
        <v>254</v>
      </c>
      <c r="G39" t="s">
        <v>255</v>
      </c>
    </row>
    <row r="40" spans="1:7" x14ac:dyDescent="0.3">
      <c r="A40" t="s">
        <v>293</v>
      </c>
      <c r="B40">
        <v>57269</v>
      </c>
      <c r="C40" t="s">
        <v>64</v>
      </c>
      <c r="D40" t="s">
        <v>248</v>
      </c>
      <c r="E40" t="s">
        <v>253</v>
      </c>
      <c r="F40" t="s">
        <v>254</v>
      </c>
      <c r="G40" t="s">
        <v>255</v>
      </c>
    </row>
    <row r="41" spans="1:7" x14ac:dyDescent="0.3">
      <c r="A41" t="s">
        <v>294</v>
      </c>
      <c r="B41">
        <v>57202</v>
      </c>
      <c r="C41" t="s">
        <v>109</v>
      </c>
      <c r="D41" t="s">
        <v>252</v>
      </c>
      <c r="E41" t="s">
        <v>253</v>
      </c>
      <c r="F41" t="s">
        <v>254</v>
      </c>
      <c r="G41" t="s">
        <v>255</v>
      </c>
    </row>
    <row r="42" spans="1:7" x14ac:dyDescent="0.3">
      <c r="A42" t="s">
        <v>295</v>
      </c>
      <c r="B42">
        <v>57525</v>
      </c>
      <c r="C42" t="s">
        <v>73</v>
      </c>
      <c r="D42" t="s">
        <v>252</v>
      </c>
      <c r="E42" t="s">
        <v>253</v>
      </c>
      <c r="F42" t="s">
        <v>254</v>
      </c>
      <c r="G42" t="s">
        <v>255</v>
      </c>
    </row>
    <row r="43" spans="1:7" x14ac:dyDescent="0.3">
      <c r="A43" t="s">
        <v>296</v>
      </c>
      <c r="B43">
        <v>57412</v>
      </c>
      <c r="C43" t="s">
        <v>83</v>
      </c>
      <c r="D43" t="s">
        <v>297</v>
      </c>
      <c r="E43" t="s">
        <v>253</v>
      </c>
      <c r="F43" t="s">
        <v>254</v>
      </c>
      <c r="G43" t="s">
        <v>255</v>
      </c>
    </row>
    <row r="44" spans="1:7" x14ac:dyDescent="0.3">
      <c r="A44" t="s">
        <v>298</v>
      </c>
      <c r="B44">
        <v>57009</v>
      </c>
      <c r="C44" t="s">
        <v>24</v>
      </c>
      <c r="D44" t="s">
        <v>252</v>
      </c>
      <c r="E44" t="s">
        <v>253</v>
      </c>
      <c r="F44" t="s">
        <v>254</v>
      </c>
      <c r="G44" t="s">
        <v>255</v>
      </c>
    </row>
    <row r="45" spans="1:7" x14ac:dyDescent="0.3">
      <c r="A45" t="s">
        <v>299</v>
      </c>
      <c r="B45">
        <v>56667</v>
      </c>
      <c r="C45" t="s">
        <v>73</v>
      </c>
      <c r="D45" t="s">
        <v>252</v>
      </c>
      <c r="E45" t="s">
        <v>253</v>
      </c>
      <c r="F45" t="s">
        <v>254</v>
      </c>
      <c r="G45" t="s">
        <v>255</v>
      </c>
    </row>
    <row r="46" spans="1:7" x14ac:dyDescent="0.3">
      <c r="A46" t="s">
        <v>300</v>
      </c>
      <c r="B46">
        <v>57381</v>
      </c>
      <c r="C46" t="s">
        <v>52</v>
      </c>
      <c r="D46" t="s">
        <v>248</v>
      </c>
      <c r="E46" t="s">
        <v>253</v>
      </c>
      <c r="F46" t="s">
        <v>254</v>
      </c>
      <c r="G46" t="s">
        <v>255</v>
      </c>
    </row>
    <row r="47" spans="1:7" x14ac:dyDescent="0.3">
      <c r="A47" t="s">
        <v>301</v>
      </c>
      <c r="B47">
        <v>10444</v>
      </c>
      <c r="C47" t="s">
        <v>24</v>
      </c>
      <c r="D47" t="s">
        <v>252</v>
      </c>
      <c r="E47" t="s">
        <v>258</v>
      </c>
      <c r="F47" t="s">
        <v>254</v>
      </c>
      <c r="G47" t="s">
        <v>259</v>
      </c>
    </row>
    <row r="48" spans="1:7" x14ac:dyDescent="0.3">
      <c r="A48" t="s">
        <v>302</v>
      </c>
      <c r="B48">
        <v>57314</v>
      </c>
      <c r="C48" t="s">
        <v>24</v>
      </c>
      <c r="D48" t="s">
        <v>252</v>
      </c>
      <c r="E48" t="s">
        <v>253</v>
      </c>
      <c r="F48" t="s">
        <v>254</v>
      </c>
      <c r="G48" t="s">
        <v>255</v>
      </c>
    </row>
    <row r="49" spans="1:7" x14ac:dyDescent="0.3">
      <c r="A49" t="s">
        <v>303</v>
      </c>
      <c r="B49">
        <v>56993</v>
      </c>
      <c r="C49" t="s">
        <v>83</v>
      </c>
      <c r="D49" t="s">
        <v>252</v>
      </c>
      <c r="E49" t="s">
        <v>253</v>
      </c>
      <c r="F49" t="s">
        <v>254</v>
      </c>
      <c r="G49" t="s">
        <v>255</v>
      </c>
    </row>
    <row r="50" spans="1:7" x14ac:dyDescent="0.3">
      <c r="A50" t="s">
        <v>304</v>
      </c>
      <c r="B50">
        <v>56574</v>
      </c>
      <c r="C50" t="s">
        <v>24</v>
      </c>
      <c r="D50" t="s">
        <v>252</v>
      </c>
      <c r="E50" t="s">
        <v>253</v>
      </c>
      <c r="F50" t="s">
        <v>254</v>
      </c>
      <c r="G50" t="s">
        <v>255</v>
      </c>
    </row>
    <row r="51" spans="1:7" x14ac:dyDescent="0.3">
      <c r="A51" t="s">
        <v>305</v>
      </c>
      <c r="B51">
        <v>57005</v>
      </c>
      <c r="C51" t="s">
        <v>24</v>
      </c>
      <c r="D51" t="s">
        <v>252</v>
      </c>
      <c r="E51" t="s">
        <v>253</v>
      </c>
      <c r="F51" t="s">
        <v>254</v>
      </c>
      <c r="G51" t="s">
        <v>255</v>
      </c>
    </row>
    <row r="52" spans="1:7" x14ac:dyDescent="0.3">
      <c r="A52" t="s">
        <v>306</v>
      </c>
      <c r="B52">
        <v>57140</v>
      </c>
      <c r="C52" t="s">
        <v>23</v>
      </c>
      <c r="D52" t="s">
        <v>252</v>
      </c>
      <c r="E52" t="s">
        <v>307</v>
      </c>
      <c r="F52" t="s">
        <v>254</v>
      </c>
      <c r="G52" t="s">
        <v>259</v>
      </c>
    </row>
    <row r="53" spans="1:7" x14ac:dyDescent="0.3">
      <c r="A53" t="s">
        <v>308</v>
      </c>
      <c r="B53">
        <v>57313</v>
      </c>
      <c r="C53" t="s">
        <v>24</v>
      </c>
      <c r="D53" t="s">
        <v>252</v>
      </c>
      <c r="E53" t="s">
        <v>253</v>
      </c>
      <c r="F53" t="s">
        <v>254</v>
      </c>
      <c r="G53" t="s">
        <v>255</v>
      </c>
    </row>
    <row r="54" spans="1:7" x14ac:dyDescent="0.3">
      <c r="A54" t="s">
        <v>210</v>
      </c>
      <c r="B54">
        <v>57270</v>
      </c>
      <c r="C54" t="s">
        <v>64</v>
      </c>
      <c r="D54" t="s">
        <v>248</v>
      </c>
      <c r="E54" t="s">
        <v>253</v>
      </c>
      <c r="F54" t="s">
        <v>254</v>
      </c>
      <c r="G54" t="s">
        <v>255</v>
      </c>
    </row>
    <row r="55" spans="1:7" x14ac:dyDescent="0.3">
      <c r="A55" t="s">
        <v>309</v>
      </c>
      <c r="B55">
        <v>56568</v>
      </c>
      <c r="C55" t="s">
        <v>47</v>
      </c>
      <c r="D55" t="s">
        <v>252</v>
      </c>
      <c r="E55" t="s">
        <v>253</v>
      </c>
      <c r="F55" t="s">
        <v>254</v>
      </c>
      <c r="G55" t="s">
        <v>255</v>
      </c>
    </row>
    <row r="56" spans="1:7" x14ac:dyDescent="0.3">
      <c r="A56" t="s">
        <v>49</v>
      </c>
      <c r="B56">
        <v>56405</v>
      </c>
      <c r="C56" t="s">
        <v>47</v>
      </c>
      <c r="D56" t="s">
        <v>252</v>
      </c>
      <c r="E56" t="s">
        <v>258</v>
      </c>
      <c r="F56" t="s">
        <v>254</v>
      </c>
      <c r="G56" t="s">
        <v>259</v>
      </c>
    </row>
    <row r="57" spans="1:7" x14ac:dyDescent="0.3">
      <c r="A57" t="s">
        <v>10</v>
      </c>
      <c r="B57">
        <v>116</v>
      </c>
      <c r="C57" t="s">
        <v>23</v>
      </c>
      <c r="D57" t="s">
        <v>248</v>
      </c>
      <c r="E57" t="s">
        <v>249</v>
      </c>
      <c r="F57" t="s">
        <v>250</v>
      </c>
      <c r="G57" t="s">
        <v>251</v>
      </c>
    </row>
    <row r="58" spans="1:7" x14ac:dyDescent="0.3">
      <c r="A58" t="s">
        <v>310</v>
      </c>
      <c r="B58">
        <v>56889</v>
      </c>
      <c r="C58" t="s">
        <v>52</v>
      </c>
      <c r="D58" t="s">
        <v>252</v>
      </c>
      <c r="E58" t="s">
        <v>253</v>
      </c>
      <c r="F58" t="s">
        <v>254</v>
      </c>
      <c r="G58" t="s">
        <v>255</v>
      </c>
    </row>
    <row r="59" spans="1:7" x14ac:dyDescent="0.3">
      <c r="A59" t="s">
        <v>118</v>
      </c>
      <c r="B59">
        <v>57204</v>
      </c>
      <c r="C59" t="s">
        <v>52</v>
      </c>
      <c r="D59" t="s">
        <v>252</v>
      </c>
      <c r="E59" t="s">
        <v>253</v>
      </c>
      <c r="F59" t="s">
        <v>254</v>
      </c>
      <c r="G59" t="s">
        <v>255</v>
      </c>
    </row>
    <row r="60" spans="1:7" x14ac:dyDescent="0.3">
      <c r="A60" t="s">
        <v>311</v>
      </c>
      <c r="B60">
        <v>57309</v>
      </c>
      <c r="C60" t="s">
        <v>24</v>
      </c>
      <c r="D60" t="s">
        <v>252</v>
      </c>
      <c r="E60" t="s">
        <v>253</v>
      </c>
      <c r="F60" t="s">
        <v>254</v>
      </c>
      <c r="G60" t="s">
        <v>255</v>
      </c>
    </row>
    <row r="61" spans="1:7" x14ac:dyDescent="0.3">
      <c r="A61" t="s">
        <v>312</v>
      </c>
      <c r="B61">
        <v>56883</v>
      </c>
      <c r="C61" t="s">
        <v>52</v>
      </c>
      <c r="D61" t="s">
        <v>252</v>
      </c>
      <c r="E61" t="s">
        <v>253</v>
      </c>
      <c r="F61" t="s">
        <v>254</v>
      </c>
      <c r="G61" t="s">
        <v>255</v>
      </c>
    </row>
    <row r="62" spans="1:7" x14ac:dyDescent="0.3">
      <c r="A62" t="s">
        <v>313</v>
      </c>
      <c r="B62">
        <v>57367</v>
      </c>
      <c r="C62" t="s">
        <v>83</v>
      </c>
      <c r="D62" t="s">
        <v>252</v>
      </c>
      <c r="E62" t="s">
        <v>253</v>
      </c>
      <c r="F62" t="s">
        <v>254</v>
      </c>
      <c r="G62" t="s">
        <v>255</v>
      </c>
    </row>
    <row r="63" spans="1:7" x14ac:dyDescent="0.3">
      <c r="A63" t="s">
        <v>314</v>
      </c>
      <c r="B63">
        <v>56228</v>
      </c>
      <c r="C63" t="s">
        <v>23</v>
      </c>
      <c r="D63" t="s">
        <v>248</v>
      </c>
      <c r="E63" t="s">
        <v>253</v>
      </c>
      <c r="F63" t="s">
        <v>254</v>
      </c>
      <c r="G63" t="s">
        <v>255</v>
      </c>
    </row>
    <row r="64" spans="1:7" x14ac:dyDescent="0.3">
      <c r="A64" t="s">
        <v>315</v>
      </c>
      <c r="B64">
        <v>56966</v>
      </c>
      <c r="C64" t="s">
        <v>86</v>
      </c>
      <c r="D64" t="s">
        <v>252</v>
      </c>
      <c r="E64" t="s">
        <v>253</v>
      </c>
      <c r="F64" t="s">
        <v>254</v>
      </c>
      <c r="G64" t="s">
        <v>255</v>
      </c>
    </row>
    <row r="65" spans="1:7" x14ac:dyDescent="0.3">
      <c r="A65" t="s">
        <v>316</v>
      </c>
      <c r="B65">
        <v>57507</v>
      </c>
      <c r="C65" t="s">
        <v>51</v>
      </c>
      <c r="D65" t="s">
        <v>252</v>
      </c>
      <c r="E65" t="s">
        <v>253</v>
      </c>
      <c r="F65" t="s">
        <v>254</v>
      </c>
      <c r="G65" t="s">
        <v>255</v>
      </c>
    </row>
    <row r="66" spans="1:7" x14ac:dyDescent="0.3">
      <c r="A66" t="s">
        <v>317</v>
      </c>
      <c r="B66">
        <v>57141</v>
      </c>
      <c r="C66" t="s">
        <v>51</v>
      </c>
      <c r="D66" t="s">
        <v>252</v>
      </c>
      <c r="E66" t="s">
        <v>253</v>
      </c>
      <c r="F66" t="s">
        <v>254</v>
      </c>
      <c r="G66" t="s">
        <v>255</v>
      </c>
    </row>
    <row r="67" spans="1:7" x14ac:dyDescent="0.3">
      <c r="A67" t="s">
        <v>318</v>
      </c>
      <c r="B67">
        <v>529</v>
      </c>
      <c r="C67" t="s">
        <v>24</v>
      </c>
      <c r="D67" t="s">
        <v>248</v>
      </c>
      <c r="E67" t="s">
        <v>253</v>
      </c>
      <c r="F67" t="s">
        <v>254</v>
      </c>
      <c r="G67" t="s">
        <v>255</v>
      </c>
    </row>
    <row r="68" spans="1:7" x14ac:dyDescent="0.3">
      <c r="A68" t="s">
        <v>319</v>
      </c>
      <c r="B68">
        <v>57579</v>
      </c>
      <c r="C68" t="s">
        <v>24</v>
      </c>
      <c r="D68" t="s">
        <v>248</v>
      </c>
      <c r="E68" t="s">
        <v>253</v>
      </c>
      <c r="F68" t="s">
        <v>254</v>
      </c>
      <c r="G68" t="s">
        <v>255</v>
      </c>
    </row>
    <row r="69" spans="1:7" x14ac:dyDescent="0.3">
      <c r="A69" t="s">
        <v>320</v>
      </c>
      <c r="B69">
        <v>57524</v>
      </c>
      <c r="C69" t="s">
        <v>23</v>
      </c>
      <c r="D69" t="s">
        <v>252</v>
      </c>
      <c r="E69" t="s">
        <v>253</v>
      </c>
      <c r="F69" t="s">
        <v>254</v>
      </c>
      <c r="G69" t="s">
        <v>255</v>
      </c>
    </row>
    <row r="70" spans="1:7" x14ac:dyDescent="0.3">
      <c r="A70" t="s">
        <v>88</v>
      </c>
      <c r="B70">
        <v>56915</v>
      </c>
      <c r="C70" t="s">
        <v>86</v>
      </c>
      <c r="D70" t="s">
        <v>252</v>
      </c>
      <c r="E70" t="s">
        <v>253</v>
      </c>
      <c r="F70" t="s">
        <v>254</v>
      </c>
      <c r="G70" t="s">
        <v>255</v>
      </c>
    </row>
    <row r="71" spans="1:7" x14ac:dyDescent="0.3">
      <c r="A71" t="s">
        <v>13</v>
      </c>
      <c r="B71">
        <v>10439</v>
      </c>
      <c r="C71" t="s">
        <v>24</v>
      </c>
      <c r="D71" t="s">
        <v>252</v>
      </c>
      <c r="E71" t="s">
        <v>258</v>
      </c>
      <c r="F71" t="s">
        <v>254</v>
      </c>
      <c r="G71" t="s">
        <v>259</v>
      </c>
    </row>
    <row r="72" spans="1:7" x14ac:dyDescent="0.3">
      <c r="A72" t="s">
        <v>14</v>
      </c>
      <c r="B72">
        <v>10440</v>
      </c>
      <c r="C72" t="s">
        <v>24</v>
      </c>
      <c r="D72" t="s">
        <v>252</v>
      </c>
      <c r="E72" t="s">
        <v>258</v>
      </c>
      <c r="F72" t="s">
        <v>254</v>
      </c>
      <c r="G72" t="s">
        <v>259</v>
      </c>
    </row>
    <row r="73" spans="1:7" x14ac:dyDescent="0.3">
      <c r="A73" t="s">
        <v>15</v>
      </c>
      <c r="B73">
        <v>10446</v>
      </c>
      <c r="C73" t="s">
        <v>24</v>
      </c>
      <c r="D73" t="s">
        <v>252</v>
      </c>
      <c r="E73" t="s">
        <v>258</v>
      </c>
      <c r="F73" t="s">
        <v>254</v>
      </c>
      <c r="G73" t="s">
        <v>259</v>
      </c>
    </row>
    <row r="74" spans="1:7" x14ac:dyDescent="0.3">
      <c r="A74" t="s">
        <v>16</v>
      </c>
      <c r="B74">
        <v>10441</v>
      </c>
      <c r="C74" t="s">
        <v>24</v>
      </c>
      <c r="D74" t="s">
        <v>252</v>
      </c>
      <c r="E74" t="s">
        <v>258</v>
      </c>
      <c r="F74" t="s">
        <v>254</v>
      </c>
      <c r="G74" t="s">
        <v>259</v>
      </c>
    </row>
    <row r="75" spans="1:7" x14ac:dyDescent="0.3">
      <c r="A75" t="s">
        <v>17</v>
      </c>
      <c r="B75">
        <v>10442</v>
      </c>
      <c r="C75" t="s">
        <v>24</v>
      </c>
      <c r="D75" t="s">
        <v>252</v>
      </c>
      <c r="E75" t="s">
        <v>258</v>
      </c>
      <c r="F75" t="s">
        <v>254</v>
      </c>
      <c r="G75" t="s">
        <v>259</v>
      </c>
    </row>
    <row r="76" spans="1:7" x14ac:dyDescent="0.3">
      <c r="A76" t="s">
        <v>18</v>
      </c>
      <c r="B76">
        <v>10443</v>
      </c>
      <c r="C76" t="s">
        <v>24</v>
      </c>
      <c r="D76" t="s">
        <v>252</v>
      </c>
      <c r="E76" t="s">
        <v>258</v>
      </c>
      <c r="F76" t="s">
        <v>254</v>
      </c>
      <c r="G76" t="s">
        <v>259</v>
      </c>
    </row>
    <row r="77" spans="1:7" x14ac:dyDescent="0.3">
      <c r="A77" t="s">
        <v>321</v>
      </c>
      <c r="B77">
        <v>56875</v>
      </c>
      <c r="C77" t="s">
        <v>24</v>
      </c>
      <c r="D77" t="s">
        <v>252</v>
      </c>
      <c r="E77" t="s">
        <v>253</v>
      </c>
      <c r="F77" t="s">
        <v>254</v>
      </c>
      <c r="G77" t="s">
        <v>255</v>
      </c>
    </row>
    <row r="78" spans="1:7" x14ac:dyDescent="0.3">
      <c r="A78" t="s">
        <v>19</v>
      </c>
      <c r="B78">
        <v>118</v>
      </c>
      <c r="C78" t="s">
        <v>23</v>
      </c>
      <c r="D78" t="s">
        <v>248</v>
      </c>
      <c r="E78" t="s">
        <v>322</v>
      </c>
      <c r="F78" t="s">
        <v>250</v>
      </c>
      <c r="G78" t="s">
        <v>251</v>
      </c>
    </row>
    <row r="79" spans="1:7" x14ac:dyDescent="0.3">
      <c r="A79" t="s">
        <v>323</v>
      </c>
      <c r="B79">
        <v>57200</v>
      </c>
      <c r="C79" t="s">
        <v>86</v>
      </c>
      <c r="D79" t="s">
        <v>252</v>
      </c>
      <c r="E79" t="s">
        <v>253</v>
      </c>
      <c r="F79" t="s">
        <v>254</v>
      </c>
      <c r="G79" t="s">
        <v>255</v>
      </c>
    </row>
    <row r="80" spans="1:7" x14ac:dyDescent="0.3">
      <c r="A80" t="s">
        <v>324</v>
      </c>
      <c r="B80">
        <v>57323</v>
      </c>
      <c r="C80" t="s">
        <v>24</v>
      </c>
      <c r="D80" t="s">
        <v>252</v>
      </c>
      <c r="E80" t="s">
        <v>258</v>
      </c>
      <c r="F80" t="s">
        <v>254</v>
      </c>
      <c r="G80" t="s">
        <v>259</v>
      </c>
    </row>
    <row r="81" spans="1:7" x14ac:dyDescent="0.3">
      <c r="A81" t="s">
        <v>325</v>
      </c>
      <c r="B81">
        <v>57341</v>
      </c>
      <c r="C81" t="s">
        <v>52</v>
      </c>
      <c r="D81" t="s">
        <v>248</v>
      </c>
      <c r="E81" t="s">
        <v>253</v>
      </c>
      <c r="F81" t="s">
        <v>254</v>
      </c>
      <c r="G81" t="s">
        <v>255</v>
      </c>
    </row>
    <row r="82" spans="1:7" x14ac:dyDescent="0.3">
      <c r="A82" t="s">
        <v>326</v>
      </c>
      <c r="B82">
        <v>56939</v>
      </c>
      <c r="C82" t="s">
        <v>24</v>
      </c>
      <c r="D82" t="s">
        <v>252</v>
      </c>
      <c r="E82" t="s">
        <v>253</v>
      </c>
      <c r="F82" t="s">
        <v>254</v>
      </c>
      <c r="G82" t="s">
        <v>255</v>
      </c>
    </row>
    <row r="83" spans="1:7" x14ac:dyDescent="0.3">
      <c r="A83" t="s">
        <v>327</v>
      </c>
      <c r="B83">
        <v>56976</v>
      </c>
      <c r="C83" t="s">
        <v>24</v>
      </c>
      <c r="D83" t="s">
        <v>248</v>
      </c>
      <c r="E83" t="s">
        <v>253</v>
      </c>
      <c r="F83" t="s">
        <v>254</v>
      </c>
      <c r="G83" t="s">
        <v>255</v>
      </c>
    </row>
    <row r="84" spans="1:7" x14ac:dyDescent="0.3">
      <c r="A84" t="s">
        <v>328</v>
      </c>
      <c r="B84">
        <v>56996</v>
      </c>
      <c r="C84" t="s">
        <v>24</v>
      </c>
      <c r="D84" t="s">
        <v>248</v>
      </c>
      <c r="E84" t="s">
        <v>253</v>
      </c>
      <c r="F84" t="s">
        <v>254</v>
      </c>
      <c r="G84" t="s">
        <v>255</v>
      </c>
    </row>
    <row r="85" spans="1:7" x14ac:dyDescent="0.3">
      <c r="A85" t="s">
        <v>329</v>
      </c>
      <c r="B85">
        <v>56930</v>
      </c>
      <c r="C85" t="s">
        <v>109</v>
      </c>
      <c r="D85" t="s">
        <v>248</v>
      </c>
      <c r="E85" t="s">
        <v>253</v>
      </c>
      <c r="F85" t="s">
        <v>254</v>
      </c>
      <c r="G85" t="s">
        <v>255</v>
      </c>
    </row>
    <row r="86" spans="1:7" x14ac:dyDescent="0.3">
      <c r="A86" t="s">
        <v>20</v>
      </c>
      <c r="B86">
        <v>8223</v>
      </c>
      <c r="C86" t="s">
        <v>23</v>
      </c>
      <c r="D86" t="s">
        <v>248</v>
      </c>
      <c r="E86" t="s">
        <v>330</v>
      </c>
      <c r="F86" t="s">
        <v>331</v>
      </c>
      <c r="G86" t="s">
        <v>251</v>
      </c>
    </row>
    <row r="87" spans="1:7" x14ac:dyDescent="0.3">
      <c r="A87" t="s">
        <v>332</v>
      </c>
      <c r="B87">
        <v>99999</v>
      </c>
      <c r="C87" t="s">
        <v>208</v>
      </c>
      <c r="D87" t="s">
        <v>208</v>
      </c>
      <c r="E87" t="s">
        <v>208</v>
      </c>
      <c r="F87" t="s">
        <v>208</v>
      </c>
      <c r="G87" t="s">
        <v>208</v>
      </c>
    </row>
    <row r="88" spans="1:7" x14ac:dyDescent="0.3">
      <c r="A88" t="s">
        <v>333</v>
      </c>
      <c r="B88">
        <v>57445</v>
      </c>
      <c r="C88" t="s">
        <v>86</v>
      </c>
      <c r="D88" t="s">
        <v>252</v>
      </c>
      <c r="E88" t="s">
        <v>253</v>
      </c>
      <c r="F88" t="s">
        <v>254</v>
      </c>
      <c r="G88" t="s">
        <v>255</v>
      </c>
    </row>
    <row r="89" spans="1:7" x14ac:dyDescent="0.3">
      <c r="A89" t="s">
        <v>334</v>
      </c>
      <c r="B89">
        <v>56481</v>
      </c>
      <c r="C89" t="s">
        <v>51</v>
      </c>
      <c r="D89" t="s">
        <v>252</v>
      </c>
      <c r="E89" t="s">
        <v>253</v>
      </c>
      <c r="F89" t="s">
        <v>254</v>
      </c>
      <c r="G89" t="s">
        <v>255</v>
      </c>
    </row>
    <row r="90" spans="1:7" x14ac:dyDescent="0.3">
      <c r="A90" t="s">
        <v>335</v>
      </c>
      <c r="B90">
        <v>57010</v>
      </c>
      <c r="C90" t="s">
        <v>24</v>
      </c>
      <c r="D90" t="s">
        <v>252</v>
      </c>
      <c r="E90" t="s">
        <v>253</v>
      </c>
      <c r="F90" t="s">
        <v>254</v>
      </c>
      <c r="G90" t="s">
        <v>255</v>
      </c>
    </row>
    <row r="91" spans="1:7" x14ac:dyDescent="0.3">
      <c r="A91" t="s">
        <v>336</v>
      </c>
      <c r="B91">
        <v>57007</v>
      </c>
      <c r="C91" t="s">
        <v>24</v>
      </c>
      <c r="D91" t="s">
        <v>252</v>
      </c>
      <c r="E91" t="s">
        <v>253</v>
      </c>
      <c r="F91" t="s">
        <v>254</v>
      </c>
      <c r="G91" t="s">
        <v>255</v>
      </c>
    </row>
    <row r="92" spans="1:7" x14ac:dyDescent="0.3">
      <c r="A92" t="s">
        <v>337</v>
      </c>
      <c r="B92">
        <v>56938</v>
      </c>
      <c r="C92" t="s">
        <v>86</v>
      </c>
      <c r="D92" t="s">
        <v>252</v>
      </c>
      <c r="E92" t="s">
        <v>253</v>
      </c>
      <c r="F92" t="s">
        <v>254</v>
      </c>
      <c r="G92" t="s">
        <v>255</v>
      </c>
    </row>
    <row r="93" spans="1:7" x14ac:dyDescent="0.3">
      <c r="A93" t="s">
        <v>338</v>
      </c>
      <c r="B93">
        <v>57008</v>
      </c>
      <c r="C93" t="s">
        <v>24</v>
      </c>
      <c r="D93" t="s">
        <v>252</v>
      </c>
      <c r="E93" t="s">
        <v>253</v>
      </c>
      <c r="F93" t="s">
        <v>254</v>
      </c>
      <c r="G93" t="s">
        <v>255</v>
      </c>
    </row>
    <row r="94" spans="1:7" x14ac:dyDescent="0.3">
      <c r="A94" t="s">
        <v>339</v>
      </c>
      <c r="B94">
        <v>57004</v>
      </c>
      <c r="C94" t="s">
        <v>24</v>
      </c>
      <c r="D94" t="s">
        <v>252</v>
      </c>
      <c r="E94" t="s">
        <v>253</v>
      </c>
      <c r="F94" t="s">
        <v>254</v>
      </c>
      <c r="G94" t="s">
        <v>255</v>
      </c>
    </row>
    <row r="95" spans="1:7" x14ac:dyDescent="0.3">
      <c r="A95" t="s">
        <v>340</v>
      </c>
      <c r="B95">
        <v>57012</v>
      </c>
      <c r="C95" t="s">
        <v>24</v>
      </c>
      <c r="D95" t="s">
        <v>252</v>
      </c>
      <c r="E95" t="s">
        <v>253</v>
      </c>
      <c r="F95" t="s">
        <v>254</v>
      </c>
      <c r="G95" t="s">
        <v>255</v>
      </c>
    </row>
    <row r="96" spans="1:7" x14ac:dyDescent="0.3">
      <c r="A96" t="s">
        <v>21</v>
      </c>
      <c r="B96">
        <v>10437</v>
      </c>
      <c r="C96" t="s">
        <v>24</v>
      </c>
      <c r="D96" t="s">
        <v>252</v>
      </c>
      <c r="E96" t="s">
        <v>258</v>
      </c>
      <c r="F96" t="s">
        <v>254</v>
      </c>
      <c r="G96" t="s">
        <v>259</v>
      </c>
    </row>
    <row r="97" spans="1:7" x14ac:dyDescent="0.3">
      <c r="A97" t="s">
        <v>22</v>
      </c>
      <c r="B97">
        <v>10438</v>
      </c>
      <c r="C97" t="s">
        <v>24</v>
      </c>
      <c r="D97" t="s">
        <v>252</v>
      </c>
      <c r="E97" t="s">
        <v>258</v>
      </c>
      <c r="F97" t="s">
        <v>254</v>
      </c>
      <c r="G97" t="s">
        <v>259</v>
      </c>
    </row>
    <row r="98" spans="1:7" x14ac:dyDescent="0.3">
      <c r="A98" t="s">
        <v>341</v>
      </c>
      <c r="B98">
        <v>57559</v>
      </c>
      <c r="C98" t="s">
        <v>24</v>
      </c>
      <c r="D98" t="s">
        <v>252</v>
      </c>
      <c r="E98" t="s">
        <v>253</v>
      </c>
      <c r="F98" t="s">
        <v>254</v>
      </c>
      <c r="G98" t="s">
        <v>255</v>
      </c>
    </row>
    <row r="99" spans="1:7" x14ac:dyDescent="0.3">
      <c r="A99" t="s">
        <v>342</v>
      </c>
      <c r="B99">
        <v>57402</v>
      </c>
      <c r="C99" t="s">
        <v>86</v>
      </c>
      <c r="D99" t="s">
        <v>252</v>
      </c>
      <c r="E99" t="s">
        <v>253</v>
      </c>
      <c r="F99" t="s">
        <v>254</v>
      </c>
      <c r="G99" t="s">
        <v>255</v>
      </c>
    </row>
    <row r="100" spans="1:7" x14ac:dyDescent="0.3">
      <c r="A100" t="s">
        <v>343</v>
      </c>
      <c r="B100">
        <v>57352</v>
      </c>
      <c r="C100" t="s">
        <v>52</v>
      </c>
      <c r="D100" t="s">
        <v>248</v>
      </c>
      <c r="E100" t="s">
        <v>253</v>
      </c>
      <c r="F100" t="s">
        <v>254</v>
      </c>
      <c r="G100" t="s">
        <v>255</v>
      </c>
    </row>
    <row r="101" spans="1:7" x14ac:dyDescent="0.3">
      <c r="A101" t="s">
        <v>229</v>
      </c>
      <c r="B101">
        <v>57392</v>
      </c>
      <c r="C101" t="s">
        <v>23</v>
      </c>
      <c r="D101" t="s">
        <v>248</v>
      </c>
      <c r="E101" t="s">
        <v>253</v>
      </c>
      <c r="F101" t="s">
        <v>254</v>
      </c>
      <c r="G101" t="s">
        <v>255</v>
      </c>
    </row>
    <row r="102" spans="1:7" x14ac:dyDescent="0.3">
      <c r="A102" t="s">
        <v>344</v>
      </c>
      <c r="B102">
        <v>57041</v>
      </c>
      <c r="C102" t="s">
        <v>24</v>
      </c>
      <c r="D102" t="s">
        <v>248</v>
      </c>
      <c r="E102" t="s">
        <v>253</v>
      </c>
      <c r="F102" t="s">
        <v>254</v>
      </c>
      <c r="G102" t="s">
        <v>255</v>
      </c>
    </row>
    <row r="103" spans="1:7" x14ac:dyDescent="0.3">
      <c r="A103" t="s">
        <v>345</v>
      </c>
      <c r="B103">
        <v>57254</v>
      </c>
      <c r="C103" t="s">
        <v>24</v>
      </c>
      <c r="D103" t="s">
        <v>278</v>
      </c>
      <c r="E103" t="s">
        <v>253</v>
      </c>
      <c r="F103" t="s">
        <v>254</v>
      </c>
      <c r="G103" t="s">
        <v>255</v>
      </c>
    </row>
    <row r="104" spans="1:7" x14ac:dyDescent="0.3">
      <c r="A104" t="s">
        <v>232</v>
      </c>
      <c r="B104">
        <v>57383</v>
      </c>
      <c r="C104" t="s">
        <v>52</v>
      </c>
      <c r="D104" t="s">
        <v>248</v>
      </c>
      <c r="E104" t="s">
        <v>253</v>
      </c>
      <c r="F104" t="s">
        <v>254</v>
      </c>
      <c r="G104" t="s">
        <v>255</v>
      </c>
    </row>
    <row r="105" spans="1:7" x14ac:dyDescent="0.3">
      <c r="A105" t="s">
        <v>346</v>
      </c>
      <c r="B105">
        <v>56922</v>
      </c>
      <c r="C105" t="s">
        <v>51</v>
      </c>
      <c r="D105" t="s">
        <v>252</v>
      </c>
      <c r="E105" t="s">
        <v>253</v>
      </c>
      <c r="F105" t="s">
        <v>254</v>
      </c>
      <c r="G105" t="s">
        <v>255</v>
      </c>
    </row>
    <row r="106" spans="1:7" x14ac:dyDescent="0.3">
      <c r="A106" t="s">
        <v>347</v>
      </c>
      <c r="B106">
        <v>57006</v>
      </c>
      <c r="C106" t="s">
        <v>24</v>
      </c>
      <c r="D106" t="s">
        <v>252</v>
      </c>
      <c r="E106" t="s">
        <v>253</v>
      </c>
      <c r="F106" t="s">
        <v>254</v>
      </c>
      <c r="G106" t="s">
        <v>255</v>
      </c>
    </row>
    <row r="107" spans="1:7" x14ac:dyDescent="0.3">
      <c r="A107" t="s">
        <v>348</v>
      </c>
      <c r="B107">
        <v>56500</v>
      </c>
      <c r="C107" t="s">
        <v>47</v>
      </c>
      <c r="D107" t="s">
        <v>297</v>
      </c>
      <c r="E107" t="s">
        <v>262</v>
      </c>
      <c r="F107" t="s">
        <v>250</v>
      </c>
      <c r="G107" t="s">
        <v>251</v>
      </c>
    </row>
    <row r="108" spans="1:7" x14ac:dyDescent="0.3">
      <c r="A108" t="s">
        <v>95</v>
      </c>
      <c r="B108">
        <v>56322</v>
      </c>
      <c r="C108" t="s">
        <v>96</v>
      </c>
      <c r="D108" t="s">
        <v>248</v>
      </c>
      <c r="E108" t="s">
        <v>349</v>
      </c>
      <c r="F108" t="s">
        <v>350</v>
      </c>
      <c r="G108" t="s">
        <v>251</v>
      </c>
    </row>
    <row r="109" spans="1:7" x14ac:dyDescent="0.3">
      <c r="A109" t="s">
        <v>351</v>
      </c>
      <c r="B109">
        <v>57203</v>
      </c>
      <c r="C109" t="s">
        <v>233</v>
      </c>
      <c r="D109" t="s">
        <v>252</v>
      </c>
      <c r="E109" t="s">
        <v>253</v>
      </c>
      <c r="F109" t="s">
        <v>254</v>
      </c>
      <c r="G109" t="s">
        <v>255</v>
      </c>
    </row>
    <row r="110" spans="1:7" x14ac:dyDescent="0.3">
      <c r="A110" t="s">
        <v>352</v>
      </c>
      <c r="B110">
        <v>57382</v>
      </c>
      <c r="C110" t="s">
        <v>52</v>
      </c>
      <c r="D110" t="s">
        <v>248</v>
      </c>
      <c r="E110" t="s">
        <v>253</v>
      </c>
      <c r="F110" t="s">
        <v>254</v>
      </c>
      <c r="G110" t="s">
        <v>255</v>
      </c>
    </row>
    <row r="111" spans="1:7" x14ac:dyDescent="0.3">
      <c r="A111" t="s">
        <v>353</v>
      </c>
      <c r="B111">
        <v>57422</v>
      </c>
      <c r="C111" t="s">
        <v>24</v>
      </c>
      <c r="D111" t="s">
        <v>278</v>
      </c>
      <c r="E111" t="s">
        <v>253</v>
      </c>
      <c r="F111" t="s">
        <v>254</v>
      </c>
      <c r="G111" t="s">
        <v>255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40210-6F03-46B2-8A81-E94F988B8620}">
  <sheetPr filterMode="1"/>
  <dimension ref="A1:P234"/>
  <sheetViews>
    <sheetView workbookViewId="0">
      <selection activeCell="K15" sqref="K15"/>
    </sheetView>
  </sheetViews>
  <sheetFormatPr defaultRowHeight="14.4" x14ac:dyDescent="0.3"/>
  <cols>
    <col min="2" max="2" width="27.77734375" customWidth="1"/>
  </cols>
  <sheetData>
    <row r="1" spans="1:16" x14ac:dyDescent="0.3">
      <c r="B1" t="s">
        <v>237</v>
      </c>
      <c r="O1">
        <v>229</v>
      </c>
      <c r="P1" t="s">
        <v>354</v>
      </c>
    </row>
    <row r="2" spans="1:16" x14ac:dyDescent="0.3">
      <c r="B2" t="s">
        <v>356</v>
      </c>
      <c r="O2">
        <f>O1-EIAthru2010!M7</f>
        <v>123</v>
      </c>
      <c r="P2" t="s">
        <v>493</v>
      </c>
    </row>
    <row r="3" spans="1:16" x14ac:dyDescent="0.3">
      <c r="B3" t="s">
        <v>357</v>
      </c>
      <c r="O3">
        <f>O1-O2</f>
        <v>106</v>
      </c>
      <c r="P3" t="s">
        <v>494</v>
      </c>
    </row>
    <row r="4" spans="1:16" x14ac:dyDescent="0.3">
      <c r="A4" t="s">
        <v>547</v>
      </c>
      <c r="B4" t="s">
        <v>240</v>
      </c>
      <c r="K4">
        <f>SUM(K6:K234)</f>
        <v>104</v>
      </c>
    </row>
    <row r="5" spans="1:16" x14ac:dyDescent="0.3">
      <c r="A5" t="s">
        <v>546</v>
      </c>
      <c r="B5" t="s">
        <v>241</v>
      </c>
      <c r="C5" t="s">
        <v>242</v>
      </c>
      <c r="D5" t="s">
        <v>2</v>
      </c>
      <c r="E5" t="s">
        <v>243</v>
      </c>
      <c r="F5" t="s">
        <v>244</v>
      </c>
      <c r="G5" t="s">
        <v>245</v>
      </c>
      <c r="H5" t="s">
        <v>246</v>
      </c>
      <c r="K5" s="7" t="s">
        <v>495</v>
      </c>
      <c r="L5" s="51" t="s">
        <v>496</v>
      </c>
      <c r="M5" t="s">
        <v>519</v>
      </c>
      <c r="N5" t="s">
        <v>518</v>
      </c>
    </row>
    <row r="6" spans="1:16" hidden="1" x14ac:dyDescent="0.3">
      <c r="A6">
        <v>1</v>
      </c>
      <c r="B6" t="s">
        <v>358</v>
      </c>
      <c r="C6">
        <v>57310</v>
      </c>
      <c r="D6" t="s">
        <v>24</v>
      </c>
      <c r="E6" t="s">
        <v>278</v>
      </c>
      <c r="F6" t="s">
        <v>253</v>
      </c>
      <c r="G6" t="s">
        <v>254</v>
      </c>
      <c r="H6" t="s">
        <v>255</v>
      </c>
      <c r="K6">
        <f>COUNTIF(EIAthru2010!$B$6:$B$111,EIAthru2011!C6)</f>
        <v>0</v>
      </c>
      <c r="L6" s="51" t="str">
        <f>IF(K6=0,"Yes","No")</f>
        <v>Yes</v>
      </c>
      <c r="M6">
        <v>77</v>
      </c>
      <c r="N6" s="51" t="s">
        <v>500</v>
      </c>
    </row>
    <row r="7" spans="1:16" hidden="1" x14ac:dyDescent="0.3">
      <c r="A7">
        <f>A6+1</f>
        <v>2</v>
      </c>
      <c r="B7" t="s">
        <v>359</v>
      </c>
      <c r="C7">
        <v>57458</v>
      </c>
      <c r="D7" t="s">
        <v>52</v>
      </c>
      <c r="E7" t="s">
        <v>252</v>
      </c>
      <c r="F7" t="s">
        <v>253</v>
      </c>
      <c r="G7" t="s">
        <v>254</v>
      </c>
      <c r="H7" t="s">
        <v>255</v>
      </c>
      <c r="K7">
        <f>COUNTIF(EIAthru2010!$B$6:$B$111,EIAthru2011!C7)</f>
        <v>0</v>
      </c>
      <c r="L7" s="51" t="str">
        <f t="shared" ref="L7:L70" si="0">IF(K7=0,"Yes","No")</f>
        <v>Yes</v>
      </c>
      <c r="M7">
        <f t="shared" ref="M7:M70" si="1">IF(N7="Y",M6+1,M6)</f>
        <v>78</v>
      </c>
      <c r="N7" s="51" t="s">
        <v>500</v>
      </c>
    </row>
    <row r="8" spans="1:16" x14ac:dyDescent="0.3">
      <c r="A8">
        <f t="shared" ref="A8:A71" si="2">A7+1</f>
        <v>3</v>
      </c>
      <c r="B8" t="s">
        <v>360</v>
      </c>
      <c r="C8">
        <v>57640</v>
      </c>
      <c r="D8" t="s">
        <v>83</v>
      </c>
      <c r="E8" t="s">
        <v>252</v>
      </c>
      <c r="F8" t="s">
        <v>253</v>
      </c>
      <c r="G8" t="s">
        <v>254</v>
      </c>
      <c r="H8" t="s">
        <v>255</v>
      </c>
      <c r="K8">
        <f>COUNTIF(EIAthru2010!$B$6:$B$111,EIAthru2011!C8)</f>
        <v>0</v>
      </c>
      <c r="L8" s="51" t="str">
        <f t="shared" si="0"/>
        <v>Yes</v>
      </c>
      <c r="M8">
        <f t="shared" si="1"/>
        <v>79</v>
      </c>
      <c r="N8" s="51" t="s">
        <v>500</v>
      </c>
    </row>
    <row r="9" spans="1:16" hidden="1" x14ac:dyDescent="0.3">
      <c r="A9">
        <f t="shared" si="2"/>
        <v>4</v>
      </c>
      <c r="B9" t="s">
        <v>361</v>
      </c>
      <c r="C9">
        <v>57554</v>
      </c>
      <c r="D9" t="s">
        <v>51</v>
      </c>
      <c r="E9" t="s">
        <v>252</v>
      </c>
      <c r="F9" t="s">
        <v>253</v>
      </c>
      <c r="G9" t="s">
        <v>254</v>
      </c>
      <c r="H9" t="s">
        <v>255</v>
      </c>
      <c r="K9">
        <f>COUNTIF(EIAthru2010!$B$6:$B$111,EIAthru2011!C9)</f>
        <v>0</v>
      </c>
      <c r="L9" s="51" t="str">
        <f t="shared" si="0"/>
        <v>Yes</v>
      </c>
      <c r="M9">
        <f t="shared" si="1"/>
        <v>80</v>
      </c>
      <c r="N9" s="51" t="s">
        <v>500</v>
      </c>
    </row>
    <row r="10" spans="1:16" hidden="1" x14ac:dyDescent="0.3">
      <c r="A10">
        <f t="shared" si="2"/>
        <v>5</v>
      </c>
      <c r="B10" t="s">
        <v>362</v>
      </c>
      <c r="C10">
        <v>57697</v>
      </c>
      <c r="D10" t="s">
        <v>24</v>
      </c>
      <c r="E10" t="s">
        <v>252</v>
      </c>
      <c r="F10" t="s">
        <v>253</v>
      </c>
      <c r="G10" t="s">
        <v>254</v>
      </c>
      <c r="H10" t="s">
        <v>255</v>
      </c>
      <c r="K10">
        <f>COUNTIF(EIAthru2010!$B$6:$B$111,EIAthru2011!C10)</f>
        <v>0</v>
      </c>
      <c r="L10" s="51" t="str">
        <f t="shared" si="0"/>
        <v>Yes</v>
      </c>
      <c r="M10">
        <f t="shared" si="1"/>
        <v>81</v>
      </c>
      <c r="N10" s="51" t="s">
        <v>500</v>
      </c>
    </row>
    <row r="11" spans="1:16" hidden="1" x14ac:dyDescent="0.3">
      <c r="A11">
        <f t="shared" si="2"/>
        <v>6</v>
      </c>
      <c r="B11" t="s">
        <v>363</v>
      </c>
      <c r="C11">
        <v>57698</v>
      </c>
      <c r="D11" t="s">
        <v>24</v>
      </c>
      <c r="E11" t="s">
        <v>252</v>
      </c>
      <c r="F11" t="s">
        <v>253</v>
      </c>
      <c r="G11" t="s">
        <v>254</v>
      </c>
      <c r="H11" t="s">
        <v>255</v>
      </c>
      <c r="K11">
        <f>COUNTIF(EIAthru2010!$B$6:$B$111,EIAthru2011!C11)</f>
        <v>0</v>
      </c>
      <c r="L11" s="51" t="str">
        <f t="shared" si="0"/>
        <v>Yes</v>
      </c>
      <c r="M11">
        <f t="shared" si="1"/>
        <v>82</v>
      </c>
      <c r="N11" s="51" t="s">
        <v>500</v>
      </c>
    </row>
    <row r="12" spans="1:16" hidden="1" x14ac:dyDescent="0.3">
      <c r="A12">
        <f t="shared" si="2"/>
        <v>7</v>
      </c>
      <c r="B12" t="s">
        <v>247</v>
      </c>
      <c r="C12">
        <v>141</v>
      </c>
      <c r="D12" t="s">
        <v>23</v>
      </c>
      <c r="E12" t="s">
        <v>248</v>
      </c>
      <c r="F12" t="s">
        <v>249</v>
      </c>
      <c r="G12" t="s">
        <v>250</v>
      </c>
      <c r="H12" t="s">
        <v>251</v>
      </c>
      <c r="K12">
        <f>COUNTIF(EIAthru2010!$B$6:$B$111,EIAthru2011!C12)</f>
        <v>1</v>
      </c>
      <c r="L12" s="51" t="str">
        <f t="shared" si="0"/>
        <v>No</v>
      </c>
      <c r="M12">
        <f t="shared" si="1"/>
        <v>82</v>
      </c>
      <c r="N12" s="51" t="s">
        <v>517</v>
      </c>
    </row>
    <row r="13" spans="1:16" hidden="1" x14ac:dyDescent="0.3">
      <c r="A13">
        <f t="shared" si="2"/>
        <v>8</v>
      </c>
      <c r="B13" t="s">
        <v>364</v>
      </c>
      <c r="C13">
        <v>57577</v>
      </c>
      <c r="D13" t="s">
        <v>144</v>
      </c>
      <c r="E13" t="s">
        <v>252</v>
      </c>
      <c r="F13" t="s">
        <v>253</v>
      </c>
      <c r="G13" t="s">
        <v>254</v>
      </c>
      <c r="H13" t="s">
        <v>255</v>
      </c>
      <c r="K13">
        <f>COUNTIF(EIAthru2010!$B$6:$B$111,EIAthru2011!C13)</f>
        <v>0</v>
      </c>
      <c r="L13" s="51" t="str">
        <f t="shared" si="0"/>
        <v>Yes</v>
      </c>
      <c r="M13">
        <f t="shared" si="1"/>
        <v>83</v>
      </c>
      <c r="N13" s="51" t="s">
        <v>500</v>
      </c>
    </row>
    <row r="14" spans="1:16" hidden="1" x14ac:dyDescent="0.3">
      <c r="A14">
        <f t="shared" si="2"/>
        <v>9</v>
      </c>
      <c r="B14" t="s">
        <v>365</v>
      </c>
      <c r="C14">
        <v>57567</v>
      </c>
      <c r="D14" t="s">
        <v>144</v>
      </c>
      <c r="E14" t="s">
        <v>252</v>
      </c>
      <c r="F14" t="s">
        <v>253</v>
      </c>
      <c r="G14" t="s">
        <v>254</v>
      </c>
      <c r="H14" t="s">
        <v>255</v>
      </c>
      <c r="K14">
        <f>COUNTIF(EIAthru2010!$B$6:$B$111,EIAthru2011!C14)</f>
        <v>0</v>
      </c>
      <c r="L14" s="51" t="str">
        <f t="shared" si="0"/>
        <v>Yes</v>
      </c>
      <c r="M14">
        <f t="shared" si="1"/>
        <v>84</v>
      </c>
      <c r="N14" s="51" t="s">
        <v>500</v>
      </c>
    </row>
    <row r="15" spans="1:16" x14ac:dyDescent="0.3">
      <c r="A15">
        <f t="shared" si="2"/>
        <v>10</v>
      </c>
      <c r="B15" t="s">
        <v>97</v>
      </c>
      <c r="C15">
        <v>57280</v>
      </c>
      <c r="D15" t="s">
        <v>83</v>
      </c>
      <c r="E15" t="s">
        <v>252</v>
      </c>
      <c r="F15" t="s">
        <v>253</v>
      </c>
      <c r="G15" t="s">
        <v>254</v>
      </c>
      <c r="H15" t="s">
        <v>255</v>
      </c>
      <c r="K15">
        <f>COUNTIF(EIAthru2010!$B$6:$B$111,EIAthru2011!C15)</f>
        <v>1</v>
      </c>
      <c r="L15" s="51" t="str">
        <f t="shared" si="0"/>
        <v>No</v>
      </c>
      <c r="M15">
        <f t="shared" si="1"/>
        <v>84</v>
      </c>
      <c r="N15" s="51" t="s">
        <v>517</v>
      </c>
    </row>
    <row r="16" spans="1:16" hidden="1" x14ac:dyDescent="0.3">
      <c r="A16">
        <f t="shared" si="2"/>
        <v>11</v>
      </c>
      <c r="B16" t="s">
        <v>366</v>
      </c>
      <c r="C16">
        <v>57765</v>
      </c>
      <c r="D16" t="s">
        <v>23</v>
      </c>
      <c r="E16" t="s">
        <v>252</v>
      </c>
      <c r="F16" t="s">
        <v>253</v>
      </c>
      <c r="G16" t="s">
        <v>254</v>
      </c>
      <c r="H16" t="s">
        <v>255</v>
      </c>
      <c r="K16">
        <f>COUNTIF(EIAthru2010!$B$6:$B$111,EIAthru2011!C16)</f>
        <v>0</v>
      </c>
      <c r="L16" s="51" t="str">
        <f t="shared" si="0"/>
        <v>Yes</v>
      </c>
      <c r="M16">
        <f t="shared" si="1"/>
        <v>85</v>
      </c>
      <c r="N16" s="51" t="s">
        <v>500</v>
      </c>
    </row>
    <row r="17" spans="1:15" hidden="1" x14ac:dyDescent="0.3">
      <c r="A17">
        <f t="shared" si="2"/>
        <v>12</v>
      </c>
      <c r="B17" t="s">
        <v>256</v>
      </c>
      <c r="C17">
        <v>56900</v>
      </c>
      <c r="D17" t="s">
        <v>52</v>
      </c>
      <c r="E17" t="s">
        <v>278</v>
      </c>
      <c r="F17" t="s">
        <v>253</v>
      </c>
      <c r="G17" t="s">
        <v>254</v>
      </c>
      <c r="H17" t="s">
        <v>255</v>
      </c>
      <c r="K17">
        <f>COUNTIF(EIAthru2010!$B$6:$B$111,EIAthru2011!C17)</f>
        <v>1</v>
      </c>
      <c r="L17" s="51" t="str">
        <f t="shared" si="0"/>
        <v>No</v>
      </c>
      <c r="M17">
        <f t="shared" si="1"/>
        <v>85</v>
      </c>
      <c r="N17" s="51" t="s">
        <v>517</v>
      </c>
    </row>
    <row r="18" spans="1:15" hidden="1" x14ac:dyDescent="0.3">
      <c r="A18">
        <f t="shared" si="2"/>
        <v>13</v>
      </c>
      <c r="B18" t="s">
        <v>257</v>
      </c>
      <c r="C18">
        <v>56943</v>
      </c>
      <c r="D18" t="s">
        <v>24</v>
      </c>
      <c r="E18" t="s">
        <v>252</v>
      </c>
      <c r="F18" t="s">
        <v>258</v>
      </c>
      <c r="G18" t="s">
        <v>254</v>
      </c>
      <c r="H18" t="s">
        <v>259</v>
      </c>
      <c r="K18">
        <f>COUNTIF(EIAthru2010!$B$6:$B$111,EIAthru2011!C18)</f>
        <v>1</v>
      </c>
      <c r="L18" s="51" t="str">
        <f t="shared" si="0"/>
        <v>No</v>
      </c>
      <c r="M18">
        <f t="shared" si="1"/>
        <v>85</v>
      </c>
      <c r="N18" s="51" t="s">
        <v>517</v>
      </c>
    </row>
    <row r="19" spans="1:15" hidden="1" x14ac:dyDescent="0.3">
      <c r="A19">
        <f t="shared" si="2"/>
        <v>14</v>
      </c>
      <c r="B19" t="s">
        <v>367</v>
      </c>
      <c r="C19">
        <v>57359</v>
      </c>
      <c r="D19" t="s">
        <v>24</v>
      </c>
      <c r="E19" t="s">
        <v>252</v>
      </c>
      <c r="F19" t="s">
        <v>253</v>
      </c>
      <c r="G19" t="s">
        <v>254</v>
      </c>
      <c r="H19" t="s">
        <v>255</v>
      </c>
      <c r="K19">
        <f>COUNTIF(EIAthru2010!$B$6:$B$111,EIAthru2011!C19)</f>
        <v>0</v>
      </c>
      <c r="L19" s="51" t="str">
        <f t="shared" si="0"/>
        <v>Yes</v>
      </c>
      <c r="M19">
        <f t="shared" si="1"/>
        <v>85</v>
      </c>
      <c r="N19" s="51"/>
      <c r="O19" t="str">
        <f>D19</f>
        <v>CA</v>
      </c>
    </row>
    <row r="20" spans="1:15" hidden="1" x14ac:dyDescent="0.3">
      <c r="A20">
        <f t="shared" si="2"/>
        <v>15</v>
      </c>
      <c r="B20" t="s">
        <v>368</v>
      </c>
      <c r="C20">
        <v>57655</v>
      </c>
      <c r="D20" t="s">
        <v>24</v>
      </c>
      <c r="E20" t="s">
        <v>248</v>
      </c>
      <c r="F20" t="s">
        <v>253</v>
      </c>
      <c r="G20" t="s">
        <v>254</v>
      </c>
      <c r="H20" t="s">
        <v>255</v>
      </c>
      <c r="K20">
        <f>COUNTIF(EIAthru2010!$B$6:$B$111,EIAthru2011!C20)</f>
        <v>0</v>
      </c>
      <c r="L20" s="51" t="str">
        <f t="shared" si="0"/>
        <v>Yes</v>
      </c>
      <c r="M20">
        <f t="shared" si="1"/>
        <v>85</v>
      </c>
      <c r="N20" s="51"/>
      <c r="O20" t="str">
        <f>D20</f>
        <v>CA</v>
      </c>
    </row>
    <row r="21" spans="1:15" hidden="1" x14ac:dyDescent="0.3">
      <c r="A21">
        <f t="shared" si="2"/>
        <v>16</v>
      </c>
      <c r="B21" t="s">
        <v>260</v>
      </c>
      <c r="C21">
        <v>54569</v>
      </c>
      <c r="D21" t="s">
        <v>52</v>
      </c>
      <c r="E21" t="s">
        <v>261</v>
      </c>
      <c r="F21" t="s">
        <v>262</v>
      </c>
      <c r="G21" t="s">
        <v>263</v>
      </c>
      <c r="H21" t="s">
        <v>251</v>
      </c>
      <c r="K21">
        <f>COUNTIF(EIAthru2010!$B$6:$B$111,EIAthru2011!C21)</f>
        <v>1</v>
      </c>
      <c r="L21" s="51" t="str">
        <f t="shared" si="0"/>
        <v>No</v>
      </c>
      <c r="M21">
        <f t="shared" si="1"/>
        <v>85</v>
      </c>
      <c r="N21" s="51" t="s">
        <v>517</v>
      </c>
    </row>
    <row r="22" spans="1:15" hidden="1" x14ac:dyDescent="0.3">
      <c r="A22">
        <f t="shared" si="2"/>
        <v>17</v>
      </c>
      <c r="B22" t="s">
        <v>369</v>
      </c>
      <c r="C22">
        <v>57372</v>
      </c>
      <c r="D22" t="s">
        <v>370</v>
      </c>
      <c r="E22" t="s">
        <v>252</v>
      </c>
      <c r="F22" t="s">
        <v>253</v>
      </c>
      <c r="G22" t="s">
        <v>254</v>
      </c>
      <c r="H22" t="s">
        <v>255</v>
      </c>
      <c r="K22">
        <f>COUNTIF(EIAthru2010!$B$6:$B$111,EIAthru2011!C22)</f>
        <v>0</v>
      </c>
      <c r="L22" s="51" t="str">
        <f t="shared" si="0"/>
        <v>Yes</v>
      </c>
      <c r="M22">
        <f t="shared" si="1"/>
        <v>85</v>
      </c>
      <c r="N22" s="51" t="s">
        <v>517</v>
      </c>
    </row>
    <row r="23" spans="1:15" hidden="1" x14ac:dyDescent="0.3">
      <c r="A23">
        <f t="shared" si="2"/>
        <v>18</v>
      </c>
      <c r="B23" t="s">
        <v>264</v>
      </c>
      <c r="C23">
        <v>56861</v>
      </c>
      <c r="D23" t="s">
        <v>51</v>
      </c>
      <c r="E23" t="s">
        <v>252</v>
      </c>
      <c r="F23" t="s">
        <v>253</v>
      </c>
      <c r="G23" t="s">
        <v>254</v>
      </c>
      <c r="H23" t="s">
        <v>255</v>
      </c>
      <c r="K23">
        <f>COUNTIF(EIAthru2010!$B$6:$B$111,EIAthru2011!C23)</f>
        <v>1</v>
      </c>
      <c r="L23" s="51" t="str">
        <f t="shared" si="0"/>
        <v>No</v>
      </c>
      <c r="M23">
        <f t="shared" si="1"/>
        <v>85</v>
      </c>
      <c r="N23" s="51" t="s">
        <v>517</v>
      </c>
    </row>
    <row r="24" spans="1:15" hidden="1" x14ac:dyDescent="0.3">
      <c r="A24">
        <f t="shared" si="2"/>
        <v>19</v>
      </c>
      <c r="B24" t="s">
        <v>371</v>
      </c>
      <c r="C24">
        <v>57733</v>
      </c>
      <c r="D24" t="s">
        <v>52</v>
      </c>
      <c r="E24" t="s">
        <v>278</v>
      </c>
      <c r="F24" t="s">
        <v>253</v>
      </c>
      <c r="G24" t="s">
        <v>254</v>
      </c>
      <c r="H24" t="s">
        <v>255</v>
      </c>
      <c r="K24">
        <f>COUNTIF(EIAthru2010!$B$6:$B$111,EIAthru2011!C24)</f>
        <v>0</v>
      </c>
      <c r="L24" s="51" t="str">
        <f t="shared" si="0"/>
        <v>Yes</v>
      </c>
      <c r="M24">
        <f t="shared" si="1"/>
        <v>85</v>
      </c>
      <c r="N24" s="51"/>
      <c r="O24" t="str">
        <f>D24</f>
        <v>NJ</v>
      </c>
    </row>
    <row r="25" spans="1:15" hidden="1" x14ac:dyDescent="0.3">
      <c r="A25">
        <f t="shared" si="2"/>
        <v>20</v>
      </c>
      <c r="B25" t="s">
        <v>265</v>
      </c>
      <c r="C25">
        <v>57197</v>
      </c>
      <c r="D25" t="s">
        <v>138</v>
      </c>
      <c r="E25" t="s">
        <v>252</v>
      </c>
      <c r="F25" t="s">
        <v>253</v>
      </c>
      <c r="G25" t="s">
        <v>254</v>
      </c>
      <c r="H25" t="s">
        <v>255</v>
      </c>
      <c r="K25">
        <f>COUNTIF(EIAthru2010!$B$6:$B$111,EIAthru2011!C25)</f>
        <v>1</v>
      </c>
      <c r="L25" s="51" t="str">
        <f t="shared" si="0"/>
        <v>No</v>
      </c>
      <c r="M25">
        <f t="shared" si="1"/>
        <v>85</v>
      </c>
      <c r="N25" s="51" t="s">
        <v>517</v>
      </c>
    </row>
    <row r="26" spans="1:15" hidden="1" x14ac:dyDescent="0.3">
      <c r="A26">
        <f t="shared" si="2"/>
        <v>21</v>
      </c>
      <c r="B26" t="s">
        <v>266</v>
      </c>
      <c r="C26">
        <v>56862</v>
      </c>
      <c r="D26" t="s">
        <v>24</v>
      </c>
      <c r="E26" t="s">
        <v>252</v>
      </c>
      <c r="F26" t="s">
        <v>253</v>
      </c>
      <c r="G26" t="s">
        <v>254</v>
      </c>
      <c r="H26" t="s">
        <v>255</v>
      </c>
      <c r="K26">
        <f>COUNTIF(EIAthru2010!$B$6:$B$111,EIAthru2011!C26)</f>
        <v>1</v>
      </c>
      <c r="L26" s="51" t="str">
        <f t="shared" si="0"/>
        <v>No</v>
      </c>
      <c r="M26">
        <f t="shared" si="1"/>
        <v>85</v>
      </c>
      <c r="N26" s="51" t="s">
        <v>517</v>
      </c>
    </row>
    <row r="27" spans="1:15" x14ac:dyDescent="0.3">
      <c r="A27">
        <f t="shared" si="2"/>
        <v>22</v>
      </c>
      <c r="B27" t="s">
        <v>372</v>
      </c>
      <c r="C27">
        <v>57668</v>
      </c>
      <c r="D27" t="s">
        <v>83</v>
      </c>
      <c r="E27" t="s">
        <v>278</v>
      </c>
      <c r="F27" t="s">
        <v>253</v>
      </c>
      <c r="G27" t="s">
        <v>254</v>
      </c>
      <c r="H27" t="s">
        <v>255</v>
      </c>
      <c r="K27">
        <f>COUNTIF(EIAthru2010!$B$6:$B$111,EIAthru2011!C27)</f>
        <v>0</v>
      </c>
      <c r="L27" s="51" t="str">
        <f t="shared" si="0"/>
        <v>Yes</v>
      </c>
      <c r="M27">
        <f t="shared" si="1"/>
        <v>85</v>
      </c>
      <c r="N27" s="51"/>
      <c r="O27" t="str">
        <f>D27</f>
        <v>PA</v>
      </c>
    </row>
    <row r="28" spans="1:15" hidden="1" x14ac:dyDescent="0.3">
      <c r="A28">
        <f t="shared" si="2"/>
        <v>23</v>
      </c>
      <c r="B28" t="s">
        <v>267</v>
      </c>
      <c r="C28">
        <v>56944</v>
      </c>
      <c r="D28" t="s">
        <v>47</v>
      </c>
      <c r="E28" t="s">
        <v>252</v>
      </c>
      <c r="F28" t="s">
        <v>253</v>
      </c>
      <c r="G28" t="s">
        <v>254</v>
      </c>
      <c r="H28" t="s">
        <v>255</v>
      </c>
      <c r="K28">
        <f>COUNTIF(EIAthru2010!$B$6:$B$111,EIAthru2011!C28)</f>
        <v>1</v>
      </c>
      <c r="L28" s="51" t="str">
        <f t="shared" si="0"/>
        <v>No</v>
      </c>
      <c r="M28">
        <f t="shared" si="1"/>
        <v>85</v>
      </c>
      <c r="N28" s="51" t="s">
        <v>517</v>
      </c>
    </row>
    <row r="29" spans="1:15" hidden="1" x14ac:dyDescent="0.3">
      <c r="A29">
        <f t="shared" si="2"/>
        <v>24</v>
      </c>
      <c r="B29" t="s">
        <v>268</v>
      </c>
      <c r="C29">
        <v>57205</v>
      </c>
      <c r="D29" t="s">
        <v>47</v>
      </c>
      <c r="E29" t="s">
        <v>252</v>
      </c>
      <c r="F29" t="s">
        <v>253</v>
      </c>
      <c r="G29" t="s">
        <v>254</v>
      </c>
      <c r="H29" t="s">
        <v>255</v>
      </c>
      <c r="K29">
        <f>COUNTIF(EIAthru2010!$B$6:$B$111,EIAthru2011!C29)</f>
        <v>1</v>
      </c>
      <c r="L29" s="51" t="str">
        <f t="shared" si="0"/>
        <v>No</v>
      </c>
      <c r="M29">
        <f t="shared" si="1"/>
        <v>85</v>
      </c>
      <c r="N29" s="51" t="s">
        <v>517</v>
      </c>
    </row>
    <row r="30" spans="1:15" hidden="1" x14ac:dyDescent="0.3">
      <c r="A30">
        <f t="shared" si="2"/>
        <v>25</v>
      </c>
      <c r="B30" t="s">
        <v>373</v>
      </c>
      <c r="C30">
        <v>57687</v>
      </c>
      <c r="D30" t="s">
        <v>86</v>
      </c>
      <c r="E30" t="s">
        <v>252</v>
      </c>
      <c r="F30" t="s">
        <v>253</v>
      </c>
      <c r="G30" t="s">
        <v>254</v>
      </c>
      <c r="H30" t="s">
        <v>255</v>
      </c>
      <c r="K30">
        <f>COUNTIF(EIAthru2010!$B$6:$B$111,EIAthru2011!C30)</f>
        <v>0</v>
      </c>
      <c r="L30" s="51" t="str">
        <f t="shared" si="0"/>
        <v>Yes</v>
      </c>
      <c r="M30">
        <f t="shared" si="1"/>
        <v>85</v>
      </c>
      <c r="N30" s="51"/>
      <c r="O30" t="str">
        <f>D30</f>
        <v>NC</v>
      </c>
    </row>
    <row r="31" spans="1:15" hidden="1" x14ac:dyDescent="0.3">
      <c r="A31">
        <f t="shared" si="2"/>
        <v>26</v>
      </c>
      <c r="B31" t="s">
        <v>269</v>
      </c>
      <c r="C31">
        <v>56813</v>
      </c>
      <c r="D31" t="s">
        <v>24</v>
      </c>
      <c r="E31" t="s">
        <v>252</v>
      </c>
      <c r="F31" t="s">
        <v>253</v>
      </c>
      <c r="G31" t="s">
        <v>254</v>
      </c>
      <c r="H31" t="s">
        <v>255</v>
      </c>
      <c r="K31">
        <f>COUNTIF(EIAthru2010!$B$6:$B$111,EIAthru2011!C31)</f>
        <v>1</v>
      </c>
      <c r="L31" s="51" t="str">
        <f t="shared" si="0"/>
        <v>No</v>
      </c>
      <c r="M31">
        <f t="shared" si="1"/>
        <v>85</v>
      </c>
      <c r="N31" s="51" t="s">
        <v>517</v>
      </c>
    </row>
    <row r="32" spans="1:15" hidden="1" x14ac:dyDescent="0.3">
      <c r="A32">
        <f t="shared" si="2"/>
        <v>27</v>
      </c>
      <c r="B32" t="s">
        <v>141</v>
      </c>
      <c r="C32">
        <v>56768</v>
      </c>
      <c r="D32" t="s">
        <v>24</v>
      </c>
      <c r="E32" t="s">
        <v>252</v>
      </c>
      <c r="F32" t="s">
        <v>253</v>
      </c>
      <c r="G32" t="s">
        <v>254</v>
      </c>
      <c r="H32" t="s">
        <v>255</v>
      </c>
      <c r="K32">
        <f>COUNTIF(EIAthru2010!$B$6:$B$111,EIAthru2011!C32)</f>
        <v>1</v>
      </c>
      <c r="L32" s="51" t="str">
        <f t="shared" si="0"/>
        <v>No</v>
      </c>
      <c r="M32">
        <f t="shared" si="1"/>
        <v>85</v>
      </c>
      <c r="N32" s="51" t="s">
        <v>517</v>
      </c>
    </row>
    <row r="33" spans="1:15" hidden="1" x14ac:dyDescent="0.3">
      <c r="A33">
        <f t="shared" si="2"/>
        <v>28</v>
      </c>
      <c r="B33" t="s">
        <v>100</v>
      </c>
      <c r="C33">
        <v>57081</v>
      </c>
      <c r="D33" t="s">
        <v>52</v>
      </c>
      <c r="E33" t="s">
        <v>252</v>
      </c>
      <c r="F33" t="s">
        <v>253</v>
      </c>
      <c r="G33" t="s">
        <v>254</v>
      </c>
      <c r="H33" t="s">
        <v>255</v>
      </c>
      <c r="K33">
        <f>COUNTIF(EIAthru2010!$B$6:$B$111,EIAthru2011!C33)</f>
        <v>1</v>
      </c>
      <c r="L33" s="51" t="str">
        <f t="shared" si="0"/>
        <v>No</v>
      </c>
      <c r="M33">
        <f t="shared" si="1"/>
        <v>85</v>
      </c>
      <c r="N33" s="51" t="s">
        <v>517</v>
      </c>
    </row>
    <row r="34" spans="1:15" hidden="1" x14ac:dyDescent="0.3">
      <c r="A34">
        <f t="shared" si="2"/>
        <v>29</v>
      </c>
      <c r="B34" t="s">
        <v>270</v>
      </c>
      <c r="C34">
        <v>57509</v>
      </c>
      <c r="D34" t="s">
        <v>51</v>
      </c>
      <c r="E34" t="s">
        <v>252</v>
      </c>
      <c r="F34" t="s">
        <v>253</v>
      </c>
      <c r="G34" t="s">
        <v>254</v>
      </c>
      <c r="H34" t="s">
        <v>255</v>
      </c>
      <c r="K34">
        <f>COUNTIF(EIAthru2010!$B$6:$B$111,EIAthru2011!C34)</f>
        <v>1</v>
      </c>
      <c r="L34" s="51" t="str">
        <f t="shared" si="0"/>
        <v>No</v>
      </c>
      <c r="M34">
        <f t="shared" si="1"/>
        <v>85</v>
      </c>
      <c r="N34" s="51" t="s">
        <v>517</v>
      </c>
    </row>
    <row r="35" spans="1:15" hidden="1" x14ac:dyDescent="0.3">
      <c r="A35">
        <f t="shared" si="2"/>
        <v>30</v>
      </c>
      <c r="B35" t="s">
        <v>374</v>
      </c>
      <c r="C35">
        <v>57870</v>
      </c>
      <c r="D35" t="s">
        <v>24</v>
      </c>
      <c r="E35" t="s">
        <v>278</v>
      </c>
      <c r="F35" t="s">
        <v>253</v>
      </c>
      <c r="G35" t="s">
        <v>254</v>
      </c>
      <c r="H35" t="s">
        <v>255</v>
      </c>
      <c r="K35">
        <f>COUNTIF(EIAthru2010!$B$6:$B$111,EIAthru2011!C35)</f>
        <v>0</v>
      </c>
      <c r="L35" s="51" t="str">
        <f t="shared" si="0"/>
        <v>Yes</v>
      </c>
      <c r="M35">
        <f t="shared" si="1"/>
        <v>85</v>
      </c>
      <c r="N35" s="51"/>
      <c r="O35" t="str">
        <f>D35</f>
        <v>CA</v>
      </c>
    </row>
    <row r="36" spans="1:15" hidden="1" x14ac:dyDescent="0.3">
      <c r="A36">
        <f t="shared" si="2"/>
        <v>31</v>
      </c>
      <c r="B36" t="s">
        <v>375</v>
      </c>
      <c r="C36">
        <v>57734</v>
      </c>
      <c r="D36" t="s">
        <v>52</v>
      </c>
      <c r="E36" t="s">
        <v>252</v>
      </c>
      <c r="F36" t="s">
        <v>253</v>
      </c>
      <c r="G36" t="s">
        <v>254</v>
      </c>
      <c r="H36" t="s">
        <v>255</v>
      </c>
      <c r="K36">
        <f>COUNTIF(EIAthru2010!$B$6:$B$111,EIAthru2011!C36)</f>
        <v>0</v>
      </c>
      <c r="L36" s="51" t="str">
        <f t="shared" si="0"/>
        <v>Yes</v>
      </c>
      <c r="M36">
        <f t="shared" si="1"/>
        <v>85</v>
      </c>
      <c r="N36" s="51"/>
      <c r="O36" t="str">
        <f>D36</f>
        <v>NJ</v>
      </c>
    </row>
    <row r="37" spans="1:15" hidden="1" x14ac:dyDescent="0.3">
      <c r="A37">
        <f t="shared" si="2"/>
        <v>32</v>
      </c>
      <c r="B37" t="s">
        <v>376</v>
      </c>
      <c r="C37">
        <v>57481</v>
      </c>
      <c r="D37" t="s">
        <v>377</v>
      </c>
      <c r="E37" t="s">
        <v>252</v>
      </c>
      <c r="F37" t="s">
        <v>253</v>
      </c>
      <c r="G37" t="s">
        <v>254</v>
      </c>
      <c r="H37" t="s">
        <v>255</v>
      </c>
      <c r="K37">
        <f>COUNTIF(EIAthru2010!$B$6:$B$111,EIAthru2011!C37)</f>
        <v>0</v>
      </c>
      <c r="L37" s="51" t="str">
        <f t="shared" si="0"/>
        <v>Yes</v>
      </c>
      <c r="M37">
        <f t="shared" si="1"/>
        <v>86</v>
      </c>
      <c r="N37" s="51" t="s">
        <v>500</v>
      </c>
    </row>
    <row r="38" spans="1:15" hidden="1" x14ac:dyDescent="0.3">
      <c r="A38">
        <f t="shared" si="2"/>
        <v>33</v>
      </c>
      <c r="B38" t="s">
        <v>271</v>
      </c>
      <c r="C38">
        <v>57011</v>
      </c>
      <c r="D38" t="s">
        <v>24</v>
      </c>
      <c r="E38" t="s">
        <v>252</v>
      </c>
      <c r="F38" t="s">
        <v>253</v>
      </c>
      <c r="G38" t="s">
        <v>254</v>
      </c>
      <c r="H38" t="s">
        <v>255</v>
      </c>
      <c r="K38">
        <f>COUNTIF(EIAthru2010!$B$6:$B$111,EIAthru2011!C38)</f>
        <v>1</v>
      </c>
      <c r="L38" s="51" t="str">
        <f t="shared" si="0"/>
        <v>No</v>
      </c>
      <c r="M38">
        <f t="shared" si="1"/>
        <v>86</v>
      </c>
      <c r="N38" s="51" t="s">
        <v>517</v>
      </c>
    </row>
    <row r="39" spans="1:15" hidden="1" x14ac:dyDescent="0.3">
      <c r="A39">
        <f t="shared" si="2"/>
        <v>34</v>
      </c>
      <c r="B39" t="s">
        <v>272</v>
      </c>
      <c r="C39">
        <v>57243</v>
      </c>
      <c r="D39" t="s">
        <v>144</v>
      </c>
      <c r="E39" t="s">
        <v>252</v>
      </c>
      <c r="F39" t="s">
        <v>253</v>
      </c>
      <c r="G39" t="s">
        <v>254</v>
      </c>
      <c r="H39" t="s">
        <v>255</v>
      </c>
      <c r="K39">
        <f>COUNTIF(EIAthru2010!$B$6:$B$111,EIAthru2011!C39)</f>
        <v>1</v>
      </c>
      <c r="L39" s="51" t="str">
        <f t="shared" si="0"/>
        <v>No</v>
      </c>
      <c r="M39">
        <f t="shared" si="1"/>
        <v>86</v>
      </c>
      <c r="N39" s="51" t="s">
        <v>517</v>
      </c>
    </row>
    <row r="40" spans="1:15" hidden="1" x14ac:dyDescent="0.3">
      <c r="A40">
        <f t="shared" si="2"/>
        <v>35</v>
      </c>
      <c r="B40" t="s">
        <v>378</v>
      </c>
      <c r="C40">
        <v>57645</v>
      </c>
      <c r="D40" t="s">
        <v>51</v>
      </c>
      <c r="E40" t="s">
        <v>252</v>
      </c>
      <c r="F40" t="s">
        <v>253</v>
      </c>
      <c r="G40" t="s">
        <v>254</v>
      </c>
      <c r="H40" t="s">
        <v>255</v>
      </c>
      <c r="K40">
        <f>COUNTIF(EIAthru2010!$B$6:$B$111,EIAthru2011!C40)</f>
        <v>0</v>
      </c>
      <c r="L40" s="51" t="str">
        <f t="shared" si="0"/>
        <v>Yes</v>
      </c>
      <c r="M40">
        <f t="shared" si="1"/>
        <v>86</v>
      </c>
      <c r="N40" s="51"/>
      <c r="O40" t="str">
        <f>D40</f>
        <v>CO</v>
      </c>
    </row>
    <row r="41" spans="1:15" hidden="1" x14ac:dyDescent="0.3">
      <c r="A41">
        <f t="shared" si="2"/>
        <v>36</v>
      </c>
      <c r="B41" t="s">
        <v>379</v>
      </c>
      <c r="C41">
        <v>57681</v>
      </c>
      <c r="D41" t="s">
        <v>51</v>
      </c>
      <c r="E41" t="s">
        <v>252</v>
      </c>
      <c r="F41" t="s">
        <v>253</v>
      </c>
      <c r="G41" t="s">
        <v>254</v>
      </c>
      <c r="H41" t="s">
        <v>255</v>
      </c>
      <c r="K41">
        <f>COUNTIF(EIAthru2010!$B$6:$B$111,EIAthru2011!C41)</f>
        <v>0</v>
      </c>
      <c r="L41" s="51" t="str">
        <f t="shared" si="0"/>
        <v>Yes</v>
      </c>
      <c r="M41">
        <f t="shared" si="1"/>
        <v>86</v>
      </c>
      <c r="N41" s="51"/>
      <c r="O41" t="str">
        <f>D41</f>
        <v>CO</v>
      </c>
    </row>
    <row r="42" spans="1:15" hidden="1" x14ac:dyDescent="0.3">
      <c r="A42">
        <f t="shared" si="2"/>
        <v>37</v>
      </c>
      <c r="B42" t="s">
        <v>380</v>
      </c>
      <c r="C42">
        <v>57682</v>
      </c>
      <c r="D42" t="s">
        <v>24</v>
      </c>
      <c r="E42" t="s">
        <v>252</v>
      </c>
      <c r="F42" t="s">
        <v>253</v>
      </c>
      <c r="G42" t="s">
        <v>254</v>
      </c>
      <c r="H42" t="s">
        <v>255</v>
      </c>
      <c r="K42">
        <f>COUNTIF(EIAthru2010!$B$6:$B$111,EIAthru2011!C42)</f>
        <v>0</v>
      </c>
      <c r="L42" s="51" t="str">
        <f t="shared" si="0"/>
        <v>Yes</v>
      </c>
      <c r="M42">
        <f t="shared" si="1"/>
        <v>86</v>
      </c>
      <c r="N42" s="51"/>
      <c r="O42" t="str">
        <f>D42</f>
        <v>CA</v>
      </c>
    </row>
    <row r="43" spans="1:15" hidden="1" x14ac:dyDescent="0.3">
      <c r="A43">
        <f t="shared" si="2"/>
        <v>38</v>
      </c>
      <c r="B43" t="s">
        <v>381</v>
      </c>
      <c r="C43">
        <v>57561</v>
      </c>
      <c r="D43" t="s">
        <v>23</v>
      </c>
      <c r="E43" t="s">
        <v>248</v>
      </c>
      <c r="F43" t="s">
        <v>253</v>
      </c>
      <c r="G43" t="s">
        <v>254</v>
      </c>
      <c r="H43" t="s">
        <v>255</v>
      </c>
      <c r="K43">
        <f>COUNTIF(EIAthru2010!$B$6:$B$111,EIAthru2011!C43)</f>
        <v>0</v>
      </c>
      <c r="L43" s="51" t="str">
        <f t="shared" si="0"/>
        <v>Yes</v>
      </c>
      <c r="M43">
        <f t="shared" si="1"/>
        <v>87</v>
      </c>
      <c r="N43" s="51" t="s">
        <v>500</v>
      </c>
    </row>
    <row r="44" spans="1:15" x14ac:dyDescent="0.3">
      <c r="A44">
        <f t="shared" si="2"/>
        <v>39</v>
      </c>
      <c r="B44" t="s">
        <v>273</v>
      </c>
      <c r="C44">
        <v>57216</v>
      </c>
      <c r="D44" t="s">
        <v>83</v>
      </c>
      <c r="E44" t="s">
        <v>252</v>
      </c>
      <c r="F44" t="s">
        <v>253</v>
      </c>
      <c r="G44" t="s">
        <v>254</v>
      </c>
      <c r="H44" t="s">
        <v>255</v>
      </c>
      <c r="K44">
        <f>COUNTIF(EIAthru2010!$B$6:$B$111,EIAthru2011!C44)</f>
        <v>1</v>
      </c>
      <c r="L44" s="51" t="str">
        <f t="shared" si="0"/>
        <v>No</v>
      </c>
      <c r="M44">
        <f t="shared" si="1"/>
        <v>87</v>
      </c>
      <c r="N44" s="51" t="s">
        <v>517</v>
      </c>
    </row>
    <row r="45" spans="1:15" hidden="1" x14ac:dyDescent="0.3">
      <c r="A45">
        <f t="shared" si="2"/>
        <v>40</v>
      </c>
      <c r="B45" t="s">
        <v>274</v>
      </c>
      <c r="C45">
        <v>57334</v>
      </c>
      <c r="D45" t="s">
        <v>86</v>
      </c>
      <c r="E45" t="s">
        <v>248</v>
      </c>
      <c r="F45" t="s">
        <v>253</v>
      </c>
      <c r="G45" t="s">
        <v>254</v>
      </c>
      <c r="H45" t="s">
        <v>255</v>
      </c>
      <c r="K45">
        <f>COUNTIF(EIAthru2010!$B$6:$B$111,EIAthru2011!C45)</f>
        <v>1</v>
      </c>
      <c r="L45" s="51" t="str">
        <f t="shared" si="0"/>
        <v>No</v>
      </c>
      <c r="M45">
        <f t="shared" si="1"/>
        <v>87</v>
      </c>
      <c r="N45" s="51" t="s">
        <v>517</v>
      </c>
    </row>
    <row r="46" spans="1:15" hidden="1" x14ac:dyDescent="0.3">
      <c r="A46">
        <f t="shared" si="2"/>
        <v>41</v>
      </c>
      <c r="B46" t="s">
        <v>275</v>
      </c>
      <c r="C46">
        <v>57336</v>
      </c>
      <c r="D46" t="s">
        <v>86</v>
      </c>
      <c r="E46" t="s">
        <v>248</v>
      </c>
      <c r="F46" t="s">
        <v>253</v>
      </c>
      <c r="G46" t="s">
        <v>254</v>
      </c>
      <c r="H46" t="s">
        <v>255</v>
      </c>
      <c r="K46">
        <f>COUNTIF(EIAthru2010!$B$6:$B$111,EIAthru2011!C46)</f>
        <v>1</v>
      </c>
      <c r="L46" s="51" t="str">
        <f t="shared" si="0"/>
        <v>No</v>
      </c>
      <c r="M46">
        <f t="shared" si="1"/>
        <v>87</v>
      </c>
      <c r="N46" s="51" t="s">
        <v>517</v>
      </c>
    </row>
    <row r="47" spans="1:15" hidden="1" x14ac:dyDescent="0.3">
      <c r="A47">
        <f t="shared" si="2"/>
        <v>42</v>
      </c>
      <c r="B47" t="s">
        <v>276</v>
      </c>
      <c r="C47">
        <v>57335</v>
      </c>
      <c r="D47" t="s">
        <v>86</v>
      </c>
      <c r="E47" t="s">
        <v>248</v>
      </c>
      <c r="F47" t="s">
        <v>253</v>
      </c>
      <c r="G47" t="s">
        <v>254</v>
      </c>
      <c r="H47" t="s">
        <v>255</v>
      </c>
      <c r="K47">
        <f>COUNTIF(EIAthru2010!$B$6:$B$111,EIAthru2011!C47)</f>
        <v>1</v>
      </c>
      <c r="L47" s="51" t="str">
        <f t="shared" si="0"/>
        <v>No</v>
      </c>
      <c r="M47">
        <f t="shared" si="1"/>
        <v>87</v>
      </c>
      <c r="N47" s="51" t="s">
        <v>517</v>
      </c>
    </row>
    <row r="48" spans="1:15" hidden="1" x14ac:dyDescent="0.3">
      <c r="A48">
        <f t="shared" si="2"/>
        <v>43</v>
      </c>
      <c r="B48" t="s">
        <v>277</v>
      </c>
      <c r="C48">
        <v>57694</v>
      </c>
      <c r="D48" t="s">
        <v>51</v>
      </c>
      <c r="E48" t="s">
        <v>278</v>
      </c>
      <c r="F48" t="s">
        <v>253</v>
      </c>
      <c r="G48" t="s">
        <v>254</v>
      </c>
      <c r="H48" t="s">
        <v>255</v>
      </c>
      <c r="K48">
        <f>COUNTIF(EIAthru2010!$B$6:$B$111,EIAthru2011!C48)</f>
        <v>1</v>
      </c>
      <c r="L48" s="51" t="str">
        <f t="shared" si="0"/>
        <v>No</v>
      </c>
      <c r="M48">
        <f t="shared" si="1"/>
        <v>87</v>
      </c>
      <c r="N48" s="51" t="s">
        <v>517</v>
      </c>
    </row>
    <row r="49" spans="1:15" hidden="1" x14ac:dyDescent="0.3">
      <c r="A49">
        <f t="shared" si="2"/>
        <v>44</v>
      </c>
      <c r="B49" t="s">
        <v>279</v>
      </c>
      <c r="C49">
        <v>57692</v>
      </c>
      <c r="D49" t="s">
        <v>51</v>
      </c>
      <c r="E49" t="s">
        <v>278</v>
      </c>
      <c r="F49" t="s">
        <v>253</v>
      </c>
      <c r="G49" t="s">
        <v>254</v>
      </c>
      <c r="H49" t="s">
        <v>255</v>
      </c>
      <c r="K49">
        <f>COUNTIF(EIAthru2010!$B$6:$B$111,EIAthru2011!C49)</f>
        <v>1</v>
      </c>
      <c r="L49" s="51" t="str">
        <f t="shared" si="0"/>
        <v>No</v>
      </c>
      <c r="M49">
        <f t="shared" si="1"/>
        <v>87</v>
      </c>
      <c r="N49" s="51" t="s">
        <v>517</v>
      </c>
    </row>
    <row r="50" spans="1:15" hidden="1" x14ac:dyDescent="0.3">
      <c r="A50">
        <f t="shared" si="2"/>
        <v>45</v>
      </c>
      <c r="B50" t="s">
        <v>382</v>
      </c>
      <c r="C50">
        <v>57473</v>
      </c>
      <c r="D50" t="s">
        <v>64</v>
      </c>
      <c r="E50" t="s">
        <v>252</v>
      </c>
      <c r="F50" t="s">
        <v>253</v>
      </c>
      <c r="G50" t="s">
        <v>254</v>
      </c>
      <c r="H50" t="s">
        <v>255</v>
      </c>
      <c r="K50">
        <f>COUNTIF(EIAthru2010!$B$6:$B$111,EIAthru2011!C50)</f>
        <v>0</v>
      </c>
      <c r="L50" s="51" t="str">
        <f t="shared" si="0"/>
        <v>Yes</v>
      </c>
      <c r="M50">
        <f t="shared" si="1"/>
        <v>87</v>
      </c>
      <c r="N50" s="51"/>
      <c r="O50" t="str">
        <f>D50</f>
        <v>MA</v>
      </c>
    </row>
    <row r="51" spans="1:15" hidden="1" x14ac:dyDescent="0.3">
      <c r="A51">
        <f t="shared" si="2"/>
        <v>46</v>
      </c>
      <c r="B51" t="s">
        <v>280</v>
      </c>
      <c r="C51">
        <v>56929</v>
      </c>
      <c r="D51" t="s">
        <v>109</v>
      </c>
      <c r="E51" t="s">
        <v>248</v>
      </c>
      <c r="F51" t="s">
        <v>253</v>
      </c>
      <c r="G51" t="s">
        <v>254</v>
      </c>
      <c r="H51" t="s">
        <v>255</v>
      </c>
      <c r="K51">
        <f>COUNTIF(EIAthru2010!$B$6:$B$111,EIAthru2011!C51)</f>
        <v>1</v>
      </c>
      <c r="L51" s="51" t="str">
        <f t="shared" si="0"/>
        <v>No</v>
      </c>
      <c r="M51">
        <f t="shared" si="1"/>
        <v>87</v>
      </c>
      <c r="N51" s="51" t="s">
        <v>517</v>
      </c>
    </row>
    <row r="52" spans="1:15" hidden="1" x14ac:dyDescent="0.3">
      <c r="A52">
        <f t="shared" si="2"/>
        <v>47</v>
      </c>
      <c r="B52" t="s">
        <v>281</v>
      </c>
      <c r="C52">
        <v>10823</v>
      </c>
      <c r="D52" t="s">
        <v>64</v>
      </c>
      <c r="E52" t="s">
        <v>261</v>
      </c>
      <c r="F52" t="s">
        <v>282</v>
      </c>
      <c r="G52" t="s">
        <v>283</v>
      </c>
      <c r="H52" t="s">
        <v>251</v>
      </c>
      <c r="K52">
        <f>COUNTIF(EIAthru2010!$B$6:$B$111,EIAthru2011!C52)</f>
        <v>1</v>
      </c>
      <c r="L52" s="51" t="str">
        <f t="shared" si="0"/>
        <v>No</v>
      </c>
      <c r="M52">
        <f t="shared" si="1"/>
        <v>87</v>
      </c>
      <c r="N52" s="51" t="s">
        <v>517</v>
      </c>
    </row>
    <row r="53" spans="1:15" hidden="1" x14ac:dyDescent="0.3">
      <c r="A53">
        <f t="shared" si="2"/>
        <v>48</v>
      </c>
      <c r="B53" t="s">
        <v>383</v>
      </c>
      <c r="C53">
        <v>57575</v>
      </c>
      <c r="D53" t="s">
        <v>144</v>
      </c>
      <c r="E53" t="s">
        <v>252</v>
      </c>
      <c r="F53" t="s">
        <v>253</v>
      </c>
      <c r="G53" t="s">
        <v>254</v>
      </c>
      <c r="H53" t="s">
        <v>255</v>
      </c>
      <c r="K53">
        <f>COUNTIF(EIAthru2010!$B$6:$B$111,EIAthru2011!C53)</f>
        <v>0</v>
      </c>
      <c r="L53" s="51" t="str">
        <f t="shared" si="0"/>
        <v>Yes</v>
      </c>
      <c r="M53">
        <f t="shared" si="1"/>
        <v>87</v>
      </c>
      <c r="N53" s="51"/>
      <c r="O53" t="str">
        <f>D53</f>
        <v>NM</v>
      </c>
    </row>
    <row r="54" spans="1:15" hidden="1" x14ac:dyDescent="0.3">
      <c r="A54">
        <f t="shared" si="2"/>
        <v>49</v>
      </c>
      <c r="B54" t="s">
        <v>284</v>
      </c>
      <c r="C54">
        <v>56815</v>
      </c>
      <c r="D54" t="s">
        <v>51</v>
      </c>
      <c r="E54" t="s">
        <v>252</v>
      </c>
      <c r="F54" t="s">
        <v>253</v>
      </c>
      <c r="G54" t="s">
        <v>254</v>
      </c>
      <c r="H54" t="s">
        <v>255</v>
      </c>
      <c r="K54">
        <f>COUNTIF(EIAthru2010!$B$6:$B$111,EIAthru2011!C54)</f>
        <v>1</v>
      </c>
      <c r="L54" s="51" t="str">
        <f t="shared" si="0"/>
        <v>No</v>
      </c>
      <c r="M54">
        <f t="shared" si="1"/>
        <v>87</v>
      </c>
      <c r="N54" s="51" t="s">
        <v>517</v>
      </c>
    </row>
    <row r="55" spans="1:15" hidden="1" x14ac:dyDescent="0.3">
      <c r="A55">
        <f t="shared" si="2"/>
        <v>50</v>
      </c>
      <c r="B55" t="s">
        <v>384</v>
      </c>
      <c r="C55">
        <v>57827</v>
      </c>
      <c r="D55" t="s">
        <v>24</v>
      </c>
      <c r="E55" t="s">
        <v>278</v>
      </c>
      <c r="F55" t="s">
        <v>253</v>
      </c>
      <c r="G55" t="s">
        <v>254</v>
      </c>
      <c r="H55" t="s">
        <v>255</v>
      </c>
      <c r="K55">
        <f>COUNTIF(EIAthru2010!$B$6:$B$111,EIAthru2011!C55)</f>
        <v>0</v>
      </c>
      <c r="L55" s="51" t="str">
        <f t="shared" si="0"/>
        <v>Yes</v>
      </c>
      <c r="M55">
        <f t="shared" si="1"/>
        <v>87</v>
      </c>
      <c r="N55" s="51"/>
      <c r="O55" t="str">
        <f>D55</f>
        <v>CA</v>
      </c>
    </row>
    <row r="56" spans="1:15" hidden="1" x14ac:dyDescent="0.3">
      <c r="A56">
        <f t="shared" si="2"/>
        <v>51</v>
      </c>
      <c r="B56" t="s">
        <v>385</v>
      </c>
      <c r="C56">
        <v>57337</v>
      </c>
      <c r="D56" t="s">
        <v>386</v>
      </c>
      <c r="E56" t="s">
        <v>252</v>
      </c>
      <c r="F56" t="s">
        <v>253</v>
      </c>
      <c r="G56" t="s">
        <v>254</v>
      </c>
      <c r="H56" t="s">
        <v>255</v>
      </c>
      <c r="K56">
        <f>COUNTIF(EIAthru2010!$B$6:$B$111,EIAthru2011!C56)</f>
        <v>0</v>
      </c>
      <c r="L56" s="51" t="str">
        <f t="shared" si="0"/>
        <v>Yes</v>
      </c>
      <c r="M56">
        <f t="shared" si="1"/>
        <v>88</v>
      </c>
      <c r="N56" s="51" t="s">
        <v>500</v>
      </c>
    </row>
    <row r="57" spans="1:15" hidden="1" x14ac:dyDescent="0.3">
      <c r="A57">
        <f t="shared" si="2"/>
        <v>52</v>
      </c>
      <c r="B57" t="s">
        <v>285</v>
      </c>
      <c r="C57">
        <v>57397</v>
      </c>
      <c r="D57" t="s">
        <v>52</v>
      </c>
      <c r="E57" t="s">
        <v>252</v>
      </c>
      <c r="F57" t="s">
        <v>253</v>
      </c>
      <c r="G57" t="s">
        <v>254</v>
      </c>
      <c r="H57" t="s">
        <v>255</v>
      </c>
      <c r="K57">
        <f>COUNTIF(EIAthru2010!$B$6:$B$111,EIAthru2011!C57)</f>
        <v>1</v>
      </c>
      <c r="L57" s="51" t="str">
        <f t="shared" si="0"/>
        <v>No</v>
      </c>
      <c r="M57">
        <f t="shared" si="1"/>
        <v>88</v>
      </c>
      <c r="N57" s="51" t="s">
        <v>517</v>
      </c>
    </row>
    <row r="58" spans="1:15" hidden="1" x14ac:dyDescent="0.3">
      <c r="A58">
        <f t="shared" si="2"/>
        <v>53</v>
      </c>
      <c r="B58" t="s">
        <v>286</v>
      </c>
      <c r="C58">
        <v>56814</v>
      </c>
      <c r="D58" t="s">
        <v>24</v>
      </c>
      <c r="E58" t="s">
        <v>252</v>
      </c>
      <c r="F58" t="s">
        <v>253</v>
      </c>
      <c r="G58" t="s">
        <v>254</v>
      </c>
      <c r="H58" t="s">
        <v>255</v>
      </c>
      <c r="K58">
        <f>COUNTIF(EIAthru2010!$B$6:$B$111,EIAthru2011!C58)</f>
        <v>1</v>
      </c>
      <c r="L58" s="51" t="str">
        <f t="shared" si="0"/>
        <v>No</v>
      </c>
      <c r="M58">
        <f t="shared" si="1"/>
        <v>88</v>
      </c>
      <c r="N58" s="51" t="s">
        <v>517</v>
      </c>
    </row>
    <row r="59" spans="1:15" hidden="1" x14ac:dyDescent="0.3">
      <c r="A59">
        <f t="shared" si="2"/>
        <v>54</v>
      </c>
      <c r="B59" t="s">
        <v>287</v>
      </c>
      <c r="C59">
        <v>57574</v>
      </c>
      <c r="D59" t="s">
        <v>52</v>
      </c>
      <c r="E59" t="s">
        <v>252</v>
      </c>
      <c r="F59" t="s">
        <v>253</v>
      </c>
      <c r="G59" t="s">
        <v>254</v>
      </c>
      <c r="H59" t="s">
        <v>255</v>
      </c>
      <c r="K59">
        <f>COUNTIF(EIAthru2010!$B$6:$B$111,EIAthru2011!C59)</f>
        <v>1</v>
      </c>
      <c r="L59" s="51" t="str">
        <f t="shared" si="0"/>
        <v>No</v>
      </c>
      <c r="M59">
        <f t="shared" si="1"/>
        <v>88</v>
      </c>
      <c r="N59" s="51" t="s">
        <v>517</v>
      </c>
    </row>
    <row r="60" spans="1:15" hidden="1" x14ac:dyDescent="0.3">
      <c r="A60">
        <f t="shared" si="2"/>
        <v>55</v>
      </c>
      <c r="B60" t="s">
        <v>288</v>
      </c>
      <c r="C60">
        <v>57191</v>
      </c>
      <c r="D60" t="s">
        <v>112</v>
      </c>
      <c r="E60" t="s">
        <v>252</v>
      </c>
      <c r="F60" t="s">
        <v>253</v>
      </c>
      <c r="G60" t="s">
        <v>254</v>
      </c>
      <c r="H60" t="s">
        <v>255</v>
      </c>
      <c r="K60">
        <f>COUNTIF(EIAthru2010!$B$6:$B$111,EIAthru2011!C60)</f>
        <v>1</v>
      </c>
      <c r="L60" s="51" t="str">
        <f t="shared" si="0"/>
        <v>No</v>
      </c>
      <c r="M60">
        <f t="shared" si="1"/>
        <v>88</v>
      </c>
      <c r="N60" s="51" t="s">
        <v>517</v>
      </c>
    </row>
    <row r="61" spans="1:15" hidden="1" x14ac:dyDescent="0.3">
      <c r="A61">
        <f t="shared" si="2"/>
        <v>56</v>
      </c>
      <c r="B61" t="s">
        <v>387</v>
      </c>
      <c r="C61">
        <v>57930</v>
      </c>
      <c r="D61" t="s">
        <v>23</v>
      </c>
      <c r="E61" t="s">
        <v>252</v>
      </c>
      <c r="F61" t="s">
        <v>253</v>
      </c>
      <c r="G61" t="s">
        <v>254</v>
      </c>
      <c r="H61" t="s">
        <v>255</v>
      </c>
      <c r="K61">
        <f>COUNTIF(EIAthru2010!$B$6:$B$111,EIAthru2011!C61)</f>
        <v>0</v>
      </c>
      <c r="L61" s="51" t="str">
        <f t="shared" si="0"/>
        <v>Yes</v>
      </c>
      <c r="M61">
        <f t="shared" si="1"/>
        <v>88</v>
      </c>
      <c r="N61" s="51"/>
      <c r="O61" t="str">
        <f>D61</f>
        <v>AZ</v>
      </c>
    </row>
    <row r="62" spans="1:15" hidden="1" x14ac:dyDescent="0.3">
      <c r="A62">
        <f t="shared" si="2"/>
        <v>57</v>
      </c>
      <c r="B62" t="s">
        <v>289</v>
      </c>
      <c r="C62">
        <v>57506</v>
      </c>
      <c r="D62" t="s">
        <v>24</v>
      </c>
      <c r="E62" t="s">
        <v>252</v>
      </c>
      <c r="F62" t="s">
        <v>253</v>
      </c>
      <c r="G62" t="s">
        <v>254</v>
      </c>
      <c r="H62" t="s">
        <v>255</v>
      </c>
      <c r="K62">
        <f>COUNTIF(EIAthru2010!$B$6:$B$111,EIAthru2011!C62)</f>
        <v>1</v>
      </c>
      <c r="L62" s="51" t="str">
        <f t="shared" si="0"/>
        <v>No</v>
      </c>
      <c r="M62">
        <f t="shared" si="1"/>
        <v>88</v>
      </c>
      <c r="N62" s="51" t="s">
        <v>517</v>
      </c>
    </row>
    <row r="63" spans="1:15" hidden="1" x14ac:dyDescent="0.3">
      <c r="A63">
        <f t="shared" si="2"/>
        <v>58</v>
      </c>
      <c r="B63" t="s">
        <v>388</v>
      </c>
      <c r="C63">
        <v>57747</v>
      </c>
      <c r="D63" t="s">
        <v>389</v>
      </c>
      <c r="E63" t="s">
        <v>252</v>
      </c>
      <c r="F63" t="s">
        <v>253</v>
      </c>
      <c r="G63" t="s">
        <v>254</v>
      </c>
      <c r="H63" t="s">
        <v>255</v>
      </c>
      <c r="K63">
        <f>COUNTIF(EIAthru2010!$B$6:$B$111,EIAthru2011!C63)</f>
        <v>0</v>
      </c>
      <c r="L63" s="51" t="str">
        <f t="shared" si="0"/>
        <v>Yes</v>
      </c>
      <c r="M63">
        <f t="shared" si="1"/>
        <v>88</v>
      </c>
      <c r="N63" s="51" t="s">
        <v>517</v>
      </c>
    </row>
    <row r="64" spans="1:15" hidden="1" x14ac:dyDescent="0.3">
      <c r="A64">
        <f t="shared" si="2"/>
        <v>59</v>
      </c>
      <c r="B64" t="s">
        <v>390</v>
      </c>
      <c r="C64">
        <v>57776</v>
      </c>
      <c r="D64" t="s">
        <v>52</v>
      </c>
      <c r="E64" t="s">
        <v>252</v>
      </c>
      <c r="F64" t="s">
        <v>253</v>
      </c>
      <c r="G64" t="s">
        <v>254</v>
      </c>
      <c r="H64" t="s">
        <v>255</v>
      </c>
      <c r="K64">
        <f>COUNTIF(EIAthru2010!$B$6:$B$111,EIAthru2011!C64)</f>
        <v>0</v>
      </c>
      <c r="L64" s="51" t="str">
        <f t="shared" si="0"/>
        <v>Yes</v>
      </c>
      <c r="M64">
        <f t="shared" si="1"/>
        <v>88</v>
      </c>
      <c r="N64" s="51"/>
      <c r="O64" t="str">
        <f>D64</f>
        <v>NJ</v>
      </c>
    </row>
    <row r="65" spans="1:15" hidden="1" x14ac:dyDescent="0.3">
      <c r="A65">
        <f t="shared" si="2"/>
        <v>60</v>
      </c>
      <c r="B65" t="s">
        <v>391</v>
      </c>
      <c r="C65">
        <v>57498</v>
      </c>
      <c r="D65" t="s">
        <v>24</v>
      </c>
      <c r="E65" t="s">
        <v>248</v>
      </c>
      <c r="F65" t="s">
        <v>253</v>
      </c>
      <c r="G65" t="s">
        <v>254</v>
      </c>
      <c r="H65" t="s">
        <v>255</v>
      </c>
      <c r="K65">
        <f>COUNTIF(EIAthru2010!$B$6:$B$111,EIAthru2011!C65)</f>
        <v>0</v>
      </c>
      <c r="L65" s="51" t="str">
        <f t="shared" si="0"/>
        <v>Yes</v>
      </c>
      <c r="M65">
        <f t="shared" si="1"/>
        <v>89</v>
      </c>
      <c r="N65" s="51" t="s">
        <v>500</v>
      </c>
    </row>
    <row r="66" spans="1:15" hidden="1" x14ac:dyDescent="0.3">
      <c r="A66">
        <f t="shared" si="2"/>
        <v>61</v>
      </c>
      <c r="B66" t="s">
        <v>392</v>
      </c>
      <c r="C66">
        <v>57485</v>
      </c>
      <c r="D66" t="s">
        <v>52</v>
      </c>
      <c r="E66" t="s">
        <v>252</v>
      </c>
      <c r="F66" t="s">
        <v>253</v>
      </c>
      <c r="G66" t="s">
        <v>254</v>
      </c>
      <c r="H66" t="s">
        <v>255</v>
      </c>
      <c r="K66">
        <f>COUNTIF(EIAthru2010!$B$6:$B$111,EIAthru2011!C66)</f>
        <v>0</v>
      </c>
      <c r="L66" s="51" t="str">
        <f t="shared" si="0"/>
        <v>Yes</v>
      </c>
      <c r="M66">
        <f t="shared" si="1"/>
        <v>89</v>
      </c>
      <c r="N66" s="51"/>
      <c r="O66" t="str">
        <f>D66</f>
        <v>NJ</v>
      </c>
    </row>
    <row r="67" spans="1:15" hidden="1" x14ac:dyDescent="0.3">
      <c r="A67">
        <f t="shared" si="2"/>
        <v>62</v>
      </c>
      <c r="B67" t="s">
        <v>393</v>
      </c>
      <c r="C67">
        <v>57487</v>
      </c>
      <c r="D67" t="s">
        <v>52</v>
      </c>
      <c r="E67" t="s">
        <v>252</v>
      </c>
      <c r="F67" t="s">
        <v>253</v>
      </c>
      <c r="G67" t="s">
        <v>254</v>
      </c>
      <c r="H67" t="s">
        <v>255</v>
      </c>
      <c r="K67">
        <f>COUNTIF(EIAthru2010!$B$6:$B$111,EIAthru2011!C67)</f>
        <v>0</v>
      </c>
      <c r="L67" s="51" t="str">
        <f t="shared" si="0"/>
        <v>Yes</v>
      </c>
      <c r="M67">
        <f t="shared" si="1"/>
        <v>89</v>
      </c>
      <c r="N67" s="51"/>
      <c r="O67" t="str">
        <f>D67</f>
        <v>NJ</v>
      </c>
    </row>
    <row r="68" spans="1:15" hidden="1" x14ac:dyDescent="0.3">
      <c r="A68">
        <f t="shared" si="2"/>
        <v>63</v>
      </c>
      <c r="B68" t="s">
        <v>290</v>
      </c>
      <c r="C68">
        <v>56909</v>
      </c>
      <c r="D68" t="s">
        <v>24</v>
      </c>
      <c r="E68" t="s">
        <v>278</v>
      </c>
      <c r="F68" t="s">
        <v>253</v>
      </c>
      <c r="G68" t="s">
        <v>254</v>
      </c>
      <c r="H68" t="s">
        <v>255</v>
      </c>
      <c r="K68">
        <f>COUNTIF(EIAthru2010!$B$6:$B$111,EIAthru2011!C68)</f>
        <v>1</v>
      </c>
      <c r="L68" s="51" t="str">
        <f t="shared" si="0"/>
        <v>No</v>
      </c>
      <c r="M68">
        <f t="shared" si="1"/>
        <v>89</v>
      </c>
      <c r="N68" s="51" t="s">
        <v>517</v>
      </c>
    </row>
    <row r="69" spans="1:15" hidden="1" x14ac:dyDescent="0.3">
      <c r="A69">
        <f t="shared" si="2"/>
        <v>64</v>
      </c>
      <c r="B69" t="s">
        <v>291</v>
      </c>
      <c r="C69">
        <v>57377</v>
      </c>
      <c r="D69" t="s">
        <v>51</v>
      </c>
      <c r="E69" t="s">
        <v>252</v>
      </c>
      <c r="F69" t="s">
        <v>253</v>
      </c>
      <c r="G69" t="s">
        <v>254</v>
      </c>
      <c r="H69" t="s">
        <v>255</v>
      </c>
      <c r="K69">
        <f>COUNTIF(EIAthru2010!$B$6:$B$111,EIAthru2011!C69)</f>
        <v>1</v>
      </c>
      <c r="L69" s="51" t="str">
        <f t="shared" si="0"/>
        <v>No</v>
      </c>
      <c r="M69">
        <f t="shared" si="1"/>
        <v>89</v>
      </c>
      <c r="N69" s="51" t="s">
        <v>517</v>
      </c>
    </row>
    <row r="70" spans="1:15" x14ac:dyDescent="0.3">
      <c r="A70">
        <f t="shared" si="2"/>
        <v>65</v>
      </c>
      <c r="B70" t="s">
        <v>201</v>
      </c>
      <c r="C70">
        <v>57390</v>
      </c>
      <c r="D70" t="s">
        <v>83</v>
      </c>
      <c r="E70" t="s">
        <v>252</v>
      </c>
      <c r="F70" t="s">
        <v>253</v>
      </c>
      <c r="G70" t="s">
        <v>254</v>
      </c>
      <c r="H70" t="s">
        <v>255</v>
      </c>
      <c r="K70">
        <f>COUNTIF(EIAthru2010!$B$6:$B$111,EIAthru2011!C70)</f>
        <v>1</v>
      </c>
      <c r="L70" s="51" t="str">
        <f t="shared" si="0"/>
        <v>No</v>
      </c>
      <c r="M70">
        <f t="shared" si="1"/>
        <v>89</v>
      </c>
      <c r="N70" s="51" t="s">
        <v>517</v>
      </c>
    </row>
    <row r="71" spans="1:15" hidden="1" x14ac:dyDescent="0.3">
      <c r="A71">
        <f t="shared" si="2"/>
        <v>66</v>
      </c>
      <c r="B71" t="s">
        <v>292</v>
      </c>
      <c r="C71">
        <v>56877</v>
      </c>
      <c r="D71" t="s">
        <v>52</v>
      </c>
      <c r="E71" t="s">
        <v>252</v>
      </c>
      <c r="F71" t="s">
        <v>253</v>
      </c>
      <c r="G71" t="s">
        <v>254</v>
      </c>
      <c r="H71" t="s">
        <v>255</v>
      </c>
      <c r="K71">
        <f>COUNTIF(EIAthru2010!$B$6:$B$111,EIAthru2011!C71)</f>
        <v>1</v>
      </c>
      <c r="L71" s="51" t="str">
        <f t="shared" ref="L71:L134" si="3">IF(K71=0,"Yes","No")</f>
        <v>No</v>
      </c>
      <c r="M71">
        <f t="shared" ref="M71:M134" si="4">IF(N71="Y",M70+1,M70)</f>
        <v>89</v>
      </c>
      <c r="N71" s="51" t="s">
        <v>517</v>
      </c>
    </row>
    <row r="72" spans="1:15" hidden="1" x14ac:dyDescent="0.3">
      <c r="A72">
        <f t="shared" ref="A72:A135" si="5">A71+1</f>
        <v>67</v>
      </c>
      <c r="B72" t="s">
        <v>394</v>
      </c>
      <c r="C72">
        <v>57591</v>
      </c>
      <c r="D72" t="s">
        <v>144</v>
      </c>
      <c r="E72" t="s">
        <v>252</v>
      </c>
      <c r="F72" t="s">
        <v>253</v>
      </c>
      <c r="G72" t="s">
        <v>254</v>
      </c>
      <c r="H72" t="s">
        <v>255</v>
      </c>
      <c r="K72">
        <f>COUNTIF(EIAthru2010!$B$6:$B$111,EIAthru2011!C72)</f>
        <v>0</v>
      </c>
      <c r="L72" s="51" t="str">
        <f t="shared" si="3"/>
        <v>Yes</v>
      </c>
      <c r="M72">
        <f t="shared" si="4"/>
        <v>89</v>
      </c>
      <c r="N72" s="51" t="s">
        <v>517</v>
      </c>
    </row>
    <row r="73" spans="1:15" hidden="1" x14ac:dyDescent="0.3">
      <c r="A73">
        <f t="shared" si="5"/>
        <v>68</v>
      </c>
      <c r="B73" t="s">
        <v>293</v>
      </c>
      <c r="C73">
        <v>57269</v>
      </c>
      <c r="D73" t="s">
        <v>64</v>
      </c>
      <c r="E73" t="s">
        <v>248</v>
      </c>
      <c r="F73" t="s">
        <v>253</v>
      </c>
      <c r="G73" t="s">
        <v>254</v>
      </c>
      <c r="H73" t="s">
        <v>255</v>
      </c>
      <c r="K73">
        <f>COUNTIF(EIAthru2010!$B$6:$B$111,EIAthru2011!C73)</f>
        <v>1</v>
      </c>
      <c r="L73" s="51" t="str">
        <f t="shared" si="3"/>
        <v>No</v>
      </c>
      <c r="M73">
        <f t="shared" si="4"/>
        <v>89</v>
      </c>
      <c r="N73" s="51" t="s">
        <v>517</v>
      </c>
    </row>
    <row r="74" spans="1:15" hidden="1" x14ac:dyDescent="0.3">
      <c r="A74">
        <f t="shared" si="5"/>
        <v>69</v>
      </c>
      <c r="B74" t="s">
        <v>395</v>
      </c>
      <c r="C74">
        <v>57869</v>
      </c>
      <c r="D74" t="s">
        <v>52</v>
      </c>
      <c r="E74" t="s">
        <v>252</v>
      </c>
      <c r="F74" t="s">
        <v>253</v>
      </c>
      <c r="G74" t="s">
        <v>254</v>
      </c>
      <c r="H74" t="s">
        <v>255</v>
      </c>
      <c r="K74">
        <f>COUNTIF(EIAthru2010!$B$6:$B$111,EIAthru2011!C74)</f>
        <v>0</v>
      </c>
      <c r="L74" s="51" t="str">
        <f t="shared" si="3"/>
        <v>Yes</v>
      </c>
      <c r="M74">
        <f t="shared" si="4"/>
        <v>89</v>
      </c>
      <c r="N74" s="51"/>
      <c r="O74" t="str">
        <f>D74</f>
        <v>NJ</v>
      </c>
    </row>
    <row r="75" spans="1:15" hidden="1" x14ac:dyDescent="0.3">
      <c r="A75">
        <f t="shared" si="5"/>
        <v>70</v>
      </c>
      <c r="B75" t="s">
        <v>396</v>
      </c>
      <c r="C75">
        <v>57931</v>
      </c>
      <c r="D75" t="s">
        <v>64</v>
      </c>
      <c r="E75" t="s">
        <v>252</v>
      </c>
      <c r="F75" t="s">
        <v>253</v>
      </c>
      <c r="G75" t="s">
        <v>254</v>
      </c>
      <c r="H75" t="s">
        <v>255</v>
      </c>
      <c r="K75">
        <f>COUNTIF(EIAthru2010!$B$6:$B$111,EIAthru2011!C75)</f>
        <v>0</v>
      </c>
      <c r="L75" s="51" t="str">
        <f t="shared" si="3"/>
        <v>Yes</v>
      </c>
      <c r="M75">
        <f t="shared" si="4"/>
        <v>89</v>
      </c>
      <c r="N75" s="51"/>
      <c r="O75" t="str">
        <f>D75</f>
        <v>MA</v>
      </c>
    </row>
    <row r="76" spans="1:15" hidden="1" x14ac:dyDescent="0.3">
      <c r="A76">
        <f t="shared" si="5"/>
        <v>71</v>
      </c>
      <c r="B76" t="s">
        <v>397</v>
      </c>
      <c r="C76">
        <v>57563</v>
      </c>
      <c r="D76" t="s">
        <v>23</v>
      </c>
      <c r="E76" t="s">
        <v>248</v>
      </c>
      <c r="F76" t="s">
        <v>253</v>
      </c>
      <c r="G76" t="s">
        <v>254</v>
      </c>
      <c r="H76" t="s">
        <v>255</v>
      </c>
      <c r="K76">
        <f>COUNTIF(EIAthru2010!$B$6:$B$111,EIAthru2011!C76)</f>
        <v>0</v>
      </c>
      <c r="L76" s="51" t="str">
        <f t="shared" si="3"/>
        <v>Yes</v>
      </c>
      <c r="M76">
        <f t="shared" si="4"/>
        <v>90</v>
      </c>
      <c r="N76" s="51" t="s">
        <v>500</v>
      </c>
    </row>
    <row r="77" spans="1:15" hidden="1" x14ac:dyDescent="0.3">
      <c r="A77">
        <f t="shared" si="5"/>
        <v>72</v>
      </c>
      <c r="B77" t="s">
        <v>398</v>
      </c>
      <c r="C77">
        <v>57799</v>
      </c>
      <c r="D77" t="s">
        <v>52</v>
      </c>
      <c r="E77" t="s">
        <v>252</v>
      </c>
      <c r="F77" t="s">
        <v>253</v>
      </c>
      <c r="G77" t="s">
        <v>254</v>
      </c>
      <c r="H77" t="s">
        <v>255</v>
      </c>
      <c r="K77">
        <f>COUNTIF(EIAthru2010!$B$6:$B$111,EIAthru2011!C77)</f>
        <v>0</v>
      </c>
      <c r="L77" s="51" t="str">
        <f t="shared" si="3"/>
        <v>Yes</v>
      </c>
      <c r="M77">
        <f t="shared" si="4"/>
        <v>90</v>
      </c>
      <c r="N77" s="51"/>
      <c r="O77" t="str">
        <f>D77</f>
        <v>NJ</v>
      </c>
    </row>
    <row r="78" spans="1:15" hidden="1" x14ac:dyDescent="0.3">
      <c r="A78">
        <f t="shared" si="5"/>
        <v>73</v>
      </c>
      <c r="B78" t="s">
        <v>399</v>
      </c>
      <c r="C78">
        <v>57841</v>
      </c>
      <c r="D78" t="s">
        <v>24</v>
      </c>
      <c r="E78" t="s">
        <v>252</v>
      </c>
      <c r="F78" t="s">
        <v>253</v>
      </c>
      <c r="G78" t="s">
        <v>254</v>
      </c>
      <c r="H78" t="s">
        <v>255</v>
      </c>
      <c r="K78">
        <f>COUNTIF(EIAthru2010!$B$6:$B$111,EIAthru2011!C78)</f>
        <v>0</v>
      </c>
      <c r="L78" s="51" t="str">
        <f t="shared" si="3"/>
        <v>Yes</v>
      </c>
      <c r="M78">
        <f t="shared" si="4"/>
        <v>90</v>
      </c>
      <c r="N78" s="51"/>
      <c r="O78" t="str">
        <f>D78</f>
        <v>CA</v>
      </c>
    </row>
    <row r="79" spans="1:15" hidden="1" x14ac:dyDescent="0.3">
      <c r="A79">
        <f t="shared" si="5"/>
        <v>74</v>
      </c>
      <c r="B79" t="s">
        <v>400</v>
      </c>
      <c r="C79">
        <v>57840</v>
      </c>
      <c r="D79" t="s">
        <v>24</v>
      </c>
      <c r="E79" t="s">
        <v>252</v>
      </c>
      <c r="F79" t="s">
        <v>253</v>
      </c>
      <c r="G79" t="s">
        <v>254</v>
      </c>
      <c r="H79" t="s">
        <v>255</v>
      </c>
      <c r="K79">
        <f>COUNTIF(EIAthru2010!$B$6:$B$111,EIAthru2011!C79)</f>
        <v>0</v>
      </c>
      <c r="L79" s="51" t="str">
        <f t="shared" si="3"/>
        <v>Yes</v>
      </c>
      <c r="M79">
        <f t="shared" si="4"/>
        <v>90</v>
      </c>
      <c r="N79" s="51"/>
      <c r="O79" t="str">
        <f>D79</f>
        <v>CA</v>
      </c>
    </row>
    <row r="80" spans="1:15" hidden="1" x14ac:dyDescent="0.3">
      <c r="A80">
        <f t="shared" si="5"/>
        <v>75</v>
      </c>
      <c r="B80" t="s">
        <v>401</v>
      </c>
      <c r="C80">
        <v>57895</v>
      </c>
      <c r="D80" t="s">
        <v>24</v>
      </c>
      <c r="E80" t="s">
        <v>278</v>
      </c>
      <c r="F80" t="s">
        <v>253</v>
      </c>
      <c r="G80" t="s">
        <v>254</v>
      </c>
      <c r="H80" t="s">
        <v>255</v>
      </c>
      <c r="K80">
        <f>COUNTIF(EIAthru2010!$B$6:$B$111,EIAthru2011!C80)</f>
        <v>0</v>
      </c>
      <c r="L80" s="51" t="str">
        <f t="shared" si="3"/>
        <v>Yes</v>
      </c>
      <c r="M80">
        <f t="shared" si="4"/>
        <v>90</v>
      </c>
      <c r="N80" s="51"/>
      <c r="O80" t="str">
        <f>D80</f>
        <v>CA</v>
      </c>
    </row>
    <row r="81" spans="1:15" hidden="1" x14ac:dyDescent="0.3">
      <c r="A81">
        <f t="shared" si="5"/>
        <v>76</v>
      </c>
      <c r="B81" t="s">
        <v>402</v>
      </c>
      <c r="C81">
        <v>57674</v>
      </c>
      <c r="D81" t="s">
        <v>64</v>
      </c>
      <c r="E81" t="s">
        <v>248</v>
      </c>
      <c r="F81" t="s">
        <v>253</v>
      </c>
      <c r="G81" t="s">
        <v>254</v>
      </c>
      <c r="H81" t="s">
        <v>255</v>
      </c>
      <c r="K81">
        <f>COUNTIF(EIAthru2010!$B$6:$B$111,EIAthru2011!C81)</f>
        <v>0</v>
      </c>
      <c r="L81" s="51" t="str">
        <f t="shared" si="3"/>
        <v>Yes</v>
      </c>
      <c r="M81">
        <f t="shared" si="4"/>
        <v>90</v>
      </c>
      <c r="N81" s="51"/>
      <c r="O81" t="str">
        <f>D81</f>
        <v>MA</v>
      </c>
    </row>
    <row r="82" spans="1:15" hidden="1" x14ac:dyDescent="0.3">
      <c r="A82">
        <f t="shared" si="5"/>
        <v>77</v>
      </c>
      <c r="B82" t="s">
        <v>294</v>
      </c>
      <c r="C82">
        <v>57202</v>
      </c>
      <c r="D82" t="s">
        <v>109</v>
      </c>
      <c r="E82" t="s">
        <v>252</v>
      </c>
      <c r="F82" t="s">
        <v>253</v>
      </c>
      <c r="G82" t="s">
        <v>254</v>
      </c>
      <c r="H82" t="s">
        <v>255</v>
      </c>
      <c r="K82">
        <f>COUNTIF(EIAthru2010!$B$6:$B$111,EIAthru2011!C82)</f>
        <v>1</v>
      </c>
      <c r="L82" s="51" t="str">
        <f t="shared" si="3"/>
        <v>No</v>
      </c>
      <c r="M82">
        <f t="shared" si="4"/>
        <v>90</v>
      </c>
      <c r="N82" s="51" t="s">
        <v>517</v>
      </c>
    </row>
    <row r="83" spans="1:15" hidden="1" x14ac:dyDescent="0.3">
      <c r="A83">
        <f t="shared" si="5"/>
        <v>78</v>
      </c>
      <c r="B83" t="s">
        <v>403</v>
      </c>
      <c r="C83">
        <v>57723</v>
      </c>
      <c r="D83" t="s">
        <v>52</v>
      </c>
      <c r="E83" t="s">
        <v>252</v>
      </c>
      <c r="F83" t="s">
        <v>253</v>
      </c>
      <c r="G83" t="s">
        <v>254</v>
      </c>
      <c r="H83" t="s">
        <v>255</v>
      </c>
      <c r="K83">
        <f>COUNTIF(EIAthru2010!$B$6:$B$111,EIAthru2011!C83)</f>
        <v>0</v>
      </c>
      <c r="L83" s="51" t="str">
        <f t="shared" si="3"/>
        <v>Yes</v>
      </c>
      <c r="M83">
        <f t="shared" si="4"/>
        <v>90</v>
      </c>
      <c r="N83" s="51"/>
      <c r="O83" t="str">
        <f>D83</f>
        <v>NJ</v>
      </c>
    </row>
    <row r="84" spans="1:15" hidden="1" x14ac:dyDescent="0.3">
      <c r="A84">
        <f t="shared" si="5"/>
        <v>79</v>
      </c>
      <c r="B84" t="s">
        <v>295</v>
      </c>
      <c r="C84">
        <v>57525</v>
      </c>
      <c r="D84" t="s">
        <v>73</v>
      </c>
      <c r="E84" t="s">
        <v>252</v>
      </c>
      <c r="F84" t="s">
        <v>253</v>
      </c>
      <c r="G84" t="s">
        <v>254</v>
      </c>
      <c r="H84" t="s">
        <v>255</v>
      </c>
      <c r="K84">
        <f>COUNTIF(EIAthru2010!$B$6:$B$111,EIAthru2011!C84)</f>
        <v>1</v>
      </c>
      <c r="L84" s="51" t="str">
        <f t="shared" si="3"/>
        <v>No</v>
      </c>
      <c r="M84">
        <f t="shared" si="4"/>
        <v>90</v>
      </c>
      <c r="N84" s="51" t="s">
        <v>517</v>
      </c>
    </row>
    <row r="85" spans="1:15" hidden="1" x14ac:dyDescent="0.3">
      <c r="A85">
        <f t="shared" si="5"/>
        <v>80</v>
      </c>
      <c r="B85" t="s">
        <v>404</v>
      </c>
      <c r="C85">
        <v>57330</v>
      </c>
      <c r="D85" t="s">
        <v>386</v>
      </c>
      <c r="E85" t="s">
        <v>252</v>
      </c>
      <c r="F85" t="s">
        <v>253</v>
      </c>
      <c r="G85" t="s">
        <v>254</v>
      </c>
      <c r="H85" t="s">
        <v>255</v>
      </c>
      <c r="K85">
        <f>COUNTIF(EIAthru2010!$B$6:$B$111,EIAthru2011!C85)</f>
        <v>0</v>
      </c>
      <c r="L85" s="51" t="str">
        <f t="shared" si="3"/>
        <v>Yes</v>
      </c>
      <c r="M85">
        <f t="shared" si="4"/>
        <v>90</v>
      </c>
      <c r="N85" s="51"/>
      <c r="O85" t="str">
        <f>D85</f>
        <v>DE</v>
      </c>
    </row>
    <row r="86" spans="1:15" hidden="1" x14ac:dyDescent="0.3">
      <c r="A86">
        <f t="shared" si="5"/>
        <v>81</v>
      </c>
      <c r="B86" t="s">
        <v>405</v>
      </c>
      <c r="C86">
        <v>57775</v>
      </c>
      <c r="D86" t="s">
        <v>23</v>
      </c>
      <c r="E86" t="s">
        <v>252</v>
      </c>
      <c r="F86" t="s">
        <v>349</v>
      </c>
      <c r="G86" t="s">
        <v>350</v>
      </c>
      <c r="H86" t="s">
        <v>251</v>
      </c>
      <c r="K86">
        <f>COUNTIF(EIAthru2010!$B$6:$B$111,EIAthru2011!C86)</f>
        <v>0</v>
      </c>
      <c r="L86" s="51" t="str">
        <f t="shared" si="3"/>
        <v>Yes</v>
      </c>
      <c r="M86">
        <f t="shared" si="4"/>
        <v>90</v>
      </c>
      <c r="N86" s="51"/>
      <c r="O86" t="str">
        <f>D86</f>
        <v>AZ</v>
      </c>
    </row>
    <row r="87" spans="1:15" x14ac:dyDescent="0.3">
      <c r="A87">
        <f t="shared" si="5"/>
        <v>82</v>
      </c>
      <c r="B87" t="s">
        <v>296</v>
      </c>
      <c r="C87">
        <v>57412</v>
      </c>
      <c r="D87" t="s">
        <v>83</v>
      </c>
      <c r="E87" t="s">
        <v>297</v>
      </c>
      <c r="F87" t="s">
        <v>253</v>
      </c>
      <c r="G87" t="s">
        <v>254</v>
      </c>
      <c r="H87" t="s">
        <v>255</v>
      </c>
      <c r="K87">
        <f>COUNTIF(EIAthru2010!$B$6:$B$111,EIAthru2011!C87)</f>
        <v>1</v>
      </c>
      <c r="L87" s="51" t="str">
        <f t="shared" si="3"/>
        <v>No</v>
      </c>
      <c r="M87">
        <f t="shared" si="4"/>
        <v>90</v>
      </c>
      <c r="N87" s="51" t="s">
        <v>517</v>
      </c>
    </row>
    <row r="88" spans="1:15" hidden="1" x14ac:dyDescent="0.3">
      <c r="A88">
        <f t="shared" si="5"/>
        <v>83</v>
      </c>
      <c r="B88" t="s">
        <v>298</v>
      </c>
      <c r="C88">
        <v>57009</v>
      </c>
      <c r="D88" t="s">
        <v>24</v>
      </c>
      <c r="E88" t="s">
        <v>252</v>
      </c>
      <c r="F88" t="s">
        <v>253</v>
      </c>
      <c r="G88" t="s">
        <v>254</v>
      </c>
      <c r="H88" t="s">
        <v>255</v>
      </c>
      <c r="K88">
        <f>COUNTIF(EIAthru2010!$B$6:$B$111,EIAthru2011!C88)</f>
        <v>1</v>
      </c>
      <c r="L88" s="51" t="str">
        <f t="shared" si="3"/>
        <v>No</v>
      </c>
      <c r="M88">
        <f t="shared" si="4"/>
        <v>90</v>
      </c>
      <c r="N88" s="51" t="s">
        <v>517</v>
      </c>
    </row>
    <row r="89" spans="1:15" hidden="1" x14ac:dyDescent="0.3">
      <c r="A89">
        <f t="shared" si="5"/>
        <v>84</v>
      </c>
      <c r="B89" t="s">
        <v>406</v>
      </c>
      <c r="C89">
        <v>57868</v>
      </c>
      <c r="D89" t="s">
        <v>52</v>
      </c>
      <c r="E89" t="s">
        <v>297</v>
      </c>
      <c r="F89" t="s">
        <v>253</v>
      </c>
      <c r="G89" t="s">
        <v>254</v>
      </c>
      <c r="H89" t="s">
        <v>255</v>
      </c>
      <c r="K89">
        <f>COUNTIF(EIAthru2010!$B$6:$B$111,EIAthru2011!C89)</f>
        <v>0</v>
      </c>
      <c r="L89" s="51" t="str">
        <f t="shared" si="3"/>
        <v>Yes</v>
      </c>
      <c r="M89">
        <f t="shared" si="4"/>
        <v>90</v>
      </c>
      <c r="N89" s="51"/>
      <c r="O89" t="str">
        <f>D89</f>
        <v>NJ</v>
      </c>
    </row>
    <row r="90" spans="1:15" hidden="1" x14ac:dyDescent="0.3">
      <c r="A90">
        <f t="shared" si="5"/>
        <v>85</v>
      </c>
      <c r="B90" t="s">
        <v>407</v>
      </c>
      <c r="C90">
        <v>57556</v>
      </c>
      <c r="D90" t="s">
        <v>23</v>
      </c>
      <c r="E90" t="s">
        <v>248</v>
      </c>
      <c r="F90" t="s">
        <v>253</v>
      </c>
      <c r="G90" t="s">
        <v>254</v>
      </c>
      <c r="H90" t="s">
        <v>255</v>
      </c>
      <c r="K90">
        <f>COUNTIF(EIAthru2010!$B$6:$B$111,EIAthru2011!C90)</f>
        <v>0</v>
      </c>
      <c r="L90" s="51" t="str">
        <f t="shared" si="3"/>
        <v>Yes</v>
      </c>
      <c r="M90">
        <f t="shared" si="4"/>
        <v>90</v>
      </c>
      <c r="N90" s="51"/>
      <c r="O90" t="str">
        <f>D90</f>
        <v>AZ</v>
      </c>
    </row>
    <row r="91" spans="1:15" hidden="1" x14ac:dyDescent="0.3">
      <c r="A91">
        <f t="shared" si="5"/>
        <v>86</v>
      </c>
      <c r="B91" t="s">
        <v>299</v>
      </c>
      <c r="C91">
        <v>56667</v>
      </c>
      <c r="D91" t="s">
        <v>73</v>
      </c>
      <c r="E91" t="s">
        <v>252</v>
      </c>
      <c r="F91" t="s">
        <v>253</v>
      </c>
      <c r="G91" t="s">
        <v>254</v>
      </c>
      <c r="H91" t="s">
        <v>255</v>
      </c>
      <c r="K91">
        <f>COUNTIF(EIAthru2010!$B$6:$B$111,EIAthru2011!C91)</f>
        <v>1</v>
      </c>
      <c r="L91" s="51" t="str">
        <f t="shared" si="3"/>
        <v>No</v>
      </c>
      <c r="M91">
        <f t="shared" si="4"/>
        <v>90</v>
      </c>
      <c r="N91" s="51" t="s">
        <v>517</v>
      </c>
    </row>
    <row r="92" spans="1:15" hidden="1" x14ac:dyDescent="0.3">
      <c r="A92">
        <f t="shared" si="5"/>
        <v>87</v>
      </c>
      <c r="B92" t="s">
        <v>408</v>
      </c>
      <c r="C92">
        <v>57576</v>
      </c>
      <c r="D92" t="s">
        <v>144</v>
      </c>
      <c r="E92" t="s">
        <v>252</v>
      </c>
      <c r="F92" t="s">
        <v>253</v>
      </c>
      <c r="G92" t="s">
        <v>254</v>
      </c>
      <c r="H92" t="s">
        <v>255</v>
      </c>
      <c r="K92">
        <f>COUNTIF(EIAthru2010!$B$6:$B$111,EIAthru2011!C92)</f>
        <v>0</v>
      </c>
      <c r="L92" s="51" t="str">
        <f t="shared" si="3"/>
        <v>Yes</v>
      </c>
      <c r="M92">
        <f t="shared" si="4"/>
        <v>90</v>
      </c>
      <c r="N92" s="51"/>
      <c r="O92" t="str">
        <f>D92</f>
        <v>NM</v>
      </c>
    </row>
    <row r="93" spans="1:15" hidden="1" x14ac:dyDescent="0.3">
      <c r="A93">
        <f t="shared" si="5"/>
        <v>88</v>
      </c>
      <c r="B93" t="s">
        <v>409</v>
      </c>
      <c r="C93">
        <v>57488</v>
      </c>
      <c r="D93" t="s">
        <v>52</v>
      </c>
      <c r="E93" t="s">
        <v>252</v>
      </c>
      <c r="F93" t="s">
        <v>253</v>
      </c>
      <c r="G93" t="s">
        <v>254</v>
      </c>
      <c r="H93" t="s">
        <v>255</v>
      </c>
      <c r="K93">
        <f>COUNTIF(EIAthru2010!$B$6:$B$111,EIAthru2011!C93)</f>
        <v>0</v>
      </c>
      <c r="L93" s="51" t="str">
        <f t="shared" si="3"/>
        <v>Yes</v>
      </c>
      <c r="M93">
        <f t="shared" si="4"/>
        <v>90</v>
      </c>
      <c r="N93" s="51"/>
      <c r="O93" t="str">
        <f>D93</f>
        <v>NJ</v>
      </c>
    </row>
    <row r="94" spans="1:15" hidden="1" x14ac:dyDescent="0.3">
      <c r="A94">
        <f t="shared" si="5"/>
        <v>89</v>
      </c>
      <c r="B94" t="s">
        <v>300</v>
      </c>
      <c r="C94">
        <v>57381</v>
      </c>
      <c r="D94" t="s">
        <v>52</v>
      </c>
      <c r="E94" t="s">
        <v>248</v>
      </c>
      <c r="F94" t="s">
        <v>253</v>
      </c>
      <c r="G94" t="s">
        <v>254</v>
      </c>
      <c r="H94" t="s">
        <v>255</v>
      </c>
      <c r="K94">
        <f>COUNTIF(EIAthru2010!$B$6:$B$111,EIAthru2011!C94)</f>
        <v>1</v>
      </c>
      <c r="L94" s="51" t="str">
        <f t="shared" si="3"/>
        <v>No</v>
      </c>
      <c r="M94">
        <f t="shared" si="4"/>
        <v>90</v>
      </c>
      <c r="N94" s="51" t="s">
        <v>517</v>
      </c>
    </row>
    <row r="95" spans="1:15" hidden="1" x14ac:dyDescent="0.3">
      <c r="A95">
        <f t="shared" si="5"/>
        <v>90</v>
      </c>
      <c r="B95" t="s">
        <v>301</v>
      </c>
      <c r="C95">
        <v>10444</v>
      </c>
      <c r="D95" t="s">
        <v>24</v>
      </c>
      <c r="E95" t="s">
        <v>252</v>
      </c>
      <c r="F95" t="s">
        <v>258</v>
      </c>
      <c r="G95" t="s">
        <v>254</v>
      </c>
      <c r="H95" t="s">
        <v>259</v>
      </c>
      <c r="K95">
        <f>COUNTIF(EIAthru2010!$B$6:$B$111,EIAthru2011!C95)</f>
        <v>1</v>
      </c>
      <c r="L95" s="51" t="str">
        <f t="shared" si="3"/>
        <v>No</v>
      </c>
      <c r="M95">
        <f t="shared" si="4"/>
        <v>90</v>
      </c>
      <c r="N95" s="51" t="s">
        <v>517</v>
      </c>
    </row>
    <row r="96" spans="1:15" hidden="1" x14ac:dyDescent="0.3">
      <c r="A96">
        <f t="shared" si="5"/>
        <v>91</v>
      </c>
      <c r="B96" t="s">
        <v>410</v>
      </c>
      <c r="C96">
        <v>57589</v>
      </c>
      <c r="D96" t="s">
        <v>411</v>
      </c>
      <c r="E96" t="s">
        <v>252</v>
      </c>
      <c r="F96" t="s">
        <v>253</v>
      </c>
      <c r="G96" t="s">
        <v>254</v>
      </c>
      <c r="H96" t="s">
        <v>255</v>
      </c>
      <c r="K96">
        <f>COUNTIF(EIAthru2010!$B$6:$B$111,EIAthru2011!C96)</f>
        <v>0</v>
      </c>
      <c r="L96" s="51" t="str">
        <f t="shared" si="3"/>
        <v>Yes</v>
      </c>
      <c r="M96">
        <f t="shared" si="4"/>
        <v>90</v>
      </c>
      <c r="N96" s="51"/>
      <c r="O96" t="str">
        <f>D96</f>
        <v>NY</v>
      </c>
    </row>
    <row r="97" spans="1:15" x14ac:dyDescent="0.3">
      <c r="A97">
        <f t="shared" si="5"/>
        <v>92</v>
      </c>
      <c r="B97" t="s">
        <v>412</v>
      </c>
      <c r="C97">
        <v>57768</v>
      </c>
      <c r="D97" t="s">
        <v>83</v>
      </c>
      <c r="E97" t="s">
        <v>252</v>
      </c>
      <c r="F97" t="s">
        <v>253</v>
      </c>
      <c r="G97" t="s">
        <v>254</v>
      </c>
      <c r="H97" t="s">
        <v>255</v>
      </c>
      <c r="K97">
        <f>COUNTIF(EIAthru2010!$B$6:$B$111,EIAthru2011!C97)</f>
        <v>0</v>
      </c>
      <c r="L97" s="51" t="str">
        <f t="shared" si="3"/>
        <v>Yes</v>
      </c>
      <c r="M97">
        <f t="shared" si="4"/>
        <v>90</v>
      </c>
      <c r="N97" s="51"/>
      <c r="O97" t="str">
        <f>D97</f>
        <v>PA</v>
      </c>
    </row>
    <row r="98" spans="1:15" hidden="1" x14ac:dyDescent="0.3">
      <c r="A98">
        <f t="shared" si="5"/>
        <v>93</v>
      </c>
      <c r="B98" t="s">
        <v>302</v>
      </c>
      <c r="C98">
        <v>57314</v>
      </c>
      <c r="D98" t="s">
        <v>24</v>
      </c>
      <c r="E98" t="s">
        <v>278</v>
      </c>
      <c r="F98" t="s">
        <v>253</v>
      </c>
      <c r="G98" t="s">
        <v>254</v>
      </c>
      <c r="H98" t="s">
        <v>255</v>
      </c>
      <c r="K98">
        <f>COUNTIF(EIAthru2010!$B$6:$B$111,EIAthru2011!C98)</f>
        <v>1</v>
      </c>
      <c r="L98" s="51" t="str">
        <f t="shared" si="3"/>
        <v>No</v>
      </c>
      <c r="M98">
        <f t="shared" si="4"/>
        <v>90</v>
      </c>
      <c r="N98" s="51" t="s">
        <v>517</v>
      </c>
    </row>
    <row r="99" spans="1:15" hidden="1" x14ac:dyDescent="0.3">
      <c r="A99">
        <f t="shared" si="5"/>
        <v>94</v>
      </c>
      <c r="B99" t="s">
        <v>413</v>
      </c>
      <c r="C99">
        <v>57571</v>
      </c>
      <c r="D99" t="s">
        <v>144</v>
      </c>
      <c r="E99" t="s">
        <v>252</v>
      </c>
      <c r="F99" t="s">
        <v>253</v>
      </c>
      <c r="G99" t="s">
        <v>254</v>
      </c>
      <c r="H99" t="s">
        <v>255</v>
      </c>
      <c r="K99">
        <f>COUNTIF(EIAthru2010!$B$6:$B$111,EIAthru2011!C99)</f>
        <v>0</v>
      </c>
      <c r="L99" s="51" t="str">
        <f t="shared" si="3"/>
        <v>Yes</v>
      </c>
      <c r="M99">
        <f t="shared" si="4"/>
        <v>90</v>
      </c>
      <c r="N99" s="51"/>
      <c r="O99" t="str">
        <f>D99</f>
        <v>NM</v>
      </c>
    </row>
    <row r="100" spans="1:15" x14ac:dyDescent="0.3">
      <c r="A100">
        <f t="shared" si="5"/>
        <v>95</v>
      </c>
      <c r="B100" t="s">
        <v>303</v>
      </c>
      <c r="C100">
        <v>56993</v>
      </c>
      <c r="D100" t="s">
        <v>83</v>
      </c>
      <c r="E100" t="s">
        <v>252</v>
      </c>
      <c r="F100" t="s">
        <v>253</v>
      </c>
      <c r="G100" t="s">
        <v>254</v>
      </c>
      <c r="H100" t="s">
        <v>255</v>
      </c>
      <c r="K100">
        <f>COUNTIF(EIAthru2010!$B$6:$B$111,EIAthru2011!C100)</f>
        <v>1</v>
      </c>
      <c r="L100" s="51" t="str">
        <f t="shared" si="3"/>
        <v>No</v>
      </c>
      <c r="M100">
        <f t="shared" si="4"/>
        <v>90</v>
      </c>
      <c r="N100" s="51" t="s">
        <v>517</v>
      </c>
    </row>
    <row r="101" spans="1:15" hidden="1" x14ac:dyDescent="0.3">
      <c r="A101">
        <f t="shared" si="5"/>
        <v>96</v>
      </c>
      <c r="B101" t="s">
        <v>414</v>
      </c>
      <c r="C101">
        <v>57673</v>
      </c>
      <c r="D101" t="s">
        <v>23</v>
      </c>
      <c r="E101" t="s">
        <v>252</v>
      </c>
      <c r="F101" t="s">
        <v>253</v>
      </c>
      <c r="G101" t="s">
        <v>254</v>
      </c>
      <c r="H101" t="s">
        <v>255</v>
      </c>
      <c r="K101">
        <f>COUNTIF(EIAthru2010!$B$6:$B$111,EIAthru2011!C101)</f>
        <v>0</v>
      </c>
      <c r="L101" s="51" t="str">
        <f t="shared" si="3"/>
        <v>Yes</v>
      </c>
      <c r="M101">
        <f t="shared" si="4"/>
        <v>90</v>
      </c>
      <c r="N101" s="51"/>
      <c r="O101" t="str">
        <f>D101</f>
        <v>AZ</v>
      </c>
    </row>
    <row r="102" spans="1:15" hidden="1" x14ac:dyDescent="0.3">
      <c r="A102">
        <f t="shared" si="5"/>
        <v>97</v>
      </c>
      <c r="B102" t="s">
        <v>415</v>
      </c>
      <c r="C102">
        <v>57661</v>
      </c>
      <c r="D102" t="s">
        <v>52</v>
      </c>
      <c r="E102" t="s">
        <v>252</v>
      </c>
      <c r="F102" t="s">
        <v>253</v>
      </c>
      <c r="G102" t="s">
        <v>254</v>
      </c>
      <c r="H102" t="s">
        <v>255</v>
      </c>
      <c r="K102">
        <f>COUNTIF(EIAthru2010!$B$6:$B$111,EIAthru2011!C102)</f>
        <v>0</v>
      </c>
      <c r="L102" s="51" t="str">
        <f t="shared" si="3"/>
        <v>Yes</v>
      </c>
      <c r="M102">
        <f t="shared" si="4"/>
        <v>90</v>
      </c>
      <c r="N102" s="51"/>
      <c r="O102" t="str">
        <f>D102</f>
        <v>NJ</v>
      </c>
    </row>
    <row r="103" spans="1:15" hidden="1" x14ac:dyDescent="0.3">
      <c r="A103">
        <f t="shared" si="5"/>
        <v>98</v>
      </c>
      <c r="B103" t="s">
        <v>416</v>
      </c>
      <c r="C103">
        <v>57750</v>
      </c>
      <c r="D103" t="s">
        <v>52</v>
      </c>
      <c r="E103" t="s">
        <v>252</v>
      </c>
      <c r="F103" t="s">
        <v>253</v>
      </c>
      <c r="G103" t="s">
        <v>254</v>
      </c>
      <c r="H103" t="s">
        <v>255</v>
      </c>
      <c r="K103">
        <f>COUNTIF(EIAthru2010!$B$6:$B$111,EIAthru2011!C103)</f>
        <v>0</v>
      </c>
      <c r="L103" s="51" t="str">
        <f t="shared" si="3"/>
        <v>Yes</v>
      </c>
      <c r="M103">
        <f t="shared" si="4"/>
        <v>90</v>
      </c>
      <c r="N103" s="51"/>
      <c r="O103" t="str">
        <f>D103</f>
        <v>NJ</v>
      </c>
    </row>
    <row r="104" spans="1:15" hidden="1" x14ac:dyDescent="0.3">
      <c r="A104">
        <f t="shared" si="5"/>
        <v>99</v>
      </c>
      <c r="B104" t="s">
        <v>305</v>
      </c>
      <c r="C104">
        <v>57005</v>
      </c>
      <c r="D104" t="s">
        <v>24</v>
      </c>
      <c r="E104" t="s">
        <v>252</v>
      </c>
      <c r="F104" t="s">
        <v>253</v>
      </c>
      <c r="G104" t="s">
        <v>254</v>
      </c>
      <c r="H104" t="s">
        <v>255</v>
      </c>
      <c r="K104">
        <f>COUNTIF(EIAthru2010!$B$6:$B$111,EIAthru2011!C104)</f>
        <v>1</v>
      </c>
      <c r="L104" s="51" t="str">
        <f t="shared" si="3"/>
        <v>No</v>
      </c>
      <c r="M104">
        <f t="shared" si="4"/>
        <v>90</v>
      </c>
      <c r="N104" s="51" t="s">
        <v>517</v>
      </c>
    </row>
    <row r="105" spans="1:15" hidden="1" x14ac:dyDescent="0.3">
      <c r="A105">
        <f t="shared" si="5"/>
        <v>100</v>
      </c>
      <c r="B105" t="s">
        <v>417</v>
      </c>
      <c r="C105">
        <v>6043</v>
      </c>
      <c r="D105" t="s">
        <v>109</v>
      </c>
      <c r="E105" t="s">
        <v>248</v>
      </c>
      <c r="F105" t="s">
        <v>418</v>
      </c>
      <c r="G105" t="s">
        <v>419</v>
      </c>
      <c r="H105" t="s">
        <v>251</v>
      </c>
      <c r="K105">
        <f>COUNTIF(EIAthru2010!$B$6:$B$111,EIAthru2011!C105)</f>
        <v>0</v>
      </c>
      <c r="L105" s="51" t="str">
        <f t="shared" si="3"/>
        <v>Yes</v>
      </c>
      <c r="M105">
        <f t="shared" si="4"/>
        <v>90</v>
      </c>
      <c r="N105" s="51"/>
      <c r="O105" t="str">
        <f t="shared" ref="O105:O113" si="6">D105</f>
        <v>FL</v>
      </c>
    </row>
    <row r="106" spans="1:15" hidden="1" x14ac:dyDescent="0.3">
      <c r="A106">
        <f t="shared" si="5"/>
        <v>101</v>
      </c>
      <c r="B106" t="s">
        <v>420</v>
      </c>
      <c r="C106">
        <v>57461</v>
      </c>
      <c r="D106" t="s">
        <v>86</v>
      </c>
      <c r="E106" t="s">
        <v>252</v>
      </c>
      <c r="F106" t="s">
        <v>253</v>
      </c>
      <c r="G106" t="s">
        <v>254</v>
      </c>
      <c r="H106" t="s">
        <v>255</v>
      </c>
      <c r="K106">
        <f>COUNTIF(EIAthru2010!$B$6:$B$111,EIAthru2011!C106)</f>
        <v>0</v>
      </c>
      <c r="L106" s="51" t="str">
        <f t="shared" si="3"/>
        <v>Yes</v>
      </c>
      <c r="M106">
        <f t="shared" si="4"/>
        <v>90</v>
      </c>
      <c r="N106" s="51"/>
      <c r="O106" t="str">
        <f t="shared" si="6"/>
        <v>NC</v>
      </c>
    </row>
    <row r="107" spans="1:15" x14ac:dyDescent="0.3">
      <c r="A107">
        <f t="shared" si="5"/>
        <v>102</v>
      </c>
      <c r="B107" t="s">
        <v>421</v>
      </c>
      <c r="C107">
        <v>57494</v>
      </c>
      <c r="D107" t="s">
        <v>83</v>
      </c>
      <c r="E107" t="s">
        <v>252</v>
      </c>
      <c r="F107" t="s">
        <v>253</v>
      </c>
      <c r="G107" t="s">
        <v>254</v>
      </c>
      <c r="H107" t="s">
        <v>255</v>
      </c>
      <c r="K107">
        <f>COUNTIF(EIAthru2010!$B$6:$B$111,EIAthru2011!C107)</f>
        <v>0</v>
      </c>
      <c r="L107" s="51" t="str">
        <f t="shared" si="3"/>
        <v>Yes</v>
      </c>
      <c r="M107">
        <f t="shared" si="4"/>
        <v>90</v>
      </c>
      <c r="N107" s="51"/>
      <c r="O107" t="str">
        <f t="shared" si="6"/>
        <v>PA</v>
      </c>
    </row>
    <row r="108" spans="1:15" hidden="1" x14ac:dyDescent="0.3">
      <c r="A108">
        <f t="shared" si="5"/>
        <v>103</v>
      </c>
      <c r="B108" t="s">
        <v>422</v>
      </c>
      <c r="C108">
        <v>57384</v>
      </c>
      <c r="D108" t="s">
        <v>52</v>
      </c>
      <c r="E108" t="s">
        <v>248</v>
      </c>
      <c r="F108" t="s">
        <v>253</v>
      </c>
      <c r="G108" t="s">
        <v>254</v>
      </c>
      <c r="H108" t="s">
        <v>255</v>
      </c>
      <c r="K108">
        <f>COUNTIF(EIAthru2010!$B$6:$B$111,EIAthru2011!C108)</f>
        <v>0</v>
      </c>
      <c r="L108" s="51" t="str">
        <f t="shared" si="3"/>
        <v>Yes</v>
      </c>
      <c r="M108">
        <f t="shared" si="4"/>
        <v>90</v>
      </c>
      <c r="N108" s="51"/>
      <c r="O108" t="str">
        <f t="shared" si="6"/>
        <v>NJ</v>
      </c>
    </row>
    <row r="109" spans="1:15" hidden="1" x14ac:dyDescent="0.3">
      <c r="A109">
        <f t="shared" si="5"/>
        <v>104</v>
      </c>
      <c r="B109" t="s">
        <v>423</v>
      </c>
      <c r="C109">
        <v>57588</v>
      </c>
      <c r="D109" t="s">
        <v>52</v>
      </c>
      <c r="E109" t="s">
        <v>248</v>
      </c>
      <c r="F109" t="s">
        <v>253</v>
      </c>
      <c r="G109" t="s">
        <v>254</v>
      </c>
      <c r="H109" t="s">
        <v>255</v>
      </c>
      <c r="K109">
        <f>COUNTIF(EIAthru2010!$B$6:$B$111,EIAthru2011!C109)</f>
        <v>0</v>
      </c>
      <c r="L109" s="51" t="str">
        <f t="shared" si="3"/>
        <v>Yes</v>
      </c>
      <c r="M109">
        <f t="shared" si="4"/>
        <v>90</v>
      </c>
      <c r="N109" s="51"/>
      <c r="O109" t="str">
        <f t="shared" si="6"/>
        <v>NJ</v>
      </c>
    </row>
    <row r="110" spans="1:15" hidden="1" x14ac:dyDescent="0.3">
      <c r="A110">
        <f t="shared" si="5"/>
        <v>105</v>
      </c>
      <c r="B110" t="s">
        <v>424</v>
      </c>
      <c r="C110">
        <v>57321</v>
      </c>
      <c r="D110" t="s">
        <v>86</v>
      </c>
      <c r="E110" t="s">
        <v>252</v>
      </c>
      <c r="F110" t="s">
        <v>253</v>
      </c>
      <c r="G110" t="s">
        <v>254</v>
      </c>
      <c r="H110" t="s">
        <v>255</v>
      </c>
      <c r="K110">
        <f>COUNTIF(EIAthru2010!$B$6:$B$111,EIAthru2011!C110)</f>
        <v>0</v>
      </c>
      <c r="L110" s="51" t="str">
        <f t="shared" si="3"/>
        <v>Yes</v>
      </c>
      <c r="M110">
        <f t="shared" si="4"/>
        <v>90</v>
      </c>
      <c r="N110" s="51"/>
      <c r="O110" t="str">
        <f t="shared" si="6"/>
        <v>NC</v>
      </c>
    </row>
    <row r="111" spans="1:15" hidden="1" x14ac:dyDescent="0.3">
      <c r="A111">
        <f t="shared" si="5"/>
        <v>106</v>
      </c>
      <c r="B111" t="s">
        <v>425</v>
      </c>
      <c r="C111">
        <v>57646</v>
      </c>
      <c r="D111" t="s">
        <v>389</v>
      </c>
      <c r="E111" t="s">
        <v>252</v>
      </c>
      <c r="F111" t="s">
        <v>253</v>
      </c>
      <c r="G111" t="s">
        <v>254</v>
      </c>
      <c r="H111" t="s">
        <v>255</v>
      </c>
      <c r="K111">
        <f>COUNTIF(EIAthru2010!$B$6:$B$111,EIAthru2011!C111)</f>
        <v>0</v>
      </c>
      <c r="L111" s="51" t="str">
        <f t="shared" si="3"/>
        <v>Yes</v>
      </c>
      <c r="M111">
        <f t="shared" si="4"/>
        <v>90</v>
      </c>
      <c r="N111" s="51"/>
      <c r="O111" t="str">
        <f t="shared" si="6"/>
        <v>MD</v>
      </c>
    </row>
    <row r="112" spans="1:15" hidden="1" x14ac:dyDescent="0.3">
      <c r="A112">
        <f t="shared" si="5"/>
        <v>107</v>
      </c>
      <c r="B112" t="s">
        <v>426</v>
      </c>
      <c r="C112">
        <v>57662</v>
      </c>
      <c r="D112" t="s">
        <v>52</v>
      </c>
      <c r="E112" t="s">
        <v>252</v>
      </c>
      <c r="F112" t="s">
        <v>253</v>
      </c>
      <c r="G112" t="s">
        <v>254</v>
      </c>
      <c r="H112" t="s">
        <v>255</v>
      </c>
      <c r="K112">
        <f>COUNTIF(EIAthru2010!$B$6:$B$111,EIAthru2011!C112)</f>
        <v>0</v>
      </c>
      <c r="L112" s="51" t="str">
        <f t="shared" si="3"/>
        <v>Yes</v>
      </c>
      <c r="M112">
        <f t="shared" si="4"/>
        <v>90</v>
      </c>
      <c r="N112" s="51"/>
      <c r="O112" t="str">
        <f t="shared" si="6"/>
        <v>NJ</v>
      </c>
    </row>
    <row r="113" spans="1:15" hidden="1" x14ac:dyDescent="0.3">
      <c r="A113">
        <f t="shared" si="5"/>
        <v>108</v>
      </c>
      <c r="B113" t="s">
        <v>427</v>
      </c>
      <c r="C113">
        <v>57863</v>
      </c>
      <c r="D113" t="s">
        <v>52</v>
      </c>
      <c r="E113" t="s">
        <v>248</v>
      </c>
      <c r="F113" t="s">
        <v>253</v>
      </c>
      <c r="G113" t="s">
        <v>254</v>
      </c>
      <c r="H113" t="s">
        <v>255</v>
      </c>
      <c r="K113">
        <f>COUNTIF(EIAthru2010!$B$6:$B$111,EIAthru2011!C113)</f>
        <v>0</v>
      </c>
      <c r="L113" s="51" t="str">
        <f t="shared" si="3"/>
        <v>Yes</v>
      </c>
      <c r="M113">
        <f t="shared" si="4"/>
        <v>90</v>
      </c>
      <c r="N113" s="51"/>
      <c r="O113" t="str">
        <f t="shared" si="6"/>
        <v>NJ</v>
      </c>
    </row>
    <row r="114" spans="1:15" hidden="1" x14ac:dyDescent="0.3">
      <c r="A114">
        <f t="shared" si="5"/>
        <v>109</v>
      </c>
      <c r="B114" t="s">
        <v>428</v>
      </c>
      <c r="C114">
        <v>57982</v>
      </c>
      <c r="D114" t="s">
        <v>24</v>
      </c>
      <c r="E114" t="s">
        <v>252</v>
      </c>
      <c r="F114" t="s">
        <v>253</v>
      </c>
      <c r="G114" t="s">
        <v>254</v>
      </c>
      <c r="H114" t="s">
        <v>255</v>
      </c>
      <c r="K114">
        <f>COUNTIF(EIAthru2010!$B$6:$B$111,EIAthru2011!C114)</f>
        <v>0</v>
      </c>
      <c r="L114" s="51" t="str">
        <f t="shared" si="3"/>
        <v>Yes</v>
      </c>
      <c r="M114">
        <f t="shared" si="4"/>
        <v>91</v>
      </c>
      <c r="N114" s="51" t="s">
        <v>500</v>
      </c>
    </row>
    <row r="115" spans="1:15" hidden="1" x14ac:dyDescent="0.3">
      <c r="A115">
        <f t="shared" si="5"/>
        <v>110</v>
      </c>
      <c r="B115" t="s">
        <v>429</v>
      </c>
      <c r="C115">
        <v>57707</v>
      </c>
      <c r="D115" t="s">
        <v>23</v>
      </c>
      <c r="E115" t="s">
        <v>252</v>
      </c>
      <c r="F115" t="s">
        <v>253</v>
      </c>
      <c r="G115" t="s">
        <v>254</v>
      </c>
      <c r="H115" t="s">
        <v>255</v>
      </c>
      <c r="K115">
        <f>COUNTIF(EIAthru2010!$B$6:$B$111,EIAthru2011!C115)</f>
        <v>0</v>
      </c>
      <c r="L115" s="51" t="str">
        <f t="shared" si="3"/>
        <v>Yes</v>
      </c>
      <c r="M115">
        <f t="shared" si="4"/>
        <v>91</v>
      </c>
      <c r="N115" s="51"/>
      <c r="O115" t="str">
        <f>D115</f>
        <v>AZ</v>
      </c>
    </row>
    <row r="116" spans="1:15" hidden="1" x14ac:dyDescent="0.3">
      <c r="A116">
        <f t="shared" si="5"/>
        <v>111</v>
      </c>
      <c r="B116" t="s">
        <v>308</v>
      </c>
      <c r="C116">
        <v>57313</v>
      </c>
      <c r="D116" t="s">
        <v>24</v>
      </c>
      <c r="E116" t="s">
        <v>278</v>
      </c>
      <c r="F116" t="s">
        <v>253</v>
      </c>
      <c r="G116" t="s">
        <v>254</v>
      </c>
      <c r="H116" t="s">
        <v>255</v>
      </c>
      <c r="K116">
        <f>COUNTIF(EIAthru2010!$B$6:$B$111,EIAthru2011!C116)</f>
        <v>1</v>
      </c>
      <c r="L116" s="51" t="str">
        <f t="shared" si="3"/>
        <v>No</v>
      </c>
      <c r="M116">
        <f t="shared" si="4"/>
        <v>91</v>
      </c>
      <c r="N116" s="51" t="s">
        <v>517</v>
      </c>
    </row>
    <row r="117" spans="1:15" hidden="1" x14ac:dyDescent="0.3">
      <c r="A117">
        <f t="shared" si="5"/>
        <v>112</v>
      </c>
      <c r="B117" t="s">
        <v>430</v>
      </c>
      <c r="C117">
        <v>57728</v>
      </c>
      <c r="D117" t="s">
        <v>52</v>
      </c>
      <c r="E117" t="s">
        <v>248</v>
      </c>
      <c r="F117" t="s">
        <v>253</v>
      </c>
      <c r="G117" t="s">
        <v>254</v>
      </c>
      <c r="H117" t="s">
        <v>255</v>
      </c>
      <c r="K117">
        <f>COUNTIF(EIAthru2010!$B$6:$B$111,EIAthru2011!C117)</f>
        <v>0</v>
      </c>
      <c r="L117" s="51" t="str">
        <f t="shared" si="3"/>
        <v>Yes</v>
      </c>
      <c r="M117">
        <f t="shared" si="4"/>
        <v>91</v>
      </c>
      <c r="N117" s="51"/>
      <c r="O117" t="str">
        <f>D117</f>
        <v>NJ</v>
      </c>
    </row>
    <row r="118" spans="1:15" x14ac:dyDescent="0.3">
      <c r="A118">
        <f t="shared" si="5"/>
        <v>113</v>
      </c>
      <c r="B118" t="s">
        <v>431</v>
      </c>
      <c r="C118">
        <v>57362</v>
      </c>
      <c r="D118" t="s">
        <v>83</v>
      </c>
      <c r="E118" t="s">
        <v>252</v>
      </c>
      <c r="F118" t="s">
        <v>253</v>
      </c>
      <c r="G118" t="s">
        <v>254</v>
      </c>
      <c r="H118" t="s">
        <v>255</v>
      </c>
      <c r="K118">
        <f>COUNTIF(EIAthru2010!$B$6:$B$111,EIAthru2011!C118)</f>
        <v>0</v>
      </c>
      <c r="L118" s="51" t="str">
        <f t="shared" si="3"/>
        <v>Yes</v>
      </c>
      <c r="M118">
        <f t="shared" si="4"/>
        <v>91</v>
      </c>
      <c r="N118" s="51"/>
      <c r="O118" t="str">
        <f>D118</f>
        <v>PA</v>
      </c>
    </row>
    <row r="119" spans="1:15" hidden="1" x14ac:dyDescent="0.3">
      <c r="A119">
        <f t="shared" si="5"/>
        <v>114</v>
      </c>
      <c r="B119" t="s">
        <v>432</v>
      </c>
      <c r="C119">
        <v>57677</v>
      </c>
      <c r="D119" t="s">
        <v>86</v>
      </c>
      <c r="E119" t="s">
        <v>252</v>
      </c>
      <c r="F119" t="s">
        <v>253</v>
      </c>
      <c r="G119" t="s">
        <v>254</v>
      </c>
      <c r="H119" t="s">
        <v>255</v>
      </c>
      <c r="K119">
        <f>COUNTIF(EIAthru2010!$B$6:$B$111,EIAthru2011!C119)</f>
        <v>0</v>
      </c>
      <c r="L119" s="51" t="str">
        <f t="shared" si="3"/>
        <v>Yes</v>
      </c>
      <c r="M119">
        <f t="shared" si="4"/>
        <v>91</v>
      </c>
      <c r="N119" s="51"/>
      <c r="O119" t="str">
        <f>D119</f>
        <v>NC</v>
      </c>
    </row>
    <row r="120" spans="1:15" hidden="1" x14ac:dyDescent="0.3">
      <c r="A120">
        <f t="shared" si="5"/>
        <v>115</v>
      </c>
      <c r="B120" t="s">
        <v>433</v>
      </c>
      <c r="C120">
        <v>57471</v>
      </c>
      <c r="D120" t="s">
        <v>52</v>
      </c>
      <c r="E120" t="s">
        <v>252</v>
      </c>
      <c r="F120" t="s">
        <v>253</v>
      </c>
      <c r="G120" t="s">
        <v>254</v>
      </c>
      <c r="H120" t="s">
        <v>255</v>
      </c>
      <c r="K120">
        <f>COUNTIF(EIAthru2010!$B$6:$B$111,EIAthru2011!C120)</f>
        <v>0</v>
      </c>
      <c r="L120" s="51" t="str">
        <f t="shared" si="3"/>
        <v>Yes</v>
      </c>
      <c r="M120">
        <f t="shared" si="4"/>
        <v>91</v>
      </c>
      <c r="N120" s="51"/>
      <c r="O120" t="str">
        <f>D120</f>
        <v>NJ</v>
      </c>
    </row>
    <row r="121" spans="1:15" hidden="1" x14ac:dyDescent="0.3">
      <c r="A121">
        <f t="shared" si="5"/>
        <v>116</v>
      </c>
      <c r="B121" t="s">
        <v>210</v>
      </c>
      <c r="C121">
        <v>57270</v>
      </c>
      <c r="D121" t="s">
        <v>64</v>
      </c>
      <c r="E121" t="s">
        <v>248</v>
      </c>
      <c r="F121" t="s">
        <v>253</v>
      </c>
      <c r="G121" t="s">
        <v>254</v>
      </c>
      <c r="H121" t="s">
        <v>255</v>
      </c>
      <c r="K121">
        <f>COUNTIF(EIAthru2010!$B$6:$B$111,EIAthru2011!C121)</f>
        <v>1</v>
      </c>
      <c r="L121" s="51" t="str">
        <f t="shared" si="3"/>
        <v>No</v>
      </c>
      <c r="M121">
        <f t="shared" si="4"/>
        <v>91</v>
      </c>
      <c r="N121" s="51" t="s">
        <v>517</v>
      </c>
    </row>
    <row r="122" spans="1:15" hidden="1" x14ac:dyDescent="0.3">
      <c r="A122">
        <f t="shared" si="5"/>
        <v>117</v>
      </c>
      <c r="B122" t="s">
        <v>434</v>
      </c>
      <c r="C122">
        <v>57948</v>
      </c>
      <c r="D122" t="s">
        <v>52</v>
      </c>
      <c r="E122" t="s">
        <v>252</v>
      </c>
      <c r="F122" t="s">
        <v>253</v>
      </c>
      <c r="G122" t="s">
        <v>254</v>
      </c>
      <c r="H122" t="s">
        <v>255</v>
      </c>
      <c r="K122">
        <f>COUNTIF(EIAthru2010!$B$6:$B$111,EIAthru2011!C122)</f>
        <v>0</v>
      </c>
      <c r="L122" s="51" t="str">
        <f t="shared" si="3"/>
        <v>Yes</v>
      </c>
      <c r="M122">
        <f t="shared" si="4"/>
        <v>91</v>
      </c>
      <c r="N122" s="51"/>
      <c r="O122" t="str">
        <f>D122</f>
        <v>NJ</v>
      </c>
    </row>
    <row r="123" spans="1:15" hidden="1" x14ac:dyDescent="0.3">
      <c r="A123">
        <f t="shared" si="5"/>
        <v>118</v>
      </c>
      <c r="B123" t="s">
        <v>435</v>
      </c>
      <c r="C123">
        <v>57724</v>
      </c>
      <c r="D123" t="s">
        <v>52</v>
      </c>
      <c r="E123" t="s">
        <v>248</v>
      </c>
      <c r="F123" t="s">
        <v>253</v>
      </c>
      <c r="G123" t="s">
        <v>254</v>
      </c>
      <c r="H123" t="s">
        <v>255</v>
      </c>
      <c r="K123">
        <f>COUNTIF(EIAthru2010!$B$6:$B$111,EIAthru2011!C123)</f>
        <v>0</v>
      </c>
      <c r="L123" s="51" t="str">
        <f t="shared" si="3"/>
        <v>Yes</v>
      </c>
      <c r="M123">
        <f t="shared" si="4"/>
        <v>91</v>
      </c>
      <c r="N123" s="51"/>
      <c r="O123" t="str">
        <f>D123</f>
        <v>NJ</v>
      </c>
    </row>
    <row r="124" spans="1:15" hidden="1" x14ac:dyDescent="0.3">
      <c r="A124">
        <f t="shared" si="5"/>
        <v>119</v>
      </c>
      <c r="B124" t="s">
        <v>436</v>
      </c>
      <c r="C124">
        <v>57462</v>
      </c>
      <c r="D124" t="s">
        <v>233</v>
      </c>
      <c r="E124" t="s">
        <v>252</v>
      </c>
      <c r="F124" t="s">
        <v>253</v>
      </c>
      <c r="G124" t="s">
        <v>254</v>
      </c>
      <c r="H124" t="s">
        <v>255</v>
      </c>
      <c r="K124">
        <f>COUNTIF(EIAthru2010!$B$6:$B$111,EIAthru2011!C124)</f>
        <v>0</v>
      </c>
      <c r="L124" s="51" t="str">
        <f t="shared" si="3"/>
        <v>Yes</v>
      </c>
      <c r="M124">
        <f t="shared" si="4"/>
        <v>91</v>
      </c>
      <c r="N124" s="51"/>
      <c r="O124" t="str">
        <f>D124</f>
        <v>OH</v>
      </c>
    </row>
    <row r="125" spans="1:15" hidden="1" x14ac:dyDescent="0.3">
      <c r="A125">
        <f t="shared" si="5"/>
        <v>120</v>
      </c>
      <c r="B125" t="s">
        <v>309</v>
      </c>
      <c r="C125">
        <v>56568</v>
      </c>
      <c r="D125" t="s">
        <v>47</v>
      </c>
      <c r="E125" t="s">
        <v>278</v>
      </c>
      <c r="F125" t="s">
        <v>253</v>
      </c>
      <c r="G125" t="s">
        <v>254</v>
      </c>
      <c r="H125" t="s">
        <v>255</v>
      </c>
      <c r="K125">
        <f>COUNTIF(EIAthru2010!$B$6:$B$111,EIAthru2011!C125)</f>
        <v>1</v>
      </c>
      <c r="L125" s="51" t="str">
        <f t="shared" si="3"/>
        <v>No</v>
      </c>
      <c r="M125">
        <f t="shared" si="4"/>
        <v>91</v>
      </c>
      <c r="N125" s="51" t="s">
        <v>517</v>
      </c>
    </row>
    <row r="126" spans="1:15" hidden="1" x14ac:dyDescent="0.3">
      <c r="A126">
        <f t="shared" si="5"/>
        <v>121</v>
      </c>
      <c r="B126" t="s">
        <v>49</v>
      </c>
      <c r="C126">
        <v>56405</v>
      </c>
      <c r="D126" t="s">
        <v>47</v>
      </c>
      <c r="E126" t="s">
        <v>252</v>
      </c>
      <c r="F126" t="s">
        <v>258</v>
      </c>
      <c r="G126" t="s">
        <v>254</v>
      </c>
      <c r="H126" t="s">
        <v>259</v>
      </c>
      <c r="K126">
        <f>COUNTIF(EIAthru2010!$B$6:$B$111,EIAthru2011!C126)</f>
        <v>1</v>
      </c>
      <c r="L126" s="51" t="str">
        <f t="shared" si="3"/>
        <v>No</v>
      </c>
      <c r="M126">
        <f t="shared" si="4"/>
        <v>91</v>
      </c>
      <c r="N126" s="51" t="s">
        <v>517</v>
      </c>
    </row>
    <row r="127" spans="1:15" hidden="1" x14ac:dyDescent="0.3">
      <c r="A127">
        <f t="shared" si="5"/>
        <v>122</v>
      </c>
      <c r="B127" t="s">
        <v>10</v>
      </c>
      <c r="C127">
        <v>116</v>
      </c>
      <c r="D127" t="s">
        <v>23</v>
      </c>
      <c r="E127" t="s">
        <v>248</v>
      </c>
      <c r="F127" t="s">
        <v>249</v>
      </c>
      <c r="G127" t="s">
        <v>250</v>
      </c>
      <c r="H127" t="s">
        <v>251</v>
      </c>
      <c r="K127">
        <f>COUNTIF(EIAthru2010!$B$6:$B$111,EIAthru2011!C127)</f>
        <v>1</v>
      </c>
      <c r="L127" s="51" t="str">
        <f t="shared" si="3"/>
        <v>No</v>
      </c>
      <c r="M127">
        <f t="shared" si="4"/>
        <v>91</v>
      </c>
      <c r="N127" s="51" t="s">
        <v>517</v>
      </c>
    </row>
    <row r="128" spans="1:15" hidden="1" x14ac:dyDescent="0.3">
      <c r="A128">
        <f t="shared" si="5"/>
        <v>123</v>
      </c>
      <c r="B128" t="s">
        <v>310</v>
      </c>
      <c r="C128">
        <v>56889</v>
      </c>
      <c r="D128" t="s">
        <v>52</v>
      </c>
      <c r="E128" t="s">
        <v>252</v>
      </c>
      <c r="F128" t="s">
        <v>253</v>
      </c>
      <c r="G128" t="s">
        <v>254</v>
      </c>
      <c r="H128" t="s">
        <v>255</v>
      </c>
      <c r="K128">
        <f>COUNTIF(EIAthru2010!$B$6:$B$111,EIAthru2011!C128)</f>
        <v>1</v>
      </c>
      <c r="L128" s="51" t="str">
        <f t="shared" si="3"/>
        <v>No</v>
      </c>
      <c r="M128">
        <f t="shared" si="4"/>
        <v>91</v>
      </c>
      <c r="N128" s="51" t="s">
        <v>517</v>
      </c>
    </row>
    <row r="129" spans="1:15" hidden="1" x14ac:dyDescent="0.3">
      <c r="A129">
        <f t="shared" si="5"/>
        <v>124</v>
      </c>
      <c r="B129" t="s">
        <v>118</v>
      </c>
      <c r="C129">
        <v>57204</v>
      </c>
      <c r="D129" t="s">
        <v>52</v>
      </c>
      <c r="E129" t="s">
        <v>252</v>
      </c>
      <c r="F129" t="s">
        <v>253</v>
      </c>
      <c r="G129" t="s">
        <v>254</v>
      </c>
      <c r="H129" t="s">
        <v>255</v>
      </c>
      <c r="K129">
        <f>COUNTIF(EIAthru2010!$B$6:$B$111,EIAthru2011!C129)</f>
        <v>1</v>
      </c>
      <c r="L129" s="51" t="str">
        <f t="shared" si="3"/>
        <v>No</v>
      </c>
      <c r="M129">
        <f t="shared" si="4"/>
        <v>91</v>
      </c>
      <c r="N129" s="51" t="s">
        <v>517</v>
      </c>
    </row>
    <row r="130" spans="1:15" hidden="1" x14ac:dyDescent="0.3">
      <c r="A130">
        <f t="shared" si="5"/>
        <v>125</v>
      </c>
      <c r="B130" t="s">
        <v>311</v>
      </c>
      <c r="C130">
        <v>57309</v>
      </c>
      <c r="D130" t="s">
        <v>24</v>
      </c>
      <c r="E130" t="s">
        <v>278</v>
      </c>
      <c r="F130" t="s">
        <v>253</v>
      </c>
      <c r="G130" t="s">
        <v>254</v>
      </c>
      <c r="H130" t="s">
        <v>255</v>
      </c>
      <c r="K130">
        <f>COUNTIF(EIAthru2010!$B$6:$B$111,EIAthru2011!C130)</f>
        <v>1</v>
      </c>
      <c r="L130" s="51" t="str">
        <f t="shared" si="3"/>
        <v>No</v>
      </c>
      <c r="M130">
        <f t="shared" si="4"/>
        <v>91</v>
      </c>
      <c r="N130" s="51" t="s">
        <v>517</v>
      </c>
    </row>
    <row r="131" spans="1:15" hidden="1" x14ac:dyDescent="0.3">
      <c r="A131">
        <f t="shared" si="5"/>
        <v>126</v>
      </c>
      <c r="B131" t="s">
        <v>437</v>
      </c>
      <c r="C131">
        <v>57773</v>
      </c>
      <c r="D131" t="s">
        <v>24</v>
      </c>
      <c r="E131" t="s">
        <v>278</v>
      </c>
      <c r="F131" t="s">
        <v>253</v>
      </c>
      <c r="G131" t="s">
        <v>254</v>
      </c>
      <c r="H131" t="s">
        <v>255</v>
      </c>
      <c r="K131">
        <f>COUNTIF(EIAthru2010!$B$6:$B$111,EIAthru2011!C131)</f>
        <v>0</v>
      </c>
      <c r="L131" s="51" t="str">
        <f t="shared" si="3"/>
        <v>Yes</v>
      </c>
      <c r="M131">
        <f t="shared" si="4"/>
        <v>91</v>
      </c>
      <c r="N131" s="51"/>
      <c r="O131" t="str">
        <f>D131</f>
        <v>CA</v>
      </c>
    </row>
    <row r="132" spans="1:15" hidden="1" x14ac:dyDescent="0.3">
      <c r="A132">
        <f t="shared" si="5"/>
        <v>127</v>
      </c>
      <c r="B132" t="s">
        <v>438</v>
      </c>
      <c r="C132">
        <v>57562</v>
      </c>
      <c r="D132" t="s">
        <v>23</v>
      </c>
      <c r="E132" t="s">
        <v>248</v>
      </c>
      <c r="F132" t="s">
        <v>253</v>
      </c>
      <c r="G132" t="s">
        <v>254</v>
      </c>
      <c r="H132" t="s">
        <v>255</v>
      </c>
      <c r="K132">
        <f>COUNTIF(EIAthru2010!$B$6:$B$111,EIAthru2011!C132)</f>
        <v>0</v>
      </c>
      <c r="L132" s="51" t="str">
        <f t="shared" si="3"/>
        <v>Yes</v>
      </c>
      <c r="M132">
        <f t="shared" si="4"/>
        <v>91</v>
      </c>
      <c r="N132" s="51"/>
      <c r="O132" t="str">
        <f>D132</f>
        <v>AZ</v>
      </c>
    </row>
    <row r="133" spans="1:15" hidden="1" x14ac:dyDescent="0.3">
      <c r="A133">
        <f t="shared" si="5"/>
        <v>128</v>
      </c>
      <c r="B133" t="s">
        <v>312</v>
      </c>
      <c r="C133">
        <v>56883</v>
      </c>
      <c r="D133" t="s">
        <v>52</v>
      </c>
      <c r="E133" t="s">
        <v>252</v>
      </c>
      <c r="F133" t="s">
        <v>253</v>
      </c>
      <c r="G133" t="s">
        <v>254</v>
      </c>
      <c r="H133" t="s">
        <v>255</v>
      </c>
      <c r="K133">
        <f>COUNTIF(EIAthru2010!$B$6:$B$111,EIAthru2011!C133)</f>
        <v>1</v>
      </c>
      <c r="L133" s="51" t="str">
        <f t="shared" si="3"/>
        <v>No</v>
      </c>
      <c r="M133">
        <f t="shared" si="4"/>
        <v>91</v>
      </c>
      <c r="N133" s="51" t="s">
        <v>517</v>
      </c>
    </row>
    <row r="134" spans="1:15" hidden="1" x14ac:dyDescent="0.3">
      <c r="A134">
        <f t="shared" si="5"/>
        <v>129</v>
      </c>
      <c r="B134" t="s">
        <v>439</v>
      </c>
      <c r="C134">
        <v>57772</v>
      </c>
      <c r="D134" t="s">
        <v>386</v>
      </c>
      <c r="E134" t="s">
        <v>248</v>
      </c>
      <c r="F134" t="s">
        <v>253</v>
      </c>
      <c r="G134" t="s">
        <v>254</v>
      </c>
      <c r="H134" t="s">
        <v>255</v>
      </c>
      <c r="K134">
        <f>COUNTIF(EIAthru2010!$B$6:$B$111,EIAthru2011!C134)</f>
        <v>0</v>
      </c>
      <c r="L134" s="51" t="str">
        <f t="shared" si="3"/>
        <v>Yes</v>
      </c>
      <c r="M134">
        <f t="shared" si="4"/>
        <v>91</v>
      </c>
      <c r="N134" s="51"/>
      <c r="O134" t="str">
        <f>D134</f>
        <v>DE</v>
      </c>
    </row>
    <row r="135" spans="1:15" hidden="1" x14ac:dyDescent="0.3">
      <c r="A135">
        <f t="shared" si="5"/>
        <v>130</v>
      </c>
      <c r="B135" t="s">
        <v>440</v>
      </c>
      <c r="C135">
        <v>57879</v>
      </c>
      <c r="D135" t="s">
        <v>389</v>
      </c>
      <c r="E135" t="s">
        <v>248</v>
      </c>
      <c r="F135" t="s">
        <v>253</v>
      </c>
      <c r="G135" t="s">
        <v>254</v>
      </c>
      <c r="H135" t="s">
        <v>255</v>
      </c>
      <c r="K135">
        <f>COUNTIF(EIAthru2010!$B$6:$B$111,EIAthru2011!C135)</f>
        <v>0</v>
      </c>
      <c r="L135" s="51" t="str">
        <f t="shared" ref="L135:L198" si="7">IF(K135=0,"Yes","No")</f>
        <v>Yes</v>
      </c>
      <c r="M135">
        <f t="shared" ref="M135:M198" si="8">IF(N135="Y",M134+1,M134)</f>
        <v>92</v>
      </c>
      <c r="N135" s="51" t="s">
        <v>500</v>
      </c>
    </row>
    <row r="136" spans="1:15" hidden="1" x14ac:dyDescent="0.3">
      <c r="A136">
        <f t="shared" ref="A136:A199" si="9">A135+1</f>
        <v>131</v>
      </c>
      <c r="B136" t="s">
        <v>441</v>
      </c>
      <c r="C136">
        <v>57448</v>
      </c>
      <c r="D136" t="s">
        <v>52</v>
      </c>
      <c r="E136" t="s">
        <v>252</v>
      </c>
      <c r="F136" t="s">
        <v>253</v>
      </c>
      <c r="G136" t="s">
        <v>254</v>
      </c>
      <c r="H136" t="s">
        <v>255</v>
      </c>
      <c r="K136">
        <f>COUNTIF(EIAthru2010!$B$6:$B$111,EIAthru2011!C136)</f>
        <v>0</v>
      </c>
      <c r="L136" s="51" t="str">
        <f t="shared" si="7"/>
        <v>Yes</v>
      </c>
      <c r="M136">
        <f t="shared" si="8"/>
        <v>92</v>
      </c>
      <c r="N136" s="51"/>
      <c r="O136" t="str">
        <f>D136</f>
        <v>NJ</v>
      </c>
    </row>
    <row r="137" spans="1:15" x14ac:dyDescent="0.3">
      <c r="A137">
        <f t="shared" si="9"/>
        <v>132</v>
      </c>
      <c r="B137" t="s">
        <v>313</v>
      </c>
      <c r="C137">
        <v>57367</v>
      </c>
      <c r="D137" t="s">
        <v>83</v>
      </c>
      <c r="E137" t="s">
        <v>252</v>
      </c>
      <c r="F137" t="s">
        <v>253</v>
      </c>
      <c r="G137" t="s">
        <v>254</v>
      </c>
      <c r="H137" t="s">
        <v>255</v>
      </c>
      <c r="K137">
        <f>COUNTIF(EIAthru2010!$B$6:$B$111,EIAthru2011!C137)</f>
        <v>1</v>
      </c>
      <c r="L137" s="51" t="str">
        <f t="shared" si="7"/>
        <v>No</v>
      </c>
      <c r="M137">
        <f t="shared" si="8"/>
        <v>92</v>
      </c>
      <c r="N137" s="51" t="s">
        <v>517</v>
      </c>
    </row>
    <row r="138" spans="1:15" hidden="1" x14ac:dyDescent="0.3">
      <c r="A138">
        <f t="shared" si="9"/>
        <v>133</v>
      </c>
      <c r="B138" t="s">
        <v>442</v>
      </c>
      <c r="C138">
        <v>57318</v>
      </c>
      <c r="D138" t="s">
        <v>23</v>
      </c>
      <c r="E138" t="s">
        <v>252</v>
      </c>
      <c r="F138" t="s">
        <v>253</v>
      </c>
      <c r="G138" t="s">
        <v>254</v>
      </c>
      <c r="H138" t="s">
        <v>255</v>
      </c>
      <c r="K138">
        <f>COUNTIF(EIAthru2010!$B$6:$B$111,EIAthru2011!C138)</f>
        <v>0</v>
      </c>
      <c r="L138" s="51" t="str">
        <f t="shared" si="7"/>
        <v>Yes</v>
      </c>
      <c r="M138">
        <f t="shared" si="8"/>
        <v>92</v>
      </c>
      <c r="N138" s="51"/>
      <c r="O138" t="str">
        <f>D138</f>
        <v>AZ</v>
      </c>
    </row>
    <row r="139" spans="1:15" hidden="1" x14ac:dyDescent="0.3">
      <c r="A139">
        <f t="shared" si="9"/>
        <v>134</v>
      </c>
      <c r="B139" t="s">
        <v>314</v>
      </c>
      <c r="C139">
        <v>56228</v>
      </c>
      <c r="D139" t="s">
        <v>23</v>
      </c>
      <c r="E139" t="s">
        <v>248</v>
      </c>
      <c r="F139" t="s">
        <v>253</v>
      </c>
      <c r="G139" t="s">
        <v>254</v>
      </c>
      <c r="H139" t="s">
        <v>255</v>
      </c>
      <c r="K139">
        <f>COUNTIF(EIAthru2010!$B$6:$B$111,EIAthru2011!C139)</f>
        <v>1</v>
      </c>
      <c r="L139" s="51" t="str">
        <f t="shared" si="7"/>
        <v>No</v>
      </c>
      <c r="M139">
        <f t="shared" si="8"/>
        <v>92</v>
      </c>
      <c r="N139" s="51" t="s">
        <v>517</v>
      </c>
    </row>
    <row r="140" spans="1:15" hidden="1" x14ac:dyDescent="0.3">
      <c r="A140">
        <f t="shared" si="9"/>
        <v>135</v>
      </c>
      <c r="B140" t="s">
        <v>443</v>
      </c>
      <c r="C140">
        <v>57369</v>
      </c>
      <c r="D140" t="s">
        <v>144</v>
      </c>
      <c r="E140" t="s">
        <v>252</v>
      </c>
      <c r="F140" t="s">
        <v>253</v>
      </c>
      <c r="G140" t="s">
        <v>254</v>
      </c>
      <c r="H140" t="s">
        <v>255</v>
      </c>
      <c r="K140">
        <f>COUNTIF(EIAthru2010!$B$6:$B$111,EIAthru2011!C140)</f>
        <v>0</v>
      </c>
      <c r="L140" s="51" t="str">
        <f t="shared" si="7"/>
        <v>Yes</v>
      </c>
      <c r="M140">
        <f t="shared" si="8"/>
        <v>92</v>
      </c>
      <c r="N140" s="51"/>
      <c r="O140" t="str">
        <f>D140</f>
        <v>NM</v>
      </c>
    </row>
    <row r="141" spans="1:15" hidden="1" x14ac:dyDescent="0.3">
      <c r="A141">
        <f t="shared" si="9"/>
        <v>136</v>
      </c>
      <c r="B141" t="s">
        <v>444</v>
      </c>
      <c r="C141">
        <v>57795</v>
      </c>
      <c r="D141" t="s">
        <v>23</v>
      </c>
      <c r="E141" t="s">
        <v>252</v>
      </c>
      <c r="F141" t="s">
        <v>253</v>
      </c>
      <c r="G141" t="s">
        <v>254</v>
      </c>
      <c r="H141" t="s">
        <v>255</v>
      </c>
      <c r="K141">
        <f>COUNTIF(EIAthru2010!$B$6:$B$111,EIAthru2011!C141)</f>
        <v>0</v>
      </c>
      <c r="L141" s="51" t="str">
        <f t="shared" si="7"/>
        <v>Yes</v>
      </c>
      <c r="M141">
        <f t="shared" si="8"/>
        <v>92</v>
      </c>
      <c r="N141" s="51"/>
      <c r="O141" t="str">
        <f>D141</f>
        <v>AZ</v>
      </c>
    </row>
    <row r="142" spans="1:15" hidden="1" x14ac:dyDescent="0.3">
      <c r="A142">
        <f t="shared" si="9"/>
        <v>137</v>
      </c>
      <c r="B142" t="s">
        <v>445</v>
      </c>
      <c r="C142">
        <v>57790</v>
      </c>
      <c r="D142" t="s">
        <v>23</v>
      </c>
      <c r="E142" t="s">
        <v>252</v>
      </c>
      <c r="F142" t="s">
        <v>253</v>
      </c>
      <c r="G142" t="s">
        <v>254</v>
      </c>
      <c r="H142" t="s">
        <v>255</v>
      </c>
      <c r="K142">
        <f>COUNTIF(EIAthru2010!$B$6:$B$111,EIAthru2011!C142)</f>
        <v>0</v>
      </c>
      <c r="L142" s="51" t="str">
        <f t="shared" si="7"/>
        <v>Yes</v>
      </c>
      <c r="M142">
        <f t="shared" si="8"/>
        <v>92</v>
      </c>
      <c r="N142" s="51"/>
      <c r="O142" t="str">
        <f>D142</f>
        <v>AZ</v>
      </c>
    </row>
    <row r="143" spans="1:15" hidden="1" x14ac:dyDescent="0.3">
      <c r="A143">
        <f t="shared" si="9"/>
        <v>138</v>
      </c>
      <c r="B143" t="s">
        <v>315</v>
      </c>
      <c r="C143">
        <v>56966</v>
      </c>
      <c r="D143" t="s">
        <v>86</v>
      </c>
      <c r="E143" t="s">
        <v>252</v>
      </c>
      <c r="F143" t="s">
        <v>253</v>
      </c>
      <c r="G143" t="s">
        <v>254</v>
      </c>
      <c r="H143" t="s">
        <v>255</v>
      </c>
      <c r="K143">
        <f>COUNTIF(EIAthru2010!$B$6:$B$111,EIAthru2011!C143)</f>
        <v>1</v>
      </c>
      <c r="L143" s="51" t="str">
        <f t="shared" si="7"/>
        <v>No</v>
      </c>
      <c r="M143">
        <f t="shared" si="8"/>
        <v>92</v>
      </c>
      <c r="N143" s="51" t="s">
        <v>517</v>
      </c>
    </row>
    <row r="144" spans="1:15" hidden="1" x14ac:dyDescent="0.3">
      <c r="A144">
        <f t="shared" si="9"/>
        <v>139</v>
      </c>
      <c r="B144" t="s">
        <v>446</v>
      </c>
      <c r="C144">
        <v>57565</v>
      </c>
      <c r="D144" t="s">
        <v>109</v>
      </c>
      <c r="E144" t="s">
        <v>252</v>
      </c>
      <c r="F144" t="s">
        <v>253</v>
      </c>
      <c r="G144" t="s">
        <v>254</v>
      </c>
      <c r="H144" t="s">
        <v>255</v>
      </c>
      <c r="K144">
        <f>COUNTIF(EIAthru2010!$B$6:$B$111,EIAthru2011!C144)</f>
        <v>0</v>
      </c>
      <c r="L144" s="51" t="str">
        <f t="shared" si="7"/>
        <v>Yes</v>
      </c>
      <c r="M144">
        <f t="shared" si="8"/>
        <v>92</v>
      </c>
      <c r="N144" s="51"/>
      <c r="O144" t="str">
        <f>D144</f>
        <v>FL</v>
      </c>
    </row>
    <row r="145" spans="1:15" hidden="1" x14ac:dyDescent="0.3">
      <c r="A145">
        <f t="shared" si="9"/>
        <v>140</v>
      </c>
      <c r="B145" t="s">
        <v>316</v>
      </c>
      <c r="C145">
        <v>57507</v>
      </c>
      <c r="D145" t="s">
        <v>51</v>
      </c>
      <c r="E145" t="s">
        <v>278</v>
      </c>
      <c r="F145" t="s">
        <v>253</v>
      </c>
      <c r="G145" t="s">
        <v>254</v>
      </c>
      <c r="H145" t="s">
        <v>255</v>
      </c>
      <c r="K145">
        <f>COUNTIF(EIAthru2010!$B$6:$B$111,EIAthru2011!C145)</f>
        <v>1</v>
      </c>
      <c r="L145" s="51" t="str">
        <f t="shared" si="7"/>
        <v>No</v>
      </c>
      <c r="M145">
        <f t="shared" si="8"/>
        <v>92</v>
      </c>
      <c r="N145" s="51" t="s">
        <v>517</v>
      </c>
    </row>
    <row r="146" spans="1:15" hidden="1" x14ac:dyDescent="0.3">
      <c r="A146">
        <f t="shared" si="9"/>
        <v>141</v>
      </c>
      <c r="B146" t="s">
        <v>317</v>
      </c>
      <c r="C146">
        <v>57141</v>
      </c>
      <c r="D146" t="s">
        <v>51</v>
      </c>
      <c r="E146" t="s">
        <v>278</v>
      </c>
      <c r="F146" t="s">
        <v>253</v>
      </c>
      <c r="G146" t="s">
        <v>254</v>
      </c>
      <c r="H146" t="s">
        <v>255</v>
      </c>
      <c r="K146">
        <f>COUNTIF(EIAthru2010!$B$6:$B$111,EIAthru2011!C146)</f>
        <v>1</v>
      </c>
      <c r="L146" s="51" t="str">
        <f t="shared" si="7"/>
        <v>No</v>
      </c>
      <c r="M146">
        <f t="shared" si="8"/>
        <v>92</v>
      </c>
      <c r="N146" s="51" t="s">
        <v>517</v>
      </c>
    </row>
    <row r="147" spans="1:15" hidden="1" x14ac:dyDescent="0.3">
      <c r="A147">
        <f t="shared" si="9"/>
        <v>142</v>
      </c>
      <c r="B147" t="s">
        <v>318</v>
      </c>
      <c r="C147">
        <v>529</v>
      </c>
      <c r="D147" t="s">
        <v>24</v>
      </c>
      <c r="E147" t="s">
        <v>248</v>
      </c>
      <c r="F147" t="s">
        <v>253</v>
      </c>
      <c r="G147" t="s">
        <v>254</v>
      </c>
      <c r="H147" t="s">
        <v>255</v>
      </c>
      <c r="K147">
        <f>COUNTIF(EIAthru2010!$B$6:$B$111,EIAthru2011!C147)</f>
        <v>1</v>
      </c>
      <c r="L147" s="51" t="str">
        <f t="shared" si="7"/>
        <v>No</v>
      </c>
      <c r="M147">
        <f t="shared" si="8"/>
        <v>92</v>
      </c>
      <c r="N147" s="51" t="s">
        <v>517</v>
      </c>
    </row>
    <row r="148" spans="1:15" hidden="1" x14ac:dyDescent="0.3">
      <c r="A148">
        <f t="shared" si="9"/>
        <v>143</v>
      </c>
      <c r="B148" t="s">
        <v>447</v>
      </c>
      <c r="C148">
        <v>57685</v>
      </c>
      <c r="D148" t="s">
        <v>109</v>
      </c>
      <c r="E148" t="s">
        <v>252</v>
      </c>
      <c r="F148" t="s">
        <v>253</v>
      </c>
      <c r="G148" t="s">
        <v>254</v>
      </c>
      <c r="H148" t="s">
        <v>255</v>
      </c>
      <c r="K148">
        <f>COUNTIF(EIAthru2010!$B$6:$B$111,EIAthru2011!C148)</f>
        <v>0</v>
      </c>
      <c r="L148" s="51" t="str">
        <f t="shared" si="7"/>
        <v>Yes</v>
      </c>
      <c r="M148">
        <f t="shared" si="8"/>
        <v>92</v>
      </c>
      <c r="N148" s="51"/>
      <c r="O148" t="str">
        <f>D148</f>
        <v>FL</v>
      </c>
    </row>
    <row r="149" spans="1:15" hidden="1" x14ac:dyDescent="0.3">
      <c r="A149">
        <f t="shared" si="9"/>
        <v>144</v>
      </c>
      <c r="B149" t="s">
        <v>448</v>
      </c>
      <c r="C149">
        <v>57338</v>
      </c>
      <c r="D149" t="s">
        <v>144</v>
      </c>
      <c r="E149" t="s">
        <v>252</v>
      </c>
      <c r="F149" t="s">
        <v>253</v>
      </c>
      <c r="G149" t="s">
        <v>254</v>
      </c>
      <c r="H149" t="s">
        <v>255</v>
      </c>
      <c r="K149">
        <f>COUNTIF(EIAthru2010!$B$6:$B$111,EIAthru2011!C149)</f>
        <v>0</v>
      </c>
      <c r="L149" s="51" t="str">
        <f t="shared" si="7"/>
        <v>Yes</v>
      </c>
      <c r="M149">
        <f t="shared" si="8"/>
        <v>92</v>
      </c>
      <c r="N149" s="51"/>
      <c r="O149" t="str">
        <f>D149</f>
        <v>NM</v>
      </c>
    </row>
    <row r="150" spans="1:15" hidden="1" x14ac:dyDescent="0.3">
      <c r="A150">
        <f t="shared" si="9"/>
        <v>145</v>
      </c>
      <c r="B150" t="s">
        <v>319</v>
      </c>
      <c r="C150">
        <v>57579</v>
      </c>
      <c r="D150" t="s">
        <v>24</v>
      </c>
      <c r="E150" t="s">
        <v>248</v>
      </c>
      <c r="F150" t="s">
        <v>253</v>
      </c>
      <c r="G150" t="s">
        <v>254</v>
      </c>
      <c r="H150" t="s">
        <v>255</v>
      </c>
      <c r="K150">
        <f>COUNTIF(EIAthru2010!$B$6:$B$111,EIAthru2011!C150)</f>
        <v>1</v>
      </c>
      <c r="L150" s="51" t="str">
        <f t="shared" si="7"/>
        <v>No</v>
      </c>
      <c r="M150">
        <f t="shared" si="8"/>
        <v>92</v>
      </c>
      <c r="N150" s="51" t="s">
        <v>517</v>
      </c>
    </row>
    <row r="151" spans="1:15" hidden="1" x14ac:dyDescent="0.3">
      <c r="A151">
        <f t="shared" si="9"/>
        <v>146</v>
      </c>
      <c r="B151" t="s">
        <v>320</v>
      </c>
      <c r="C151">
        <v>57524</v>
      </c>
      <c r="D151" t="s">
        <v>23</v>
      </c>
      <c r="E151" t="s">
        <v>252</v>
      </c>
      <c r="F151" t="s">
        <v>253</v>
      </c>
      <c r="G151" t="s">
        <v>254</v>
      </c>
      <c r="H151" t="s">
        <v>255</v>
      </c>
      <c r="K151">
        <f>COUNTIF(EIAthru2010!$B$6:$B$111,EIAthru2011!C151)</f>
        <v>1</v>
      </c>
      <c r="L151" s="51" t="str">
        <f t="shared" si="7"/>
        <v>No</v>
      </c>
      <c r="M151">
        <f t="shared" si="8"/>
        <v>92</v>
      </c>
      <c r="N151" s="51" t="s">
        <v>517</v>
      </c>
    </row>
    <row r="152" spans="1:15" x14ac:dyDescent="0.3">
      <c r="A152">
        <f t="shared" si="9"/>
        <v>147</v>
      </c>
      <c r="B152" t="s">
        <v>449</v>
      </c>
      <c r="C152">
        <v>57465</v>
      </c>
      <c r="D152" t="s">
        <v>83</v>
      </c>
      <c r="E152" t="s">
        <v>252</v>
      </c>
      <c r="F152" t="s">
        <v>253</v>
      </c>
      <c r="G152" t="s">
        <v>254</v>
      </c>
      <c r="H152" t="s">
        <v>255</v>
      </c>
      <c r="K152">
        <f>COUNTIF(EIAthru2010!$B$6:$B$111,EIAthru2011!C152)</f>
        <v>0</v>
      </c>
      <c r="L152" s="51" t="str">
        <f t="shared" si="7"/>
        <v>Yes</v>
      </c>
      <c r="M152">
        <f t="shared" si="8"/>
        <v>92</v>
      </c>
      <c r="N152" s="51"/>
      <c r="O152" t="str">
        <f>D152</f>
        <v>PA</v>
      </c>
    </row>
    <row r="153" spans="1:15" hidden="1" x14ac:dyDescent="0.3">
      <c r="A153">
        <f t="shared" si="9"/>
        <v>148</v>
      </c>
      <c r="B153" t="s">
        <v>88</v>
      </c>
      <c r="C153">
        <v>56915</v>
      </c>
      <c r="D153" t="s">
        <v>86</v>
      </c>
      <c r="E153" t="s">
        <v>252</v>
      </c>
      <c r="F153" t="s">
        <v>253</v>
      </c>
      <c r="G153" t="s">
        <v>254</v>
      </c>
      <c r="H153" t="s">
        <v>255</v>
      </c>
      <c r="K153">
        <f>COUNTIF(EIAthru2010!$B$6:$B$111,EIAthru2011!C153)</f>
        <v>1</v>
      </c>
      <c r="L153" s="51" t="str">
        <f t="shared" si="7"/>
        <v>No</v>
      </c>
      <c r="M153">
        <f t="shared" si="8"/>
        <v>92</v>
      </c>
      <c r="N153" s="51" t="s">
        <v>517</v>
      </c>
    </row>
    <row r="154" spans="1:15" hidden="1" x14ac:dyDescent="0.3">
      <c r="A154">
        <f t="shared" si="9"/>
        <v>149</v>
      </c>
      <c r="B154" t="s">
        <v>13</v>
      </c>
      <c r="C154">
        <v>10439</v>
      </c>
      <c r="D154" t="s">
        <v>24</v>
      </c>
      <c r="E154" t="s">
        <v>252</v>
      </c>
      <c r="F154" t="s">
        <v>258</v>
      </c>
      <c r="G154" t="s">
        <v>254</v>
      </c>
      <c r="H154" t="s">
        <v>259</v>
      </c>
      <c r="K154">
        <f>COUNTIF(EIAthru2010!$B$6:$B$111,EIAthru2011!C154)</f>
        <v>1</v>
      </c>
      <c r="L154" s="51" t="str">
        <f t="shared" si="7"/>
        <v>No</v>
      </c>
      <c r="M154">
        <f t="shared" si="8"/>
        <v>92</v>
      </c>
      <c r="N154" s="51" t="s">
        <v>517</v>
      </c>
    </row>
    <row r="155" spans="1:15" hidden="1" x14ac:dyDescent="0.3">
      <c r="A155">
        <f t="shared" si="9"/>
        <v>150</v>
      </c>
      <c r="B155" t="s">
        <v>14</v>
      </c>
      <c r="C155">
        <v>10440</v>
      </c>
      <c r="D155" t="s">
        <v>24</v>
      </c>
      <c r="E155" t="s">
        <v>252</v>
      </c>
      <c r="F155" t="s">
        <v>258</v>
      </c>
      <c r="G155" t="s">
        <v>254</v>
      </c>
      <c r="H155" t="s">
        <v>259</v>
      </c>
      <c r="K155">
        <f>COUNTIF(EIAthru2010!$B$6:$B$111,EIAthru2011!C155)</f>
        <v>1</v>
      </c>
      <c r="L155" s="51" t="str">
        <f t="shared" si="7"/>
        <v>No</v>
      </c>
      <c r="M155">
        <f t="shared" si="8"/>
        <v>92</v>
      </c>
      <c r="N155" s="51" t="s">
        <v>517</v>
      </c>
    </row>
    <row r="156" spans="1:15" hidden="1" x14ac:dyDescent="0.3">
      <c r="A156">
        <f t="shared" si="9"/>
        <v>151</v>
      </c>
      <c r="B156" t="s">
        <v>15</v>
      </c>
      <c r="C156">
        <v>10446</v>
      </c>
      <c r="D156" t="s">
        <v>24</v>
      </c>
      <c r="E156" t="s">
        <v>252</v>
      </c>
      <c r="F156" t="s">
        <v>258</v>
      </c>
      <c r="G156" t="s">
        <v>254</v>
      </c>
      <c r="H156" t="s">
        <v>259</v>
      </c>
      <c r="K156">
        <f>COUNTIF(EIAthru2010!$B$6:$B$111,EIAthru2011!C156)</f>
        <v>1</v>
      </c>
      <c r="L156" s="51" t="str">
        <f t="shared" si="7"/>
        <v>No</v>
      </c>
      <c r="M156">
        <f t="shared" si="8"/>
        <v>92</v>
      </c>
      <c r="N156" s="51" t="s">
        <v>517</v>
      </c>
    </row>
    <row r="157" spans="1:15" hidden="1" x14ac:dyDescent="0.3">
      <c r="A157">
        <f t="shared" si="9"/>
        <v>152</v>
      </c>
      <c r="B157" t="s">
        <v>16</v>
      </c>
      <c r="C157">
        <v>10441</v>
      </c>
      <c r="D157" t="s">
        <v>24</v>
      </c>
      <c r="E157" t="s">
        <v>252</v>
      </c>
      <c r="F157" t="s">
        <v>258</v>
      </c>
      <c r="G157" t="s">
        <v>254</v>
      </c>
      <c r="H157" t="s">
        <v>259</v>
      </c>
      <c r="K157">
        <f>COUNTIF(EIAthru2010!$B$6:$B$111,EIAthru2011!C157)</f>
        <v>1</v>
      </c>
      <c r="L157" s="51" t="str">
        <f t="shared" si="7"/>
        <v>No</v>
      </c>
      <c r="M157">
        <f t="shared" si="8"/>
        <v>92</v>
      </c>
      <c r="N157" s="51" t="s">
        <v>517</v>
      </c>
    </row>
    <row r="158" spans="1:15" hidden="1" x14ac:dyDescent="0.3">
      <c r="A158">
        <f t="shared" si="9"/>
        <v>153</v>
      </c>
      <c r="B158" t="s">
        <v>17</v>
      </c>
      <c r="C158">
        <v>10442</v>
      </c>
      <c r="D158" t="s">
        <v>24</v>
      </c>
      <c r="E158" t="s">
        <v>252</v>
      </c>
      <c r="F158" t="s">
        <v>258</v>
      </c>
      <c r="G158" t="s">
        <v>254</v>
      </c>
      <c r="H158" t="s">
        <v>259</v>
      </c>
      <c r="K158">
        <f>COUNTIF(EIAthru2010!$B$6:$B$111,EIAthru2011!C158)</f>
        <v>1</v>
      </c>
      <c r="L158" s="51" t="str">
        <f t="shared" si="7"/>
        <v>No</v>
      </c>
      <c r="M158">
        <f t="shared" si="8"/>
        <v>92</v>
      </c>
      <c r="N158" s="51" t="s">
        <v>517</v>
      </c>
    </row>
    <row r="159" spans="1:15" hidden="1" x14ac:dyDescent="0.3">
      <c r="A159">
        <f t="shared" si="9"/>
        <v>154</v>
      </c>
      <c r="B159" t="s">
        <v>18</v>
      </c>
      <c r="C159">
        <v>10443</v>
      </c>
      <c r="D159" t="s">
        <v>24</v>
      </c>
      <c r="E159" t="s">
        <v>252</v>
      </c>
      <c r="F159" t="s">
        <v>258</v>
      </c>
      <c r="G159" t="s">
        <v>254</v>
      </c>
      <c r="H159" t="s">
        <v>259</v>
      </c>
      <c r="K159">
        <f>COUNTIF(EIAthru2010!$B$6:$B$111,EIAthru2011!C159)</f>
        <v>1</v>
      </c>
      <c r="L159" s="51" t="str">
        <f t="shared" si="7"/>
        <v>No</v>
      </c>
      <c r="M159">
        <f t="shared" si="8"/>
        <v>92</v>
      </c>
      <c r="N159" s="51" t="s">
        <v>517</v>
      </c>
    </row>
    <row r="160" spans="1:15" hidden="1" x14ac:dyDescent="0.3">
      <c r="A160">
        <f t="shared" si="9"/>
        <v>155</v>
      </c>
      <c r="B160" t="s">
        <v>450</v>
      </c>
      <c r="C160">
        <v>57671</v>
      </c>
      <c r="D160" t="s">
        <v>24</v>
      </c>
      <c r="E160" t="s">
        <v>252</v>
      </c>
      <c r="F160" t="s">
        <v>253</v>
      </c>
      <c r="G160" t="s">
        <v>254</v>
      </c>
      <c r="H160" t="s">
        <v>255</v>
      </c>
      <c r="K160">
        <f>COUNTIF(EIAthru2010!$B$6:$B$111,EIAthru2011!C160)</f>
        <v>0</v>
      </c>
      <c r="L160" s="51" t="str">
        <f t="shared" si="7"/>
        <v>Yes</v>
      </c>
      <c r="M160">
        <f t="shared" si="8"/>
        <v>93</v>
      </c>
      <c r="N160" s="51" t="s">
        <v>500</v>
      </c>
    </row>
    <row r="161" spans="1:15" hidden="1" x14ac:dyDescent="0.3">
      <c r="A161">
        <f t="shared" si="9"/>
        <v>156</v>
      </c>
      <c r="B161" t="s">
        <v>451</v>
      </c>
      <c r="C161">
        <v>57669</v>
      </c>
      <c r="D161" t="s">
        <v>24</v>
      </c>
      <c r="E161" t="s">
        <v>252</v>
      </c>
      <c r="F161" t="s">
        <v>253</v>
      </c>
      <c r="G161" t="s">
        <v>254</v>
      </c>
      <c r="H161" t="s">
        <v>255</v>
      </c>
      <c r="K161">
        <f>COUNTIF(EIAthru2010!$B$6:$B$111,EIAthru2011!C161)</f>
        <v>0</v>
      </c>
      <c r="L161" s="51" t="str">
        <f t="shared" si="7"/>
        <v>Yes</v>
      </c>
      <c r="M161">
        <f t="shared" si="8"/>
        <v>93</v>
      </c>
      <c r="N161" s="51"/>
      <c r="O161" t="str">
        <f t="shared" ref="O161:O166" si="10">D161</f>
        <v>CA</v>
      </c>
    </row>
    <row r="162" spans="1:15" hidden="1" x14ac:dyDescent="0.3">
      <c r="A162">
        <f t="shared" si="9"/>
        <v>157</v>
      </c>
      <c r="B162" t="s">
        <v>452</v>
      </c>
      <c r="C162">
        <v>57753</v>
      </c>
      <c r="D162" t="s">
        <v>24</v>
      </c>
      <c r="E162" t="s">
        <v>252</v>
      </c>
      <c r="F162" t="s">
        <v>253</v>
      </c>
      <c r="G162" t="s">
        <v>254</v>
      </c>
      <c r="H162" t="s">
        <v>255</v>
      </c>
      <c r="K162">
        <f>COUNTIF(EIAthru2010!$B$6:$B$111,EIAthru2011!C162)</f>
        <v>0</v>
      </c>
      <c r="L162" s="51" t="str">
        <f t="shared" si="7"/>
        <v>Yes</v>
      </c>
      <c r="M162">
        <f t="shared" si="8"/>
        <v>93</v>
      </c>
      <c r="N162" s="51"/>
      <c r="O162" t="str">
        <f t="shared" si="10"/>
        <v>CA</v>
      </c>
    </row>
    <row r="163" spans="1:15" hidden="1" x14ac:dyDescent="0.3">
      <c r="A163">
        <f t="shared" si="9"/>
        <v>158</v>
      </c>
      <c r="B163" t="s">
        <v>453</v>
      </c>
      <c r="C163">
        <v>57670</v>
      </c>
      <c r="D163" t="s">
        <v>24</v>
      </c>
      <c r="E163" t="s">
        <v>252</v>
      </c>
      <c r="F163" t="s">
        <v>253</v>
      </c>
      <c r="G163" t="s">
        <v>254</v>
      </c>
      <c r="H163" t="s">
        <v>255</v>
      </c>
      <c r="K163">
        <f>COUNTIF(EIAthru2010!$B$6:$B$111,EIAthru2011!C163)</f>
        <v>0</v>
      </c>
      <c r="L163" s="51" t="str">
        <f t="shared" si="7"/>
        <v>Yes</v>
      </c>
      <c r="M163">
        <f t="shared" si="8"/>
        <v>93</v>
      </c>
      <c r="N163" s="51"/>
      <c r="O163" t="str">
        <f t="shared" si="10"/>
        <v>CA</v>
      </c>
    </row>
    <row r="164" spans="1:15" hidden="1" x14ac:dyDescent="0.3">
      <c r="A164">
        <f t="shared" si="9"/>
        <v>159</v>
      </c>
      <c r="B164" t="s">
        <v>454</v>
      </c>
      <c r="C164">
        <v>57736</v>
      </c>
      <c r="D164" t="s">
        <v>144</v>
      </c>
      <c r="E164" t="s">
        <v>252</v>
      </c>
      <c r="F164" t="s">
        <v>253</v>
      </c>
      <c r="G164" t="s">
        <v>254</v>
      </c>
      <c r="H164" t="s">
        <v>255</v>
      </c>
      <c r="K164">
        <f>COUNTIF(EIAthru2010!$B$6:$B$111,EIAthru2011!C164)</f>
        <v>0</v>
      </c>
      <c r="L164" s="51" t="str">
        <f t="shared" si="7"/>
        <v>Yes</v>
      </c>
      <c r="M164">
        <f t="shared" si="8"/>
        <v>93</v>
      </c>
      <c r="N164" s="51"/>
      <c r="O164" t="str">
        <f t="shared" si="10"/>
        <v>NM</v>
      </c>
    </row>
    <row r="165" spans="1:15" hidden="1" x14ac:dyDescent="0.3">
      <c r="A165">
        <f t="shared" si="9"/>
        <v>160</v>
      </c>
      <c r="B165" t="s">
        <v>455</v>
      </c>
      <c r="C165">
        <v>57737</v>
      </c>
      <c r="D165" t="s">
        <v>144</v>
      </c>
      <c r="E165" t="s">
        <v>252</v>
      </c>
      <c r="F165" t="s">
        <v>253</v>
      </c>
      <c r="G165" t="s">
        <v>254</v>
      </c>
      <c r="H165" t="s">
        <v>255</v>
      </c>
      <c r="K165">
        <f>COUNTIF(EIAthru2010!$B$6:$B$111,EIAthru2011!C165)</f>
        <v>0</v>
      </c>
      <c r="L165" s="51" t="str">
        <f t="shared" si="7"/>
        <v>Yes</v>
      </c>
      <c r="M165">
        <f t="shared" si="8"/>
        <v>93</v>
      </c>
      <c r="N165" s="51"/>
      <c r="O165" t="str">
        <f t="shared" si="10"/>
        <v>NM</v>
      </c>
    </row>
    <row r="166" spans="1:15" hidden="1" x14ac:dyDescent="0.3">
      <c r="A166">
        <f t="shared" si="9"/>
        <v>161</v>
      </c>
      <c r="B166" t="s">
        <v>456</v>
      </c>
      <c r="C166">
        <v>57738</v>
      </c>
      <c r="D166" t="s">
        <v>144</v>
      </c>
      <c r="E166" t="s">
        <v>252</v>
      </c>
      <c r="F166" t="s">
        <v>253</v>
      </c>
      <c r="G166" t="s">
        <v>254</v>
      </c>
      <c r="H166" t="s">
        <v>255</v>
      </c>
      <c r="K166">
        <f>COUNTIF(EIAthru2010!$B$6:$B$111,EIAthru2011!C166)</f>
        <v>0</v>
      </c>
      <c r="L166" s="51" t="str">
        <f t="shared" si="7"/>
        <v>Yes</v>
      </c>
      <c r="M166">
        <f t="shared" si="8"/>
        <v>93</v>
      </c>
      <c r="N166" s="51"/>
      <c r="O166" t="str">
        <f t="shared" si="10"/>
        <v>NM</v>
      </c>
    </row>
    <row r="167" spans="1:15" hidden="1" x14ac:dyDescent="0.3">
      <c r="A167">
        <f t="shared" si="9"/>
        <v>162</v>
      </c>
      <c r="B167" t="s">
        <v>457</v>
      </c>
      <c r="C167">
        <v>57739</v>
      </c>
      <c r="D167" t="s">
        <v>144</v>
      </c>
      <c r="E167" t="s">
        <v>252</v>
      </c>
      <c r="F167" t="s">
        <v>253</v>
      </c>
      <c r="G167" t="s">
        <v>254</v>
      </c>
      <c r="H167" t="s">
        <v>255</v>
      </c>
      <c r="K167">
        <f>COUNTIF(EIAthru2010!$B$6:$B$111,EIAthru2011!C167)</f>
        <v>0</v>
      </c>
      <c r="L167" s="51" t="str">
        <f t="shared" si="7"/>
        <v>Yes</v>
      </c>
      <c r="M167">
        <f t="shared" si="8"/>
        <v>94</v>
      </c>
      <c r="N167" s="51" t="s">
        <v>500</v>
      </c>
    </row>
    <row r="168" spans="1:15" hidden="1" x14ac:dyDescent="0.3">
      <c r="A168">
        <f t="shared" si="9"/>
        <v>163</v>
      </c>
      <c r="B168" t="s">
        <v>458</v>
      </c>
      <c r="C168">
        <v>57740</v>
      </c>
      <c r="D168" t="s">
        <v>144</v>
      </c>
      <c r="E168" t="s">
        <v>252</v>
      </c>
      <c r="F168" t="s">
        <v>253</v>
      </c>
      <c r="G168" t="s">
        <v>254</v>
      </c>
      <c r="H168" t="s">
        <v>255</v>
      </c>
      <c r="K168">
        <f>COUNTIF(EIAthru2010!$B$6:$B$111,EIAthru2011!C168)</f>
        <v>0</v>
      </c>
      <c r="L168" s="51" t="str">
        <f t="shared" si="7"/>
        <v>Yes</v>
      </c>
      <c r="M168">
        <f t="shared" si="8"/>
        <v>94</v>
      </c>
      <c r="N168" s="51"/>
      <c r="O168" t="str">
        <f>D168</f>
        <v>NM</v>
      </c>
    </row>
    <row r="169" spans="1:15" hidden="1" x14ac:dyDescent="0.3">
      <c r="A169">
        <f t="shared" si="9"/>
        <v>164</v>
      </c>
      <c r="B169" t="s">
        <v>321</v>
      </c>
      <c r="C169">
        <v>56875</v>
      </c>
      <c r="D169" t="s">
        <v>24</v>
      </c>
      <c r="E169" t="s">
        <v>252</v>
      </c>
      <c r="F169" t="s">
        <v>253</v>
      </c>
      <c r="G169" t="s">
        <v>254</v>
      </c>
      <c r="H169" t="s">
        <v>255</v>
      </c>
      <c r="K169">
        <f>COUNTIF(EIAthru2010!$B$6:$B$111,EIAthru2011!C169)</f>
        <v>1</v>
      </c>
      <c r="L169" s="51" t="str">
        <f t="shared" si="7"/>
        <v>No</v>
      </c>
      <c r="M169">
        <f t="shared" si="8"/>
        <v>94</v>
      </c>
      <c r="N169" s="51" t="s">
        <v>517</v>
      </c>
    </row>
    <row r="170" spans="1:15" hidden="1" x14ac:dyDescent="0.3">
      <c r="A170">
        <f t="shared" si="9"/>
        <v>165</v>
      </c>
      <c r="B170" t="s">
        <v>19</v>
      </c>
      <c r="C170">
        <v>118</v>
      </c>
      <c r="D170" t="s">
        <v>23</v>
      </c>
      <c r="E170" t="s">
        <v>248</v>
      </c>
      <c r="F170" t="s">
        <v>322</v>
      </c>
      <c r="G170" t="s">
        <v>250</v>
      </c>
      <c r="H170" t="s">
        <v>251</v>
      </c>
      <c r="K170">
        <f>COUNTIF(EIAthru2010!$B$6:$B$111,EIAthru2011!C170)</f>
        <v>1</v>
      </c>
      <c r="L170" s="51" t="str">
        <f t="shared" si="7"/>
        <v>No</v>
      </c>
      <c r="M170">
        <f t="shared" si="8"/>
        <v>94</v>
      </c>
      <c r="N170" s="51" t="s">
        <v>517</v>
      </c>
    </row>
    <row r="171" spans="1:15" hidden="1" x14ac:dyDescent="0.3">
      <c r="A171">
        <f t="shared" si="9"/>
        <v>166</v>
      </c>
      <c r="B171" t="s">
        <v>459</v>
      </c>
      <c r="C171">
        <v>57317</v>
      </c>
      <c r="D171" t="s">
        <v>51</v>
      </c>
      <c r="E171" t="s">
        <v>252</v>
      </c>
      <c r="F171" t="s">
        <v>253</v>
      </c>
      <c r="G171" t="s">
        <v>254</v>
      </c>
      <c r="H171" t="s">
        <v>255</v>
      </c>
      <c r="K171">
        <f>COUNTIF(EIAthru2010!$B$6:$B$111,EIAthru2011!C171)</f>
        <v>0</v>
      </c>
      <c r="L171" s="51" t="str">
        <f t="shared" si="7"/>
        <v>Yes</v>
      </c>
      <c r="M171">
        <f t="shared" si="8"/>
        <v>94</v>
      </c>
      <c r="N171" s="51"/>
      <c r="O171" t="str">
        <f>D171</f>
        <v>CO</v>
      </c>
    </row>
    <row r="172" spans="1:15" hidden="1" x14ac:dyDescent="0.3">
      <c r="A172">
        <f t="shared" si="9"/>
        <v>167</v>
      </c>
      <c r="B172" t="s">
        <v>460</v>
      </c>
      <c r="C172">
        <v>57361</v>
      </c>
      <c r="D172" t="s">
        <v>24</v>
      </c>
      <c r="E172" t="s">
        <v>252</v>
      </c>
      <c r="F172" t="s">
        <v>253</v>
      </c>
      <c r="G172" t="s">
        <v>254</v>
      </c>
      <c r="H172" t="s">
        <v>255</v>
      </c>
      <c r="K172">
        <f>COUNTIF(EIAthru2010!$B$6:$B$111,EIAthru2011!C172)</f>
        <v>0</v>
      </c>
      <c r="L172" s="51" t="str">
        <f t="shared" si="7"/>
        <v>Yes</v>
      </c>
      <c r="M172">
        <f t="shared" si="8"/>
        <v>94</v>
      </c>
      <c r="N172" s="51"/>
      <c r="O172" t="str">
        <f>D172</f>
        <v>CA</v>
      </c>
    </row>
    <row r="173" spans="1:15" hidden="1" x14ac:dyDescent="0.3">
      <c r="A173">
        <f t="shared" si="9"/>
        <v>168</v>
      </c>
      <c r="B173" t="s">
        <v>461</v>
      </c>
      <c r="C173">
        <v>57667</v>
      </c>
      <c r="D173" t="s">
        <v>52</v>
      </c>
      <c r="E173" t="s">
        <v>252</v>
      </c>
      <c r="F173" t="s">
        <v>253</v>
      </c>
      <c r="G173" t="s">
        <v>254</v>
      </c>
      <c r="H173" t="s">
        <v>255</v>
      </c>
      <c r="K173">
        <f>COUNTIF(EIAthru2010!$B$6:$B$111,EIAthru2011!C173)</f>
        <v>0</v>
      </c>
      <c r="L173" s="51" t="str">
        <f t="shared" si="7"/>
        <v>Yes</v>
      </c>
      <c r="M173">
        <f t="shared" si="8"/>
        <v>94</v>
      </c>
      <c r="N173" s="51"/>
      <c r="O173" t="str">
        <f>D173</f>
        <v>NJ</v>
      </c>
    </row>
    <row r="174" spans="1:15" hidden="1" x14ac:dyDescent="0.3">
      <c r="A174">
        <f t="shared" si="9"/>
        <v>169</v>
      </c>
      <c r="B174" t="s">
        <v>323</v>
      </c>
      <c r="C174">
        <v>57200</v>
      </c>
      <c r="D174" t="s">
        <v>86</v>
      </c>
      <c r="E174" t="s">
        <v>252</v>
      </c>
      <c r="F174" t="s">
        <v>253</v>
      </c>
      <c r="G174" t="s">
        <v>254</v>
      </c>
      <c r="H174" t="s">
        <v>255</v>
      </c>
      <c r="K174">
        <f>COUNTIF(EIAthru2010!$B$6:$B$111,EIAthru2011!C174)</f>
        <v>1</v>
      </c>
      <c r="L174" s="51" t="str">
        <f t="shared" si="7"/>
        <v>No</v>
      </c>
      <c r="M174">
        <f t="shared" si="8"/>
        <v>94</v>
      </c>
      <c r="N174" s="51" t="s">
        <v>517</v>
      </c>
    </row>
    <row r="175" spans="1:15" hidden="1" x14ac:dyDescent="0.3">
      <c r="A175">
        <f t="shared" si="9"/>
        <v>170</v>
      </c>
      <c r="B175" t="s">
        <v>324</v>
      </c>
      <c r="C175">
        <v>57323</v>
      </c>
      <c r="D175" t="s">
        <v>24</v>
      </c>
      <c r="E175" t="s">
        <v>252</v>
      </c>
      <c r="F175" t="s">
        <v>258</v>
      </c>
      <c r="G175" t="s">
        <v>254</v>
      </c>
      <c r="H175" t="s">
        <v>259</v>
      </c>
      <c r="K175">
        <f>COUNTIF(EIAthru2010!$B$6:$B$111,EIAthru2011!C175)</f>
        <v>1</v>
      </c>
      <c r="L175" s="51" t="str">
        <f t="shared" si="7"/>
        <v>No</v>
      </c>
      <c r="M175">
        <f t="shared" si="8"/>
        <v>94</v>
      </c>
      <c r="N175" s="51" t="s">
        <v>517</v>
      </c>
    </row>
    <row r="176" spans="1:15" hidden="1" x14ac:dyDescent="0.3">
      <c r="A176">
        <f t="shared" si="9"/>
        <v>171</v>
      </c>
      <c r="B176" t="s">
        <v>325</v>
      </c>
      <c r="C176">
        <v>57341</v>
      </c>
      <c r="D176" t="s">
        <v>52</v>
      </c>
      <c r="E176" t="s">
        <v>248</v>
      </c>
      <c r="F176" t="s">
        <v>253</v>
      </c>
      <c r="G176" t="s">
        <v>254</v>
      </c>
      <c r="H176" t="s">
        <v>255</v>
      </c>
      <c r="K176">
        <f>COUNTIF(EIAthru2010!$B$6:$B$111,EIAthru2011!C176)</f>
        <v>1</v>
      </c>
      <c r="L176" s="51" t="str">
        <f t="shared" si="7"/>
        <v>No</v>
      </c>
      <c r="M176">
        <f t="shared" si="8"/>
        <v>94</v>
      </c>
      <c r="N176" s="51" t="s">
        <v>517</v>
      </c>
    </row>
    <row r="177" spans="1:15" hidden="1" x14ac:dyDescent="0.3">
      <c r="A177">
        <f t="shared" si="9"/>
        <v>172</v>
      </c>
      <c r="B177" t="s">
        <v>462</v>
      </c>
      <c r="C177">
        <v>57676</v>
      </c>
      <c r="D177" t="s">
        <v>64</v>
      </c>
      <c r="E177" t="s">
        <v>248</v>
      </c>
      <c r="F177" t="s">
        <v>253</v>
      </c>
      <c r="G177" t="s">
        <v>254</v>
      </c>
      <c r="H177" t="s">
        <v>255</v>
      </c>
      <c r="K177">
        <f>COUNTIF(EIAthru2010!$B$6:$B$111,EIAthru2011!C177)</f>
        <v>0</v>
      </c>
      <c r="L177" s="51" t="str">
        <f t="shared" si="7"/>
        <v>Yes</v>
      </c>
      <c r="M177">
        <f t="shared" si="8"/>
        <v>94</v>
      </c>
      <c r="N177" s="51"/>
      <c r="O177" t="str">
        <f>D177</f>
        <v>MA</v>
      </c>
    </row>
    <row r="178" spans="1:15" hidden="1" x14ac:dyDescent="0.3">
      <c r="A178">
        <f t="shared" si="9"/>
        <v>173</v>
      </c>
      <c r="B178" t="s">
        <v>326</v>
      </c>
      <c r="C178">
        <v>56939</v>
      </c>
      <c r="D178" t="s">
        <v>24</v>
      </c>
      <c r="E178" t="s">
        <v>252</v>
      </c>
      <c r="F178" t="s">
        <v>253</v>
      </c>
      <c r="G178" t="s">
        <v>254</v>
      </c>
      <c r="H178" t="s">
        <v>255</v>
      </c>
      <c r="K178">
        <f>COUNTIF(EIAthru2010!$B$6:$B$111,EIAthru2011!C178)</f>
        <v>1</v>
      </c>
      <c r="L178" s="51" t="str">
        <f t="shared" si="7"/>
        <v>No</v>
      </c>
      <c r="M178">
        <f t="shared" si="8"/>
        <v>94</v>
      </c>
      <c r="N178" s="51" t="s">
        <v>517</v>
      </c>
    </row>
    <row r="179" spans="1:15" hidden="1" x14ac:dyDescent="0.3">
      <c r="A179">
        <f t="shared" si="9"/>
        <v>174</v>
      </c>
      <c r="B179" t="s">
        <v>463</v>
      </c>
      <c r="C179">
        <v>57438</v>
      </c>
      <c r="D179" t="s">
        <v>109</v>
      </c>
      <c r="E179" t="s">
        <v>252</v>
      </c>
      <c r="F179" t="s">
        <v>253</v>
      </c>
      <c r="G179" t="s">
        <v>254</v>
      </c>
      <c r="H179" t="s">
        <v>255</v>
      </c>
      <c r="K179">
        <f>COUNTIF(EIAthru2010!$B$6:$B$111,EIAthru2011!C179)</f>
        <v>0</v>
      </c>
      <c r="L179" s="51" t="str">
        <f t="shared" si="7"/>
        <v>Yes</v>
      </c>
      <c r="M179">
        <f t="shared" si="8"/>
        <v>95</v>
      </c>
      <c r="N179" s="51" t="s">
        <v>500</v>
      </c>
    </row>
    <row r="180" spans="1:15" hidden="1" x14ac:dyDescent="0.3">
      <c r="A180">
        <f t="shared" si="9"/>
        <v>175</v>
      </c>
      <c r="B180" t="s">
        <v>327</v>
      </c>
      <c r="C180">
        <v>56976</v>
      </c>
      <c r="D180" t="s">
        <v>24</v>
      </c>
      <c r="E180" t="s">
        <v>248</v>
      </c>
      <c r="F180" t="s">
        <v>253</v>
      </c>
      <c r="G180" t="s">
        <v>254</v>
      </c>
      <c r="H180" t="s">
        <v>255</v>
      </c>
      <c r="K180">
        <f>COUNTIF(EIAthru2010!$B$6:$B$111,EIAthru2011!C180)</f>
        <v>1</v>
      </c>
      <c r="L180" s="51" t="str">
        <f t="shared" si="7"/>
        <v>No</v>
      </c>
      <c r="M180">
        <f t="shared" si="8"/>
        <v>95</v>
      </c>
      <c r="N180" s="51" t="s">
        <v>517</v>
      </c>
    </row>
    <row r="181" spans="1:15" hidden="1" x14ac:dyDescent="0.3">
      <c r="A181">
        <f t="shared" si="9"/>
        <v>176</v>
      </c>
      <c r="B181" t="s">
        <v>328</v>
      </c>
      <c r="C181">
        <v>56996</v>
      </c>
      <c r="D181" t="s">
        <v>24</v>
      </c>
      <c r="E181" t="s">
        <v>248</v>
      </c>
      <c r="F181" t="s">
        <v>253</v>
      </c>
      <c r="G181" t="s">
        <v>254</v>
      </c>
      <c r="H181" t="s">
        <v>255</v>
      </c>
      <c r="K181">
        <f>COUNTIF(EIAthru2010!$B$6:$B$111,EIAthru2011!C181)</f>
        <v>1</v>
      </c>
      <c r="L181" s="51" t="str">
        <f t="shared" si="7"/>
        <v>No</v>
      </c>
      <c r="M181">
        <f t="shared" si="8"/>
        <v>95</v>
      </c>
      <c r="N181" s="51" t="s">
        <v>517</v>
      </c>
    </row>
    <row r="182" spans="1:15" hidden="1" x14ac:dyDescent="0.3">
      <c r="A182">
        <f t="shared" si="9"/>
        <v>177</v>
      </c>
      <c r="B182" t="s">
        <v>464</v>
      </c>
      <c r="C182">
        <v>57217</v>
      </c>
      <c r="D182" t="s">
        <v>24</v>
      </c>
      <c r="E182" t="s">
        <v>248</v>
      </c>
      <c r="F182" t="s">
        <v>253</v>
      </c>
      <c r="G182" t="s">
        <v>254</v>
      </c>
      <c r="H182" t="s">
        <v>255</v>
      </c>
      <c r="K182">
        <f>COUNTIF(EIAthru2010!$B$6:$B$111,EIAthru2011!C182)</f>
        <v>0</v>
      </c>
      <c r="L182" s="51" t="str">
        <f t="shared" si="7"/>
        <v>Yes</v>
      </c>
      <c r="M182">
        <f t="shared" si="8"/>
        <v>95</v>
      </c>
      <c r="N182" s="51" t="s">
        <v>517</v>
      </c>
    </row>
    <row r="183" spans="1:15" hidden="1" x14ac:dyDescent="0.3">
      <c r="A183">
        <f t="shared" si="9"/>
        <v>178</v>
      </c>
      <c r="B183" t="s">
        <v>465</v>
      </c>
      <c r="C183">
        <v>57220</v>
      </c>
      <c r="D183" t="s">
        <v>24</v>
      </c>
      <c r="E183" t="s">
        <v>248</v>
      </c>
      <c r="F183" t="s">
        <v>253</v>
      </c>
      <c r="G183" t="s">
        <v>254</v>
      </c>
      <c r="H183" t="s">
        <v>255</v>
      </c>
      <c r="K183">
        <f>COUNTIF(EIAthru2010!$B$6:$B$111,EIAthru2011!C183)</f>
        <v>0</v>
      </c>
      <c r="L183" s="51" t="str">
        <f t="shared" si="7"/>
        <v>Yes</v>
      </c>
      <c r="M183">
        <f t="shared" si="8"/>
        <v>95</v>
      </c>
      <c r="N183" s="51" t="s">
        <v>517</v>
      </c>
    </row>
    <row r="184" spans="1:15" hidden="1" x14ac:dyDescent="0.3">
      <c r="A184">
        <f t="shared" si="9"/>
        <v>179</v>
      </c>
      <c r="B184" t="s">
        <v>466</v>
      </c>
      <c r="C184">
        <v>57222</v>
      </c>
      <c r="D184" t="s">
        <v>24</v>
      </c>
      <c r="E184" t="s">
        <v>248</v>
      </c>
      <c r="F184" t="s">
        <v>253</v>
      </c>
      <c r="G184" t="s">
        <v>254</v>
      </c>
      <c r="H184" t="s">
        <v>255</v>
      </c>
      <c r="K184">
        <f>COUNTIF(EIAthru2010!$B$6:$B$111,EIAthru2011!C184)</f>
        <v>0</v>
      </c>
      <c r="L184" s="51" t="str">
        <f t="shared" si="7"/>
        <v>Yes</v>
      </c>
      <c r="M184">
        <f t="shared" si="8"/>
        <v>95</v>
      </c>
      <c r="N184" s="51" t="s">
        <v>517</v>
      </c>
    </row>
    <row r="185" spans="1:15" hidden="1" x14ac:dyDescent="0.3">
      <c r="A185">
        <f t="shared" si="9"/>
        <v>180</v>
      </c>
      <c r="B185" t="s">
        <v>467</v>
      </c>
      <c r="C185">
        <v>57223</v>
      </c>
      <c r="D185" t="s">
        <v>24</v>
      </c>
      <c r="E185" t="s">
        <v>248</v>
      </c>
      <c r="F185" t="s">
        <v>253</v>
      </c>
      <c r="G185" t="s">
        <v>254</v>
      </c>
      <c r="H185" t="s">
        <v>255</v>
      </c>
      <c r="K185">
        <f>COUNTIF(EIAthru2010!$B$6:$B$111,EIAthru2011!C185)</f>
        <v>0</v>
      </c>
      <c r="L185" s="51" t="str">
        <f t="shared" si="7"/>
        <v>Yes</v>
      </c>
      <c r="M185">
        <f t="shared" si="8"/>
        <v>95</v>
      </c>
      <c r="N185" s="51" t="s">
        <v>517</v>
      </c>
    </row>
    <row r="186" spans="1:15" hidden="1" x14ac:dyDescent="0.3">
      <c r="A186">
        <f t="shared" si="9"/>
        <v>181</v>
      </c>
      <c r="B186" t="s">
        <v>468</v>
      </c>
      <c r="C186">
        <v>57237</v>
      </c>
      <c r="D186" t="s">
        <v>24</v>
      </c>
      <c r="E186" t="s">
        <v>248</v>
      </c>
      <c r="F186" t="s">
        <v>253</v>
      </c>
      <c r="G186" t="s">
        <v>254</v>
      </c>
      <c r="H186" t="s">
        <v>255</v>
      </c>
      <c r="K186">
        <f>COUNTIF(EIAthru2010!$B$6:$B$111,EIAthru2011!C186)</f>
        <v>0</v>
      </c>
      <c r="L186" s="51" t="str">
        <f t="shared" si="7"/>
        <v>Yes</v>
      </c>
      <c r="M186">
        <f t="shared" si="8"/>
        <v>95</v>
      </c>
      <c r="N186" s="51" t="s">
        <v>517</v>
      </c>
    </row>
    <row r="187" spans="1:15" hidden="1" x14ac:dyDescent="0.3">
      <c r="A187">
        <f t="shared" si="9"/>
        <v>182</v>
      </c>
      <c r="B187" t="s">
        <v>469</v>
      </c>
      <c r="C187">
        <v>57435</v>
      </c>
      <c r="D187" t="s">
        <v>86</v>
      </c>
      <c r="E187" t="s">
        <v>252</v>
      </c>
      <c r="F187" t="s">
        <v>253</v>
      </c>
      <c r="G187" t="s">
        <v>254</v>
      </c>
      <c r="H187" t="s">
        <v>255</v>
      </c>
      <c r="K187">
        <f>COUNTIF(EIAthru2010!$B$6:$B$111,EIAthru2011!C187)</f>
        <v>0</v>
      </c>
      <c r="L187" s="51" t="str">
        <f t="shared" si="7"/>
        <v>Yes</v>
      </c>
      <c r="M187">
        <f t="shared" si="8"/>
        <v>95</v>
      </c>
      <c r="N187" s="51"/>
      <c r="O187" t="str">
        <f>D187</f>
        <v>NC</v>
      </c>
    </row>
    <row r="188" spans="1:15" hidden="1" x14ac:dyDescent="0.3">
      <c r="A188">
        <f t="shared" si="9"/>
        <v>183</v>
      </c>
      <c r="B188" t="s">
        <v>329</v>
      </c>
      <c r="C188">
        <v>56930</v>
      </c>
      <c r="D188" t="s">
        <v>109</v>
      </c>
      <c r="E188" t="s">
        <v>248</v>
      </c>
      <c r="F188" t="s">
        <v>253</v>
      </c>
      <c r="G188" t="s">
        <v>254</v>
      </c>
      <c r="H188" t="s">
        <v>255</v>
      </c>
      <c r="K188">
        <f>COUNTIF(EIAthru2010!$B$6:$B$111,EIAthru2011!C188)</f>
        <v>1</v>
      </c>
      <c r="L188" s="51" t="str">
        <f t="shared" si="7"/>
        <v>No</v>
      </c>
      <c r="M188">
        <f t="shared" si="8"/>
        <v>95</v>
      </c>
      <c r="N188" s="51" t="s">
        <v>517</v>
      </c>
    </row>
    <row r="189" spans="1:15" hidden="1" x14ac:dyDescent="0.3">
      <c r="A189">
        <f t="shared" si="9"/>
        <v>184</v>
      </c>
      <c r="B189" t="s">
        <v>20</v>
      </c>
      <c r="C189">
        <v>8223</v>
      </c>
      <c r="D189" t="s">
        <v>23</v>
      </c>
      <c r="E189" t="s">
        <v>248</v>
      </c>
      <c r="F189" t="s">
        <v>330</v>
      </c>
      <c r="G189" t="s">
        <v>331</v>
      </c>
      <c r="H189" t="s">
        <v>251</v>
      </c>
      <c r="K189">
        <f>COUNTIF(EIAthru2010!$B$6:$B$111,EIAthru2011!C189)</f>
        <v>1</v>
      </c>
      <c r="L189" s="51" t="str">
        <f t="shared" si="7"/>
        <v>No</v>
      </c>
      <c r="M189">
        <f t="shared" si="8"/>
        <v>95</v>
      </c>
      <c r="N189" s="51" t="s">
        <v>517</v>
      </c>
    </row>
    <row r="190" spans="1:15" hidden="1" x14ac:dyDescent="0.3">
      <c r="A190">
        <f t="shared" si="9"/>
        <v>185</v>
      </c>
      <c r="B190" t="s">
        <v>470</v>
      </c>
      <c r="C190">
        <v>57683</v>
      </c>
      <c r="D190" t="s">
        <v>24</v>
      </c>
      <c r="E190" t="s">
        <v>252</v>
      </c>
      <c r="F190" t="s">
        <v>253</v>
      </c>
      <c r="G190" t="s">
        <v>254</v>
      </c>
      <c r="H190" t="s">
        <v>255</v>
      </c>
      <c r="K190">
        <f>COUNTIF(EIAthru2010!$B$6:$B$111,EIAthru2011!C190)</f>
        <v>0</v>
      </c>
      <c r="L190" s="51" t="str">
        <f t="shared" si="7"/>
        <v>Yes</v>
      </c>
      <c r="M190">
        <f t="shared" si="8"/>
        <v>95</v>
      </c>
      <c r="N190" s="51"/>
      <c r="O190" t="str">
        <f>D190</f>
        <v>CA</v>
      </c>
    </row>
    <row r="191" spans="1:15" hidden="1" x14ac:dyDescent="0.3">
      <c r="A191">
        <f t="shared" si="9"/>
        <v>186</v>
      </c>
      <c r="B191" t="s">
        <v>332</v>
      </c>
      <c r="C191">
        <v>99999</v>
      </c>
      <c r="D191" t="s">
        <v>208</v>
      </c>
      <c r="E191" t="s">
        <v>208</v>
      </c>
      <c r="F191" t="s">
        <v>208</v>
      </c>
      <c r="G191" t="s">
        <v>208</v>
      </c>
      <c r="H191" t="s">
        <v>208</v>
      </c>
      <c r="K191">
        <f>COUNTIF(EIAthru2010!$B$6:$B$111,EIAthru2011!C191)</f>
        <v>1</v>
      </c>
      <c r="L191" s="51" t="str">
        <f t="shared" si="7"/>
        <v>No</v>
      </c>
      <c r="M191">
        <f t="shared" si="8"/>
        <v>95</v>
      </c>
      <c r="N191" s="51" t="s">
        <v>517</v>
      </c>
    </row>
    <row r="192" spans="1:15" hidden="1" x14ac:dyDescent="0.3">
      <c r="A192">
        <f t="shared" si="9"/>
        <v>187</v>
      </c>
      <c r="B192" t="s">
        <v>471</v>
      </c>
      <c r="C192">
        <v>57864</v>
      </c>
      <c r="D192" t="s">
        <v>52</v>
      </c>
      <c r="E192" t="s">
        <v>278</v>
      </c>
      <c r="F192" t="s">
        <v>253</v>
      </c>
      <c r="G192" t="s">
        <v>254</v>
      </c>
      <c r="H192" t="s">
        <v>255</v>
      </c>
      <c r="K192">
        <f>COUNTIF(EIAthru2010!$B$6:$B$111,EIAthru2011!C192)</f>
        <v>0</v>
      </c>
      <c r="L192" s="51" t="str">
        <f t="shared" si="7"/>
        <v>Yes</v>
      </c>
      <c r="M192">
        <f t="shared" si="8"/>
        <v>95</v>
      </c>
      <c r="N192" s="51"/>
      <c r="O192" t="str">
        <f>D192</f>
        <v>NJ</v>
      </c>
    </row>
    <row r="193" spans="1:15" hidden="1" x14ac:dyDescent="0.3">
      <c r="A193">
        <f t="shared" si="9"/>
        <v>188</v>
      </c>
      <c r="B193" t="s">
        <v>472</v>
      </c>
      <c r="C193">
        <v>57497</v>
      </c>
      <c r="D193" t="s">
        <v>24</v>
      </c>
      <c r="E193" t="s">
        <v>248</v>
      </c>
      <c r="F193" t="s">
        <v>253</v>
      </c>
      <c r="G193" t="s">
        <v>254</v>
      </c>
      <c r="H193" t="s">
        <v>255</v>
      </c>
      <c r="K193">
        <f>COUNTIF(EIAthru2010!$B$6:$B$111,EIAthru2011!C193)</f>
        <v>0</v>
      </c>
      <c r="L193" s="51" t="str">
        <f t="shared" si="7"/>
        <v>Yes</v>
      </c>
      <c r="M193">
        <f t="shared" si="8"/>
        <v>96</v>
      </c>
      <c r="N193" s="51" t="s">
        <v>500</v>
      </c>
    </row>
    <row r="194" spans="1:15" hidden="1" x14ac:dyDescent="0.3">
      <c r="A194">
        <f t="shared" si="9"/>
        <v>189</v>
      </c>
      <c r="B194" t="s">
        <v>473</v>
      </c>
      <c r="C194">
        <v>57726</v>
      </c>
      <c r="D194" t="s">
        <v>52</v>
      </c>
      <c r="E194" t="s">
        <v>248</v>
      </c>
      <c r="F194" t="s">
        <v>208</v>
      </c>
      <c r="G194" t="s">
        <v>208</v>
      </c>
      <c r="H194" t="s">
        <v>208</v>
      </c>
      <c r="K194">
        <f>COUNTIF(EIAthru2010!$B$6:$B$111,EIAthru2011!C194)</f>
        <v>0</v>
      </c>
      <c r="L194" s="51" t="str">
        <f t="shared" si="7"/>
        <v>Yes</v>
      </c>
      <c r="M194">
        <f t="shared" si="8"/>
        <v>96</v>
      </c>
      <c r="N194" s="51"/>
      <c r="O194" t="str">
        <f>D194</f>
        <v>NJ</v>
      </c>
    </row>
    <row r="195" spans="1:15" hidden="1" x14ac:dyDescent="0.3">
      <c r="A195">
        <f t="shared" si="9"/>
        <v>190</v>
      </c>
      <c r="B195" t="s">
        <v>474</v>
      </c>
      <c r="C195">
        <v>57360</v>
      </c>
      <c r="D195" t="s">
        <v>24</v>
      </c>
      <c r="E195" t="s">
        <v>252</v>
      </c>
      <c r="F195" t="s">
        <v>253</v>
      </c>
      <c r="G195" t="s">
        <v>254</v>
      </c>
      <c r="H195" t="s">
        <v>255</v>
      </c>
      <c r="K195">
        <f>COUNTIF(EIAthru2010!$B$6:$B$111,EIAthru2011!C195)</f>
        <v>0</v>
      </c>
      <c r="L195" s="51" t="str">
        <f t="shared" si="7"/>
        <v>Yes</v>
      </c>
      <c r="M195">
        <f t="shared" si="8"/>
        <v>96</v>
      </c>
      <c r="N195" s="51"/>
      <c r="O195" t="str">
        <f>D195</f>
        <v>CA</v>
      </c>
    </row>
    <row r="196" spans="1:15" hidden="1" x14ac:dyDescent="0.3">
      <c r="A196">
        <f t="shared" si="9"/>
        <v>191</v>
      </c>
      <c r="B196" t="s">
        <v>333</v>
      </c>
      <c r="C196">
        <v>57445</v>
      </c>
      <c r="D196" t="s">
        <v>86</v>
      </c>
      <c r="E196" t="s">
        <v>252</v>
      </c>
      <c r="F196" t="s">
        <v>253</v>
      </c>
      <c r="G196" t="s">
        <v>254</v>
      </c>
      <c r="H196" t="s">
        <v>255</v>
      </c>
      <c r="K196">
        <f>COUNTIF(EIAthru2010!$B$6:$B$111,EIAthru2011!C196)</f>
        <v>1</v>
      </c>
      <c r="L196" s="51" t="str">
        <f t="shared" si="7"/>
        <v>No</v>
      </c>
      <c r="M196">
        <f t="shared" si="8"/>
        <v>96</v>
      </c>
      <c r="N196" s="51" t="s">
        <v>517</v>
      </c>
    </row>
    <row r="197" spans="1:15" hidden="1" x14ac:dyDescent="0.3">
      <c r="A197">
        <f t="shared" si="9"/>
        <v>192</v>
      </c>
      <c r="B197" t="s">
        <v>334</v>
      </c>
      <c r="C197">
        <v>56481</v>
      </c>
      <c r="D197" t="s">
        <v>51</v>
      </c>
      <c r="E197" t="s">
        <v>252</v>
      </c>
      <c r="F197" t="s">
        <v>253</v>
      </c>
      <c r="G197" t="s">
        <v>254</v>
      </c>
      <c r="H197" t="s">
        <v>255</v>
      </c>
      <c r="K197">
        <f>COUNTIF(EIAthru2010!$B$6:$B$111,EIAthru2011!C197)</f>
        <v>1</v>
      </c>
      <c r="L197" s="51" t="str">
        <f t="shared" si="7"/>
        <v>No</v>
      </c>
      <c r="M197">
        <f t="shared" si="8"/>
        <v>96</v>
      </c>
      <c r="N197" s="51" t="s">
        <v>517</v>
      </c>
    </row>
    <row r="198" spans="1:15" hidden="1" x14ac:dyDescent="0.3">
      <c r="A198">
        <f t="shared" si="9"/>
        <v>193</v>
      </c>
      <c r="B198" t="s">
        <v>335</v>
      </c>
      <c r="C198">
        <v>57010</v>
      </c>
      <c r="D198" t="s">
        <v>24</v>
      </c>
      <c r="E198" t="s">
        <v>252</v>
      </c>
      <c r="F198" t="s">
        <v>253</v>
      </c>
      <c r="G198" t="s">
        <v>254</v>
      </c>
      <c r="H198" t="s">
        <v>255</v>
      </c>
      <c r="K198">
        <f>COUNTIF(EIAthru2010!$B$6:$B$111,EIAthru2011!C198)</f>
        <v>1</v>
      </c>
      <c r="L198" s="51" t="str">
        <f t="shared" si="7"/>
        <v>No</v>
      </c>
      <c r="M198">
        <f t="shared" si="8"/>
        <v>96</v>
      </c>
      <c r="N198" s="51" t="s">
        <v>517</v>
      </c>
    </row>
    <row r="199" spans="1:15" hidden="1" x14ac:dyDescent="0.3">
      <c r="A199">
        <f t="shared" si="9"/>
        <v>194</v>
      </c>
      <c r="B199" t="s">
        <v>336</v>
      </c>
      <c r="C199">
        <v>57007</v>
      </c>
      <c r="D199" t="s">
        <v>24</v>
      </c>
      <c r="E199" t="s">
        <v>252</v>
      </c>
      <c r="F199" t="s">
        <v>253</v>
      </c>
      <c r="G199" t="s">
        <v>254</v>
      </c>
      <c r="H199" t="s">
        <v>255</v>
      </c>
      <c r="K199">
        <f>COUNTIF(EIAthru2010!$B$6:$B$111,EIAthru2011!C199)</f>
        <v>1</v>
      </c>
      <c r="L199" s="51" t="str">
        <f t="shared" ref="L199:L234" si="11">IF(K199=0,"Yes","No")</f>
        <v>No</v>
      </c>
      <c r="M199">
        <f t="shared" ref="M199:M234" si="12">IF(N199="Y",M198+1,M198)</f>
        <v>96</v>
      </c>
      <c r="N199" s="51" t="s">
        <v>517</v>
      </c>
    </row>
    <row r="200" spans="1:15" hidden="1" x14ac:dyDescent="0.3">
      <c r="A200">
        <f t="shared" ref="A200:A234" si="13">A199+1</f>
        <v>195</v>
      </c>
      <c r="B200" t="s">
        <v>337</v>
      </c>
      <c r="C200">
        <v>56938</v>
      </c>
      <c r="D200" t="s">
        <v>86</v>
      </c>
      <c r="E200" t="s">
        <v>252</v>
      </c>
      <c r="F200" t="s">
        <v>253</v>
      </c>
      <c r="G200" t="s">
        <v>254</v>
      </c>
      <c r="H200" t="s">
        <v>255</v>
      </c>
      <c r="K200">
        <f>COUNTIF(EIAthru2010!$B$6:$B$111,EIAthru2011!C200)</f>
        <v>1</v>
      </c>
      <c r="L200" s="51" t="str">
        <f t="shared" si="11"/>
        <v>No</v>
      </c>
      <c r="M200">
        <f t="shared" si="12"/>
        <v>96</v>
      </c>
      <c r="N200" s="51" t="s">
        <v>517</v>
      </c>
    </row>
    <row r="201" spans="1:15" hidden="1" x14ac:dyDescent="0.3">
      <c r="A201">
        <f t="shared" si="13"/>
        <v>196</v>
      </c>
      <c r="B201" t="s">
        <v>338</v>
      </c>
      <c r="C201">
        <v>57008</v>
      </c>
      <c r="D201" t="s">
        <v>24</v>
      </c>
      <c r="E201" t="s">
        <v>252</v>
      </c>
      <c r="F201" t="s">
        <v>253</v>
      </c>
      <c r="G201" t="s">
        <v>254</v>
      </c>
      <c r="H201" t="s">
        <v>255</v>
      </c>
      <c r="K201">
        <f>COUNTIF(EIAthru2010!$B$6:$B$111,EIAthru2011!C201)</f>
        <v>1</v>
      </c>
      <c r="L201" s="51" t="str">
        <f t="shared" si="11"/>
        <v>No</v>
      </c>
      <c r="M201">
        <f t="shared" si="12"/>
        <v>96</v>
      </c>
      <c r="N201" s="51" t="s">
        <v>517</v>
      </c>
    </row>
    <row r="202" spans="1:15" hidden="1" x14ac:dyDescent="0.3">
      <c r="A202">
        <f t="shared" si="13"/>
        <v>197</v>
      </c>
      <c r="B202" t="s">
        <v>339</v>
      </c>
      <c r="C202">
        <v>57004</v>
      </c>
      <c r="D202" t="s">
        <v>24</v>
      </c>
      <c r="E202" t="s">
        <v>252</v>
      </c>
      <c r="F202" t="s">
        <v>253</v>
      </c>
      <c r="G202" t="s">
        <v>254</v>
      </c>
      <c r="H202" t="s">
        <v>255</v>
      </c>
      <c r="K202">
        <f>COUNTIF(EIAthru2010!$B$6:$B$111,EIAthru2011!C202)</f>
        <v>1</v>
      </c>
      <c r="L202" s="51" t="str">
        <f t="shared" si="11"/>
        <v>No</v>
      </c>
      <c r="M202">
        <f t="shared" si="12"/>
        <v>96</v>
      </c>
      <c r="N202" s="51" t="s">
        <v>517</v>
      </c>
    </row>
    <row r="203" spans="1:15" hidden="1" x14ac:dyDescent="0.3">
      <c r="A203">
        <f t="shared" si="13"/>
        <v>198</v>
      </c>
      <c r="B203" t="s">
        <v>340</v>
      </c>
      <c r="C203">
        <v>57012</v>
      </c>
      <c r="D203" t="s">
        <v>24</v>
      </c>
      <c r="E203" t="s">
        <v>252</v>
      </c>
      <c r="F203" t="s">
        <v>253</v>
      </c>
      <c r="G203" t="s">
        <v>254</v>
      </c>
      <c r="H203" t="s">
        <v>255</v>
      </c>
      <c r="K203">
        <f>COUNTIF(EIAthru2010!$B$6:$B$111,EIAthru2011!C203)</f>
        <v>1</v>
      </c>
      <c r="L203" s="51" t="str">
        <f t="shared" si="11"/>
        <v>No</v>
      </c>
      <c r="M203">
        <f t="shared" si="12"/>
        <v>96</v>
      </c>
      <c r="N203" s="51" t="s">
        <v>517</v>
      </c>
    </row>
    <row r="204" spans="1:15" hidden="1" x14ac:dyDescent="0.3">
      <c r="A204">
        <f t="shared" si="13"/>
        <v>199</v>
      </c>
      <c r="B204" t="s">
        <v>21</v>
      </c>
      <c r="C204">
        <v>10437</v>
      </c>
      <c r="D204" t="s">
        <v>24</v>
      </c>
      <c r="E204" t="s">
        <v>252</v>
      </c>
      <c r="F204" t="s">
        <v>475</v>
      </c>
      <c r="G204" t="s">
        <v>254</v>
      </c>
      <c r="H204" t="s">
        <v>476</v>
      </c>
      <c r="K204">
        <f>COUNTIF(EIAthru2010!$B$6:$B$111,EIAthru2011!C204)</f>
        <v>1</v>
      </c>
      <c r="L204" s="51" t="str">
        <f t="shared" si="11"/>
        <v>No</v>
      </c>
      <c r="M204">
        <f t="shared" si="12"/>
        <v>96</v>
      </c>
      <c r="N204" s="51" t="s">
        <v>517</v>
      </c>
    </row>
    <row r="205" spans="1:15" hidden="1" x14ac:dyDescent="0.3">
      <c r="A205">
        <f t="shared" si="13"/>
        <v>200</v>
      </c>
      <c r="B205" t="s">
        <v>22</v>
      </c>
      <c r="C205">
        <v>10438</v>
      </c>
      <c r="D205" t="s">
        <v>24</v>
      </c>
      <c r="E205" t="s">
        <v>252</v>
      </c>
      <c r="F205" t="s">
        <v>258</v>
      </c>
      <c r="G205" t="s">
        <v>254</v>
      </c>
      <c r="H205" t="s">
        <v>259</v>
      </c>
      <c r="K205">
        <f>COUNTIF(EIAthru2010!$B$6:$B$111,EIAthru2011!C205)</f>
        <v>1</v>
      </c>
      <c r="L205" s="51" t="str">
        <f t="shared" si="11"/>
        <v>No</v>
      </c>
      <c r="M205">
        <f t="shared" si="12"/>
        <v>96</v>
      </c>
      <c r="N205" s="51" t="s">
        <v>517</v>
      </c>
    </row>
    <row r="206" spans="1:15" hidden="1" x14ac:dyDescent="0.3">
      <c r="A206">
        <f t="shared" si="13"/>
        <v>201</v>
      </c>
      <c r="B206" t="s">
        <v>341</v>
      </c>
      <c r="C206">
        <v>57559</v>
      </c>
      <c r="D206" t="s">
        <v>24</v>
      </c>
      <c r="E206" t="s">
        <v>252</v>
      </c>
      <c r="F206" t="s">
        <v>253</v>
      </c>
      <c r="G206" t="s">
        <v>254</v>
      </c>
      <c r="H206" t="s">
        <v>255</v>
      </c>
      <c r="K206">
        <f>COUNTIF(EIAthru2010!$B$6:$B$111,EIAthru2011!C206)</f>
        <v>1</v>
      </c>
      <c r="L206" s="51" t="str">
        <f t="shared" si="11"/>
        <v>No</v>
      </c>
      <c r="M206">
        <f t="shared" si="12"/>
        <v>96</v>
      </c>
      <c r="N206" s="51" t="s">
        <v>517</v>
      </c>
    </row>
    <row r="207" spans="1:15" hidden="1" x14ac:dyDescent="0.3">
      <c r="A207">
        <f t="shared" si="13"/>
        <v>202</v>
      </c>
      <c r="B207" t="s">
        <v>342</v>
      </c>
      <c r="C207">
        <v>57402</v>
      </c>
      <c r="D207" t="s">
        <v>86</v>
      </c>
      <c r="E207" t="s">
        <v>252</v>
      </c>
      <c r="F207" t="s">
        <v>253</v>
      </c>
      <c r="G207" t="s">
        <v>254</v>
      </c>
      <c r="H207" t="s">
        <v>255</v>
      </c>
      <c r="K207">
        <f>COUNTIF(EIAthru2010!$B$6:$B$111,EIAthru2011!C207)</f>
        <v>1</v>
      </c>
      <c r="L207" s="51" t="str">
        <f t="shared" si="11"/>
        <v>No</v>
      </c>
      <c r="M207">
        <f t="shared" si="12"/>
        <v>96</v>
      </c>
      <c r="N207" s="51" t="s">
        <v>517</v>
      </c>
    </row>
    <row r="208" spans="1:15" hidden="1" x14ac:dyDescent="0.3">
      <c r="A208">
        <f t="shared" si="13"/>
        <v>203</v>
      </c>
      <c r="B208" t="s">
        <v>477</v>
      </c>
      <c r="C208">
        <v>57656</v>
      </c>
      <c r="D208" t="s">
        <v>24</v>
      </c>
      <c r="E208" t="s">
        <v>252</v>
      </c>
      <c r="F208" t="s">
        <v>253</v>
      </c>
      <c r="G208" t="s">
        <v>254</v>
      </c>
      <c r="H208" t="s">
        <v>255</v>
      </c>
      <c r="K208">
        <f>COUNTIF(EIAthru2010!$B$6:$B$111,EIAthru2011!C208)</f>
        <v>0</v>
      </c>
      <c r="L208" s="51" t="str">
        <f t="shared" si="11"/>
        <v>Yes</v>
      </c>
      <c r="M208">
        <f t="shared" si="12"/>
        <v>96</v>
      </c>
      <c r="N208" s="51"/>
      <c r="O208" t="str">
        <f>D208</f>
        <v>CA</v>
      </c>
    </row>
    <row r="209" spans="1:15" hidden="1" x14ac:dyDescent="0.3">
      <c r="A209">
        <f t="shared" si="13"/>
        <v>204</v>
      </c>
      <c r="B209" t="s">
        <v>478</v>
      </c>
      <c r="C209">
        <v>57746</v>
      </c>
      <c r="D209" t="s">
        <v>52</v>
      </c>
      <c r="E209" t="s">
        <v>252</v>
      </c>
      <c r="F209" t="s">
        <v>253</v>
      </c>
      <c r="G209" t="s">
        <v>254</v>
      </c>
      <c r="H209" t="s">
        <v>255</v>
      </c>
      <c r="K209">
        <f>COUNTIF(EIAthru2010!$B$6:$B$111,EIAthru2011!C209)</f>
        <v>0</v>
      </c>
      <c r="L209" s="51" t="str">
        <f t="shared" si="11"/>
        <v>Yes</v>
      </c>
      <c r="M209">
        <f t="shared" si="12"/>
        <v>96</v>
      </c>
      <c r="N209" s="51"/>
      <c r="O209" t="str">
        <f>D209</f>
        <v>NJ</v>
      </c>
    </row>
    <row r="210" spans="1:15" hidden="1" x14ac:dyDescent="0.3">
      <c r="A210">
        <f t="shared" si="13"/>
        <v>205</v>
      </c>
      <c r="B210" t="s">
        <v>479</v>
      </c>
      <c r="C210">
        <v>57745</v>
      </c>
      <c r="D210" t="s">
        <v>52</v>
      </c>
      <c r="E210" t="s">
        <v>252</v>
      </c>
      <c r="F210" t="s">
        <v>253</v>
      </c>
      <c r="G210" t="s">
        <v>254</v>
      </c>
      <c r="H210" t="s">
        <v>255</v>
      </c>
      <c r="K210">
        <f>COUNTIF(EIAthru2010!$B$6:$B$111,EIAthru2011!C210)</f>
        <v>0</v>
      </c>
      <c r="L210" s="51" t="str">
        <f t="shared" si="11"/>
        <v>Yes</v>
      </c>
      <c r="M210">
        <f t="shared" si="12"/>
        <v>97</v>
      </c>
      <c r="N210" s="51" t="s">
        <v>500</v>
      </c>
    </row>
    <row r="211" spans="1:15" hidden="1" x14ac:dyDescent="0.3">
      <c r="A211">
        <f t="shared" si="13"/>
        <v>206</v>
      </c>
      <c r="B211" t="s">
        <v>480</v>
      </c>
      <c r="C211">
        <v>57815</v>
      </c>
      <c r="D211" t="s">
        <v>52</v>
      </c>
      <c r="E211" t="s">
        <v>278</v>
      </c>
      <c r="F211" t="s">
        <v>253</v>
      </c>
      <c r="G211" t="s">
        <v>254</v>
      </c>
      <c r="H211" t="s">
        <v>255</v>
      </c>
      <c r="K211">
        <f>COUNTIF(EIAthru2010!$B$6:$B$111,EIAthru2011!C211)</f>
        <v>0</v>
      </c>
      <c r="L211" s="51" t="str">
        <f t="shared" si="11"/>
        <v>Yes</v>
      </c>
      <c r="M211">
        <f t="shared" si="12"/>
        <v>97</v>
      </c>
      <c r="N211" s="51"/>
      <c r="O211" t="str">
        <f>D211</f>
        <v>NJ</v>
      </c>
    </row>
    <row r="212" spans="1:15" hidden="1" x14ac:dyDescent="0.3">
      <c r="A212">
        <f t="shared" si="13"/>
        <v>207</v>
      </c>
      <c r="B212" t="s">
        <v>481</v>
      </c>
      <c r="C212">
        <v>57647</v>
      </c>
      <c r="D212" t="s">
        <v>52</v>
      </c>
      <c r="E212" t="s">
        <v>252</v>
      </c>
      <c r="F212" t="s">
        <v>253</v>
      </c>
      <c r="G212" t="s">
        <v>254</v>
      </c>
      <c r="H212" t="s">
        <v>255</v>
      </c>
      <c r="K212">
        <f>COUNTIF(EIAthru2010!$B$6:$B$111,EIAthru2011!C212)</f>
        <v>0</v>
      </c>
      <c r="L212" s="51" t="str">
        <f t="shared" si="11"/>
        <v>Yes</v>
      </c>
      <c r="M212">
        <f t="shared" si="12"/>
        <v>97</v>
      </c>
      <c r="N212" s="51"/>
      <c r="O212" t="str">
        <f>D212</f>
        <v>NJ</v>
      </c>
    </row>
    <row r="213" spans="1:15" hidden="1" x14ac:dyDescent="0.3">
      <c r="A213">
        <f t="shared" si="13"/>
        <v>208</v>
      </c>
      <c r="B213" t="s">
        <v>343</v>
      </c>
      <c r="C213">
        <v>57352</v>
      </c>
      <c r="D213" t="s">
        <v>52</v>
      </c>
      <c r="E213" t="s">
        <v>248</v>
      </c>
      <c r="F213" t="s">
        <v>253</v>
      </c>
      <c r="G213" t="s">
        <v>254</v>
      </c>
      <c r="H213" t="s">
        <v>255</v>
      </c>
      <c r="K213">
        <f>COUNTIF(EIAthru2010!$B$6:$B$111,EIAthru2011!C213)</f>
        <v>1</v>
      </c>
      <c r="L213" s="51" t="str">
        <f t="shared" si="11"/>
        <v>No</v>
      </c>
      <c r="M213">
        <f t="shared" si="12"/>
        <v>97</v>
      </c>
      <c r="N213" s="51" t="s">
        <v>517</v>
      </c>
    </row>
    <row r="214" spans="1:15" x14ac:dyDescent="0.3">
      <c r="A214">
        <f t="shared" si="13"/>
        <v>209</v>
      </c>
      <c r="B214" t="s">
        <v>482</v>
      </c>
      <c r="C214">
        <v>57519</v>
      </c>
      <c r="D214" t="s">
        <v>83</v>
      </c>
      <c r="E214" t="s">
        <v>297</v>
      </c>
      <c r="F214" t="s">
        <v>253</v>
      </c>
      <c r="G214" t="s">
        <v>254</v>
      </c>
      <c r="H214" t="s">
        <v>255</v>
      </c>
      <c r="K214">
        <f>COUNTIF(EIAthru2010!$B$6:$B$111,EIAthru2011!C214)</f>
        <v>0</v>
      </c>
      <c r="L214" s="51" t="str">
        <f t="shared" si="11"/>
        <v>Yes</v>
      </c>
      <c r="M214">
        <f t="shared" si="12"/>
        <v>97</v>
      </c>
      <c r="N214" s="51"/>
      <c r="O214" t="str">
        <f>D214</f>
        <v>PA</v>
      </c>
    </row>
    <row r="215" spans="1:15" hidden="1" x14ac:dyDescent="0.3">
      <c r="A215">
        <f t="shared" si="13"/>
        <v>210</v>
      </c>
      <c r="B215" t="s">
        <v>229</v>
      </c>
      <c r="C215">
        <v>57392</v>
      </c>
      <c r="D215" t="s">
        <v>23</v>
      </c>
      <c r="E215" t="s">
        <v>248</v>
      </c>
      <c r="F215" t="s">
        <v>253</v>
      </c>
      <c r="G215" t="s">
        <v>254</v>
      </c>
      <c r="H215" t="s">
        <v>255</v>
      </c>
      <c r="K215">
        <f>COUNTIF(EIAthru2010!$B$6:$B$111,EIAthru2011!C215)</f>
        <v>1</v>
      </c>
      <c r="L215" s="51" t="str">
        <f t="shared" si="11"/>
        <v>No</v>
      </c>
      <c r="M215">
        <f t="shared" si="12"/>
        <v>97</v>
      </c>
      <c r="N215" s="51" t="s">
        <v>517</v>
      </c>
    </row>
    <row r="216" spans="1:15" hidden="1" x14ac:dyDescent="0.3">
      <c r="A216">
        <f t="shared" si="13"/>
        <v>211</v>
      </c>
      <c r="B216" t="s">
        <v>483</v>
      </c>
      <c r="C216">
        <v>57856</v>
      </c>
      <c r="D216" t="s">
        <v>24</v>
      </c>
      <c r="E216" t="s">
        <v>278</v>
      </c>
      <c r="F216" t="s">
        <v>253</v>
      </c>
      <c r="G216" t="s">
        <v>254</v>
      </c>
      <c r="H216" t="s">
        <v>255</v>
      </c>
      <c r="K216">
        <f>COUNTIF(EIAthru2010!$B$6:$B$111,EIAthru2011!C216)</f>
        <v>0</v>
      </c>
      <c r="L216" s="51" t="str">
        <f t="shared" si="11"/>
        <v>Yes</v>
      </c>
      <c r="M216">
        <f t="shared" si="12"/>
        <v>97</v>
      </c>
      <c r="N216" s="51"/>
      <c r="O216" t="str">
        <f>D216</f>
        <v>CA</v>
      </c>
    </row>
    <row r="217" spans="1:15" hidden="1" x14ac:dyDescent="0.3">
      <c r="A217">
        <f t="shared" si="13"/>
        <v>212</v>
      </c>
      <c r="B217" t="s">
        <v>344</v>
      </c>
      <c r="C217">
        <v>57041</v>
      </c>
      <c r="D217" t="s">
        <v>24</v>
      </c>
      <c r="E217" t="s">
        <v>248</v>
      </c>
      <c r="F217" t="s">
        <v>253</v>
      </c>
      <c r="G217" t="s">
        <v>254</v>
      </c>
      <c r="H217" t="s">
        <v>255</v>
      </c>
      <c r="K217">
        <f>COUNTIF(EIAthru2010!$B$6:$B$111,EIAthru2011!C217)</f>
        <v>1</v>
      </c>
      <c r="L217" s="51" t="str">
        <f t="shared" si="11"/>
        <v>No</v>
      </c>
      <c r="M217">
        <f t="shared" si="12"/>
        <v>97</v>
      </c>
      <c r="N217" s="51" t="s">
        <v>517</v>
      </c>
    </row>
    <row r="218" spans="1:15" hidden="1" x14ac:dyDescent="0.3">
      <c r="A218">
        <f t="shared" si="13"/>
        <v>213</v>
      </c>
      <c r="B218" t="s">
        <v>345</v>
      </c>
      <c r="C218">
        <v>57254</v>
      </c>
      <c r="D218" t="s">
        <v>24</v>
      </c>
      <c r="E218" t="s">
        <v>278</v>
      </c>
      <c r="F218" t="s">
        <v>253</v>
      </c>
      <c r="G218" t="s">
        <v>254</v>
      </c>
      <c r="H218" t="s">
        <v>255</v>
      </c>
      <c r="K218">
        <f>COUNTIF(EIAthru2010!$B$6:$B$111,EIAthru2011!C218)</f>
        <v>1</v>
      </c>
      <c r="L218" s="51" t="str">
        <f t="shared" si="11"/>
        <v>No</v>
      </c>
      <c r="M218">
        <f t="shared" si="12"/>
        <v>97</v>
      </c>
      <c r="N218" s="51" t="s">
        <v>517</v>
      </c>
    </row>
    <row r="219" spans="1:15" hidden="1" x14ac:dyDescent="0.3">
      <c r="A219">
        <f t="shared" si="13"/>
        <v>214</v>
      </c>
      <c r="B219" t="s">
        <v>484</v>
      </c>
      <c r="C219">
        <v>57742</v>
      </c>
      <c r="D219" t="s">
        <v>52</v>
      </c>
      <c r="E219" t="s">
        <v>252</v>
      </c>
      <c r="F219" t="s">
        <v>253</v>
      </c>
      <c r="G219" t="s">
        <v>254</v>
      </c>
      <c r="H219" t="s">
        <v>255</v>
      </c>
      <c r="K219">
        <f>COUNTIF(EIAthru2010!$B$6:$B$111,EIAthru2011!C219)</f>
        <v>0</v>
      </c>
      <c r="L219" s="51" t="str">
        <f t="shared" si="11"/>
        <v>Yes</v>
      </c>
      <c r="M219">
        <f t="shared" si="12"/>
        <v>97</v>
      </c>
      <c r="N219" s="51"/>
      <c r="O219" t="str">
        <f>D219</f>
        <v>NJ</v>
      </c>
    </row>
    <row r="220" spans="1:15" hidden="1" x14ac:dyDescent="0.3">
      <c r="A220">
        <f t="shared" si="13"/>
        <v>215</v>
      </c>
      <c r="B220" t="s">
        <v>485</v>
      </c>
      <c r="C220">
        <v>57660</v>
      </c>
      <c r="D220" t="s">
        <v>52</v>
      </c>
      <c r="E220" t="s">
        <v>252</v>
      </c>
      <c r="F220" t="s">
        <v>253</v>
      </c>
      <c r="G220" t="s">
        <v>254</v>
      </c>
      <c r="H220" t="s">
        <v>255</v>
      </c>
      <c r="K220">
        <f>COUNTIF(EIAthru2010!$B$6:$B$111,EIAthru2011!C220)</f>
        <v>0</v>
      </c>
      <c r="L220" s="51" t="str">
        <f t="shared" si="11"/>
        <v>Yes</v>
      </c>
      <c r="M220">
        <f t="shared" si="12"/>
        <v>98</v>
      </c>
      <c r="N220" s="51" t="s">
        <v>500</v>
      </c>
    </row>
    <row r="221" spans="1:15" hidden="1" x14ac:dyDescent="0.3">
      <c r="A221">
        <f t="shared" si="13"/>
        <v>216</v>
      </c>
      <c r="B221" t="s">
        <v>232</v>
      </c>
      <c r="C221">
        <v>57383</v>
      </c>
      <c r="D221" t="s">
        <v>52</v>
      </c>
      <c r="E221" t="s">
        <v>248</v>
      </c>
      <c r="F221" t="s">
        <v>253</v>
      </c>
      <c r="G221" t="s">
        <v>254</v>
      </c>
      <c r="H221" t="s">
        <v>255</v>
      </c>
      <c r="K221">
        <f>COUNTIF(EIAthru2010!$B$6:$B$111,EIAthru2011!C221)</f>
        <v>1</v>
      </c>
      <c r="L221" s="51" t="str">
        <f t="shared" si="11"/>
        <v>No</v>
      </c>
      <c r="M221">
        <f t="shared" si="12"/>
        <v>98</v>
      </c>
      <c r="N221" s="51" t="s">
        <v>517</v>
      </c>
    </row>
    <row r="222" spans="1:15" hidden="1" x14ac:dyDescent="0.3">
      <c r="A222">
        <f t="shared" si="13"/>
        <v>217</v>
      </c>
      <c r="B222" t="s">
        <v>346</v>
      </c>
      <c r="C222">
        <v>56922</v>
      </c>
      <c r="D222" t="s">
        <v>51</v>
      </c>
      <c r="E222" t="s">
        <v>252</v>
      </c>
      <c r="F222" t="s">
        <v>253</v>
      </c>
      <c r="G222" t="s">
        <v>254</v>
      </c>
      <c r="H222" t="s">
        <v>255</v>
      </c>
      <c r="K222">
        <f>COUNTIF(EIAthru2010!$B$6:$B$111,EIAthru2011!C222)</f>
        <v>1</v>
      </c>
      <c r="L222" s="51" t="str">
        <f t="shared" si="11"/>
        <v>No</v>
      </c>
      <c r="M222">
        <f t="shared" si="12"/>
        <v>98</v>
      </c>
      <c r="N222" s="51" t="s">
        <v>517</v>
      </c>
    </row>
    <row r="223" spans="1:15" hidden="1" x14ac:dyDescent="0.3">
      <c r="A223">
        <f t="shared" si="13"/>
        <v>218</v>
      </c>
      <c r="B223" t="s">
        <v>347</v>
      </c>
      <c r="C223">
        <v>57006</v>
      </c>
      <c r="D223" t="s">
        <v>24</v>
      </c>
      <c r="E223" t="s">
        <v>252</v>
      </c>
      <c r="F223" t="s">
        <v>253</v>
      </c>
      <c r="G223" t="s">
        <v>254</v>
      </c>
      <c r="H223" t="s">
        <v>255</v>
      </c>
      <c r="K223">
        <f>COUNTIF(EIAthru2010!$B$6:$B$111,EIAthru2011!C223)</f>
        <v>1</v>
      </c>
      <c r="L223" s="51" t="str">
        <f t="shared" si="11"/>
        <v>No</v>
      </c>
      <c r="M223">
        <f t="shared" si="12"/>
        <v>98</v>
      </c>
      <c r="N223" s="51" t="s">
        <v>517</v>
      </c>
    </row>
    <row r="224" spans="1:15" hidden="1" x14ac:dyDescent="0.3">
      <c r="A224">
        <f t="shared" si="13"/>
        <v>219</v>
      </c>
      <c r="B224" t="s">
        <v>486</v>
      </c>
      <c r="C224">
        <v>57939</v>
      </c>
      <c r="D224" t="s">
        <v>23</v>
      </c>
      <c r="E224" t="s">
        <v>278</v>
      </c>
      <c r="F224" t="s">
        <v>253</v>
      </c>
      <c r="G224" t="s">
        <v>254</v>
      </c>
      <c r="H224" t="s">
        <v>255</v>
      </c>
      <c r="K224">
        <f>COUNTIF(EIAthru2010!$B$6:$B$111,EIAthru2011!C224)</f>
        <v>0</v>
      </c>
      <c r="L224" s="51" t="str">
        <f t="shared" si="11"/>
        <v>Yes</v>
      </c>
      <c r="M224">
        <f t="shared" si="12"/>
        <v>98</v>
      </c>
      <c r="N224" s="51"/>
      <c r="O224" t="str">
        <f>D224</f>
        <v>AZ</v>
      </c>
    </row>
    <row r="225" spans="1:15" hidden="1" x14ac:dyDescent="0.3">
      <c r="A225">
        <f t="shared" si="13"/>
        <v>220</v>
      </c>
      <c r="B225" t="s">
        <v>487</v>
      </c>
      <c r="C225">
        <v>57699</v>
      </c>
      <c r="D225" t="s">
        <v>138</v>
      </c>
      <c r="E225" t="s">
        <v>252</v>
      </c>
      <c r="F225" t="s">
        <v>253</v>
      </c>
      <c r="G225" t="s">
        <v>254</v>
      </c>
      <c r="H225" t="s">
        <v>255</v>
      </c>
      <c r="K225">
        <f>COUNTIF(EIAthru2010!$B$6:$B$111,EIAthru2011!C225)</f>
        <v>0</v>
      </c>
      <c r="L225" s="51" t="str">
        <f t="shared" si="11"/>
        <v>Yes</v>
      </c>
      <c r="M225">
        <f t="shared" si="12"/>
        <v>99</v>
      </c>
      <c r="N225" s="51" t="s">
        <v>500</v>
      </c>
    </row>
    <row r="226" spans="1:15" hidden="1" x14ac:dyDescent="0.3">
      <c r="A226">
        <f t="shared" si="13"/>
        <v>221</v>
      </c>
      <c r="B226" t="s">
        <v>348</v>
      </c>
      <c r="C226">
        <v>56500</v>
      </c>
      <c r="D226" t="s">
        <v>47</v>
      </c>
      <c r="E226" t="s">
        <v>297</v>
      </c>
      <c r="F226" t="s">
        <v>262</v>
      </c>
      <c r="G226" t="s">
        <v>250</v>
      </c>
      <c r="H226" t="s">
        <v>251</v>
      </c>
      <c r="K226">
        <f>COUNTIF(EIAthru2010!$B$6:$B$111,EIAthru2011!C226)</f>
        <v>1</v>
      </c>
      <c r="L226" s="51" t="str">
        <f t="shared" si="11"/>
        <v>No</v>
      </c>
      <c r="M226">
        <f t="shared" si="12"/>
        <v>99</v>
      </c>
      <c r="N226" s="51" t="s">
        <v>517</v>
      </c>
    </row>
    <row r="227" spans="1:15" hidden="1" x14ac:dyDescent="0.3">
      <c r="A227">
        <f t="shared" si="13"/>
        <v>222</v>
      </c>
      <c r="B227" t="s">
        <v>488</v>
      </c>
      <c r="C227">
        <v>57499</v>
      </c>
      <c r="D227" t="s">
        <v>24</v>
      </c>
      <c r="E227" t="s">
        <v>248</v>
      </c>
      <c r="F227" t="s">
        <v>253</v>
      </c>
      <c r="G227" t="s">
        <v>254</v>
      </c>
      <c r="H227" t="s">
        <v>255</v>
      </c>
      <c r="K227">
        <f>COUNTIF(EIAthru2010!$B$6:$B$111,EIAthru2011!C227)</f>
        <v>0</v>
      </c>
      <c r="L227" s="51" t="str">
        <f t="shared" si="11"/>
        <v>Yes</v>
      </c>
      <c r="M227">
        <f t="shared" si="12"/>
        <v>100</v>
      </c>
      <c r="N227" s="51" t="s">
        <v>500</v>
      </c>
    </row>
    <row r="228" spans="1:15" hidden="1" x14ac:dyDescent="0.3">
      <c r="A228">
        <f t="shared" si="13"/>
        <v>223</v>
      </c>
      <c r="B228" t="s">
        <v>95</v>
      </c>
      <c r="C228">
        <v>56322</v>
      </c>
      <c r="D228" t="s">
        <v>96</v>
      </c>
      <c r="E228" t="s">
        <v>248</v>
      </c>
      <c r="F228" t="s">
        <v>349</v>
      </c>
      <c r="G228" t="s">
        <v>350</v>
      </c>
      <c r="H228" t="s">
        <v>251</v>
      </c>
      <c r="K228">
        <f>COUNTIF(EIAthru2010!$B$6:$B$111,EIAthru2011!C228)</f>
        <v>1</v>
      </c>
      <c r="L228" s="51" t="str">
        <f t="shared" si="11"/>
        <v>No</v>
      </c>
      <c r="M228">
        <f t="shared" si="12"/>
        <v>100</v>
      </c>
      <c r="N228" s="51" t="s">
        <v>517</v>
      </c>
    </row>
    <row r="229" spans="1:15" hidden="1" x14ac:dyDescent="0.3">
      <c r="A229">
        <f t="shared" si="13"/>
        <v>224</v>
      </c>
      <c r="B229" t="s">
        <v>489</v>
      </c>
      <c r="C229">
        <v>57805</v>
      </c>
      <c r="D229" t="s">
        <v>52</v>
      </c>
      <c r="E229" t="s">
        <v>278</v>
      </c>
      <c r="F229" t="s">
        <v>253</v>
      </c>
      <c r="G229" t="s">
        <v>254</v>
      </c>
      <c r="H229" t="s">
        <v>255</v>
      </c>
      <c r="K229">
        <f>COUNTIF(EIAthru2010!$B$6:$B$111,EIAthru2011!C229)</f>
        <v>0</v>
      </c>
      <c r="L229" s="51" t="str">
        <f t="shared" si="11"/>
        <v>Yes</v>
      </c>
      <c r="M229">
        <f t="shared" si="12"/>
        <v>100</v>
      </c>
      <c r="N229" s="51"/>
      <c r="O229" t="str">
        <f>D229</f>
        <v>NJ</v>
      </c>
    </row>
    <row r="230" spans="1:15" hidden="1" x14ac:dyDescent="0.3">
      <c r="A230">
        <f t="shared" si="13"/>
        <v>225</v>
      </c>
      <c r="B230" t="s">
        <v>351</v>
      </c>
      <c r="C230">
        <v>57203</v>
      </c>
      <c r="D230" t="s">
        <v>233</v>
      </c>
      <c r="E230" t="s">
        <v>252</v>
      </c>
      <c r="F230" t="s">
        <v>253</v>
      </c>
      <c r="G230" t="s">
        <v>254</v>
      </c>
      <c r="H230" t="s">
        <v>255</v>
      </c>
      <c r="K230">
        <f>COUNTIF(EIAthru2010!$B$6:$B$111,EIAthru2011!C230)</f>
        <v>1</v>
      </c>
      <c r="L230" s="51" t="str">
        <f t="shared" si="11"/>
        <v>No</v>
      </c>
      <c r="M230">
        <f t="shared" si="12"/>
        <v>100</v>
      </c>
      <c r="N230" s="51" t="s">
        <v>517</v>
      </c>
    </row>
    <row r="231" spans="1:15" hidden="1" x14ac:dyDescent="0.3">
      <c r="A231">
        <f t="shared" si="13"/>
        <v>226</v>
      </c>
      <c r="B231" t="s">
        <v>490</v>
      </c>
      <c r="C231">
        <v>57652</v>
      </c>
      <c r="D231" t="s">
        <v>370</v>
      </c>
      <c r="E231" t="s">
        <v>252</v>
      </c>
      <c r="F231" t="s">
        <v>253</v>
      </c>
      <c r="G231" t="s">
        <v>254</v>
      </c>
      <c r="H231" t="s">
        <v>255</v>
      </c>
      <c r="K231">
        <f>COUNTIF(EIAthru2010!$B$6:$B$111,EIAthru2011!C231)</f>
        <v>0</v>
      </c>
      <c r="L231" s="51" t="str">
        <f t="shared" si="11"/>
        <v>Yes</v>
      </c>
      <c r="M231">
        <f t="shared" si="12"/>
        <v>100</v>
      </c>
      <c r="N231" s="51"/>
      <c r="O231" t="str">
        <f>D231</f>
        <v>OR</v>
      </c>
    </row>
    <row r="232" spans="1:15" hidden="1" x14ac:dyDescent="0.3">
      <c r="A232">
        <f t="shared" si="13"/>
        <v>227</v>
      </c>
      <c r="B232" t="s">
        <v>491</v>
      </c>
      <c r="C232">
        <v>2854</v>
      </c>
      <c r="D232" t="s">
        <v>233</v>
      </c>
      <c r="E232" t="s">
        <v>248</v>
      </c>
      <c r="F232" t="s">
        <v>492</v>
      </c>
      <c r="G232" t="s">
        <v>250</v>
      </c>
      <c r="H232" t="s">
        <v>251</v>
      </c>
      <c r="K232">
        <f>COUNTIF(EIAthru2010!$B$6:$B$111,EIAthru2011!C232)</f>
        <v>0</v>
      </c>
      <c r="L232" s="51" t="str">
        <f t="shared" si="11"/>
        <v>Yes</v>
      </c>
      <c r="M232">
        <f t="shared" si="12"/>
        <v>100</v>
      </c>
      <c r="N232" s="51"/>
      <c r="O232" t="str">
        <f>D232</f>
        <v>OH</v>
      </c>
    </row>
    <row r="233" spans="1:15" hidden="1" x14ac:dyDescent="0.3">
      <c r="A233">
        <f t="shared" si="13"/>
        <v>228</v>
      </c>
      <c r="B233" t="s">
        <v>352</v>
      </c>
      <c r="C233">
        <v>57382</v>
      </c>
      <c r="D233" t="s">
        <v>52</v>
      </c>
      <c r="E233" t="s">
        <v>248</v>
      </c>
      <c r="F233" t="s">
        <v>253</v>
      </c>
      <c r="G233" t="s">
        <v>254</v>
      </c>
      <c r="H233" t="s">
        <v>255</v>
      </c>
      <c r="K233">
        <f>COUNTIF(EIAthru2010!$B$6:$B$111,EIAthru2011!C233)</f>
        <v>1</v>
      </c>
      <c r="L233" s="51" t="str">
        <f t="shared" si="11"/>
        <v>No</v>
      </c>
      <c r="M233">
        <f t="shared" si="12"/>
        <v>100</v>
      </c>
      <c r="N233" s="51" t="s">
        <v>517</v>
      </c>
    </row>
    <row r="234" spans="1:15" hidden="1" x14ac:dyDescent="0.3">
      <c r="A234">
        <f t="shared" si="13"/>
        <v>229</v>
      </c>
      <c r="B234" t="s">
        <v>353</v>
      </c>
      <c r="C234">
        <v>57422</v>
      </c>
      <c r="D234" t="s">
        <v>24</v>
      </c>
      <c r="E234" t="s">
        <v>278</v>
      </c>
      <c r="F234" t="s">
        <v>253</v>
      </c>
      <c r="G234" t="s">
        <v>254</v>
      </c>
      <c r="H234" t="s">
        <v>255</v>
      </c>
      <c r="K234">
        <f>COUNTIF(EIAthru2010!$B$6:$B$111,EIAthru2011!C234)</f>
        <v>1</v>
      </c>
      <c r="L234" s="51" t="str">
        <f t="shared" si="11"/>
        <v>No</v>
      </c>
      <c r="M234">
        <f t="shared" si="12"/>
        <v>100</v>
      </c>
      <c r="N234" s="51" t="s">
        <v>517</v>
      </c>
    </row>
  </sheetData>
  <autoFilter ref="A5:O234" xr:uid="{3FB40210-6F03-46B2-8A81-E94F988B8620}">
    <filterColumn colId="3">
      <filters>
        <filter val="PA"/>
      </filters>
    </filterColumn>
  </autoFilter>
  <conditionalFormatting sqref="L6:L234">
    <cfRule type="containsText" dxfId="1" priority="1" operator="containsText" text="No">
      <formula>NOT(ISERROR(SEARCH("No",L6)))</formula>
    </cfRule>
    <cfRule type="cellIs" dxfId="0" priority="2" operator="equal">
      <formula>"""No"""</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A7EB6-7D85-48BF-A0D5-22FD7DAF459D}">
  <dimension ref="A1:AH234"/>
  <sheetViews>
    <sheetView workbookViewId="0"/>
  </sheetViews>
  <sheetFormatPr defaultRowHeight="14.4" x14ac:dyDescent="0.3"/>
  <cols>
    <col min="2" max="2" width="21.77734375" customWidth="1"/>
  </cols>
  <sheetData>
    <row r="1" spans="1:31" x14ac:dyDescent="0.3">
      <c r="A1" s="18" t="s">
        <v>7</v>
      </c>
    </row>
    <row r="2" spans="1:31" x14ac:dyDescent="0.3">
      <c r="I2">
        <v>1</v>
      </c>
      <c r="J2">
        <f>I2+1</f>
        <v>2</v>
      </c>
      <c r="K2">
        <f t="shared" ref="K2:AE2" si="0">J2+1</f>
        <v>3</v>
      </c>
      <c r="L2">
        <f t="shared" si="0"/>
        <v>4</v>
      </c>
      <c r="M2">
        <f t="shared" si="0"/>
        <v>5</v>
      </c>
      <c r="N2">
        <f t="shared" si="0"/>
        <v>6</v>
      </c>
      <c r="O2">
        <f t="shared" si="0"/>
        <v>7</v>
      </c>
      <c r="P2">
        <f t="shared" si="0"/>
        <v>8</v>
      </c>
      <c r="Q2">
        <f t="shared" si="0"/>
        <v>9</v>
      </c>
      <c r="R2">
        <f t="shared" si="0"/>
        <v>10</v>
      </c>
      <c r="S2">
        <f t="shared" si="0"/>
        <v>11</v>
      </c>
      <c r="T2">
        <f t="shared" si="0"/>
        <v>12</v>
      </c>
      <c r="U2">
        <f t="shared" si="0"/>
        <v>13</v>
      </c>
      <c r="V2">
        <f t="shared" si="0"/>
        <v>14</v>
      </c>
      <c r="W2">
        <f t="shared" si="0"/>
        <v>15</v>
      </c>
      <c r="X2">
        <f t="shared" si="0"/>
        <v>16</v>
      </c>
      <c r="Y2">
        <f t="shared" si="0"/>
        <v>17</v>
      </c>
      <c r="Z2">
        <f t="shared" si="0"/>
        <v>18</v>
      </c>
      <c r="AA2">
        <f t="shared" si="0"/>
        <v>19</v>
      </c>
      <c r="AB2">
        <f t="shared" si="0"/>
        <v>20</v>
      </c>
      <c r="AC2">
        <f t="shared" si="0"/>
        <v>21</v>
      </c>
      <c r="AD2">
        <f t="shared" si="0"/>
        <v>22</v>
      </c>
      <c r="AE2">
        <f t="shared" si="0"/>
        <v>23</v>
      </c>
    </row>
    <row r="3" spans="1:31" x14ac:dyDescent="0.3">
      <c r="A3" t="s">
        <v>8</v>
      </c>
      <c r="B3" t="s">
        <v>1</v>
      </c>
      <c r="C3" t="s">
        <v>2</v>
      </c>
      <c r="D3" t="s">
        <v>26</v>
      </c>
      <c r="E3" t="s">
        <v>5</v>
      </c>
      <c r="F3" t="s">
        <v>30</v>
      </c>
      <c r="G3" t="s">
        <v>25</v>
      </c>
      <c r="I3" t="s">
        <v>27</v>
      </c>
    </row>
    <row r="4" spans="1:31" x14ac:dyDescent="0.3">
      <c r="A4" t="s">
        <v>28</v>
      </c>
      <c r="B4" t="s">
        <v>29</v>
      </c>
      <c r="C4" t="s">
        <v>23</v>
      </c>
      <c r="D4">
        <v>2003</v>
      </c>
      <c r="E4">
        <f>2240*115/1000000</f>
        <v>0.2576</v>
      </c>
      <c r="F4" s="3">
        <f>2240*(115/1000000)*2231</f>
        <v>574.7056</v>
      </c>
      <c r="I4">
        <v>395</v>
      </c>
      <c r="J4">
        <v>297</v>
      </c>
      <c r="K4">
        <v>111</v>
      </c>
      <c r="L4">
        <v>285</v>
      </c>
      <c r="M4">
        <v>398</v>
      </c>
      <c r="N4">
        <v>437</v>
      </c>
      <c r="O4">
        <v>201</v>
      </c>
      <c r="P4">
        <v>438</v>
      </c>
      <c r="Q4">
        <v>447</v>
      </c>
      <c r="R4">
        <v>437</v>
      </c>
      <c r="S4">
        <v>395</v>
      </c>
      <c r="T4">
        <v>255</v>
      </c>
      <c r="U4">
        <v>0</v>
      </c>
      <c r="V4">
        <v>153</v>
      </c>
      <c r="W4">
        <v>217</v>
      </c>
      <c r="X4">
        <v>281</v>
      </c>
      <c r="Y4">
        <v>136</v>
      </c>
      <c r="Z4">
        <v>0</v>
      </c>
      <c r="AA4">
        <v>0</v>
      </c>
      <c r="AB4">
        <v>0</v>
      </c>
      <c r="AC4">
        <v>0</v>
      </c>
      <c r="AD4">
        <v>21</v>
      </c>
      <c r="AE4">
        <v>79</v>
      </c>
    </row>
    <row r="5" spans="1:31" x14ac:dyDescent="0.3">
      <c r="F5" t="s">
        <v>32</v>
      </c>
      <c r="G5" s="5">
        <f>STDEV(I5:AE5)</f>
        <v>0.29358141535568688</v>
      </c>
      <c r="H5" s="1">
        <f>AVERAGE(I5:AE5)</f>
        <v>0.37697978113376268</v>
      </c>
      <c r="I5" s="1">
        <f>MAX(0.001,I4)/$F4</f>
        <v>0.68730842365204026</v>
      </c>
      <c r="J5" s="1">
        <f t="shared" ref="J5:AE5" si="1">MAX(0.001,J4)/$F4</f>
        <v>0.51678633373330618</v>
      </c>
      <c r="K5" s="1">
        <f t="shared" si="1"/>
        <v>0.19314236715285182</v>
      </c>
      <c r="L5" s="1">
        <f t="shared" si="1"/>
        <v>0.49590607782488982</v>
      </c>
      <c r="M5" s="1">
        <f t="shared" si="1"/>
        <v>0.69252848762914443</v>
      </c>
      <c r="N5" s="1">
        <f t="shared" si="1"/>
        <v>0.76038931933149767</v>
      </c>
      <c r="O5" s="1">
        <f t="shared" si="1"/>
        <v>0.34974428646597494</v>
      </c>
      <c r="P5" s="1">
        <f t="shared" si="1"/>
        <v>0.76212934065719906</v>
      </c>
      <c r="Q5" s="1">
        <f t="shared" si="1"/>
        <v>0.77778953258851136</v>
      </c>
      <c r="R5" s="1">
        <f t="shared" si="1"/>
        <v>0.76038931933149767</v>
      </c>
      <c r="S5" s="1">
        <f t="shared" si="1"/>
        <v>0.68730842365204026</v>
      </c>
      <c r="T5" s="1">
        <f t="shared" si="1"/>
        <v>0.44370543805384877</v>
      </c>
      <c r="U5" s="1">
        <f t="shared" si="1"/>
        <v>1.7400213257013679E-6</v>
      </c>
      <c r="V5" s="1">
        <f t="shared" si="1"/>
        <v>0.26622326283230929</v>
      </c>
      <c r="W5" s="1">
        <f t="shared" si="1"/>
        <v>0.3775846276771968</v>
      </c>
      <c r="X5" s="1">
        <f t="shared" si="1"/>
        <v>0.48894599252208437</v>
      </c>
      <c r="Y5" s="1">
        <f t="shared" si="1"/>
        <v>0.23664290029538601</v>
      </c>
      <c r="Z5" s="1">
        <f t="shared" si="1"/>
        <v>1.7400213257013679E-6</v>
      </c>
      <c r="AA5" s="1">
        <f t="shared" si="1"/>
        <v>1.7400213257013679E-6</v>
      </c>
      <c r="AB5" s="1">
        <f t="shared" si="1"/>
        <v>1.7400213257013679E-6</v>
      </c>
      <c r="AC5" s="1">
        <f t="shared" si="1"/>
        <v>1.7400213257013679E-6</v>
      </c>
      <c r="AD5" s="1">
        <f t="shared" si="1"/>
        <v>3.6540447839728721E-2</v>
      </c>
      <c r="AE5" s="1">
        <f t="shared" si="1"/>
        <v>0.13746168473040807</v>
      </c>
    </row>
    <row r="6" spans="1:31" x14ac:dyDescent="0.3">
      <c r="F6" t="s">
        <v>31</v>
      </c>
      <c r="I6" s="4">
        <f>RANK(I4,$I4:$AE4)/23</f>
        <v>0.2608695652173913</v>
      </c>
      <c r="J6" s="4">
        <f t="shared" ref="J6:AE6" si="2">RANK(J4,$I4:$AE4)/23</f>
        <v>0.34782608695652173</v>
      </c>
      <c r="K6" s="4">
        <f t="shared" si="2"/>
        <v>0.69565217391304346</v>
      </c>
      <c r="L6" s="4">
        <f t="shared" si="2"/>
        <v>0.39130434782608697</v>
      </c>
      <c r="M6" s="70">
        <f t="shared" si="2"/>
        <v>0.21739130434782608</v>
      </c>
      <c r="N6" s="4">
        <f t="shared" si="2"/>
        <v>0.13043478260869565</v>
      </c>
      <c r="O6" s="4">
        <f t="shared" si="2"/>
        <v>0.56521739130434778</v>
      </c>
      <c r="P6" s="4">
        <f t="shared" si="2"/>
        <v>8.6956521739130432E-2</v>
      </c>
      <c r="Q6" s="4">
        <f t="shared" si="2"/>
        <v>4.3478260869565216E-2</v>
      </c>
      <c r="R6" s="4">
        <f t="shared" si="2"/>
        <v>0.13043478260869565</v>
      </c>
      <c r="S6" s="4">
        <f t="shared" si="2"/>
        <v>0.2608695652173913</v>
      </c>
      <c r="T6" s="4">
        <f t="shared" si="2"/>
        <v>0.47826086956521741</v>
      </c>
      <c r="U6" s="4">
        <f t="shared" si="2"/>
        <v>0.82608695652173914</v>
      </c>
      <c r="V6" s="4">
        <f t="shared" si="2"/>
        <v>0.60869565217391308</v>
      </c>
      <c r="W6" s="4">
        <f t="shared" si="2"/>
        <v>0.52173913043478259</v>
      </c>
      <c r="X6" s="4">
        <f t="shared" si="2"/>
        <v>0.43478260869565216</v>
      </c>
      <c r="Y6" s="4">
        <f t="shared" si="2"/>
        <v>0.65217391304347827</v>
      </c>
      <c r="Z6" s="4">
        <f t="shared" si="2"/>
        <v>0.82608695652173914</v>
      </c>
      <c r="AA6" s="4">
        <f t="shared" si="2"/>
        <v>0.82608695652173914</v>
      </c>
      <c r="AB6" s="4">
        <f t="shared" si="2"/>
        <v>0.82608695652173914</v>
      </c>
      <c r="AC6" s="4">
        <f t="shared" si="2"/>
        <v>0.82608695652173914</v>
      </c>
      <c r="AD6" s="4">
        <f t="shared" si="2"/>
        <v>0.78260869565217395</v>
      </c>
      <c r="AE6" s="4">
        <f t="shared" si="2"/>
        <v>0.73913043478260865</v>
      </c>
    </row>
    <row r="7" spans="1:31" x14ac:dyDescent="0.3">
      <c r="F7" t="s">
        <v>33</v>
      </c>
      <c r="I7">
        <f>(I5-$H$5)/$G$5</f>
        <v>1.0570445753260664</v>
      </c>
      <c r="M7" s="51"/>
    </row>
    <row r="8" spans="1:31" x14ac:dyDescent="0.3">
      <c r="I8" s="2">
        <f>1-_xlfn.NORM.DIST(I5,$H$5,$G$5,TRUE)</f>
        <v>0.14524562217374526</v>
      </c>
      <c r="J8" s="2">
        <f t="shared" ref="J8:AE8" si="3">1-_xlfn.NORM.DIST(J5,$H$5,$G$5,TRUE)</f>
        <v>0.31696220987828183</v>
      </c>
      <c r="K8" s="2">
        <f t="shared" si="3"/>
        <v>0.73440446583839236</v>
      </c>
      <c r="L8" s="2">
        <f t="shared" si="3"/>
        <v>0.34270642806886331</v>
      </c>
      <c r="M8" s="47">
        <f t="shared" si="3"/>
        <v>0.14122649561689671</v>
      </c>
      <c r="N8" s="2">
        <f t="shared" si="3"/>
        <v>9.5780790760544687E-2</v>
      </c>
      <c r="O8" s="2">
        <f t="shared" si="3"/>
        <v>0.53695678560349847</v>
      </c>
      <c r="P8" s="2">
        <f t="shared" si="3"/>
        <v>9.4776880882453507E-2</v>
      </c>
      <c r="Q8" s="2">
        <f t="shared" si="3"/>
        <v>8.6088461906554947E-2</v>
      </c>
      <c r="R8" s="2">
        <f t="shared" si="3"/>
        <v>9.5780790760544687E-2</v>
      </c>
      <c r="S8" s="2">
        <f t="shared" si="3"/>
        <v>0.14524562217374526</v>
      </c>
      <c r="T8" s="2">
        <f t="shared" si="3"/>
        <v>0.4101023857938515</v>
      </c>
      <c r="U8" s="2">
        <f t="shared" si="3"/>
        <v>0.9004406442937879</v>
      </c>
      <c r="V8" s="2">
        <f t="shared" si="3"/>
        <v>0.64700979428431671</v>
      </c>
      <c r="W8" s="2">
        <f t="shared" si="3"/>
        <v>0.49917808595500901</v>
      </c>
      <c r="X8" s="2">
        <f t="shared" si="3"/>
        <v>0.35146048387862927</v>
      </c>
      <c r="Y8" s="2">
        <f t="shared" si="3"/>
        <v>0.68368091507568252</v>
      </c>
      <c r="Z8" s="2">
        <f t="shared" si="3"/>
        <v>0.9004406442937879</v>
      </c>
      <c r="AA8" s="2">
        <f t="shared" si="3"/>
        <v>0.9004406442937879</v>
      </c>
      <c r="AB8" s="2">
        <f t="shared" si="3"/>
        <v>0.9004406442937879</v>
      </c>
      <c r="AC8" s="2">
        <f t="shared" si="3"/>
        <v>0.9004406442937879</v>
      </c>
      <c r="AD8" s="2">
        <f t="shared" si="3"/>
        <v>0.87689576175225115</v>
      </c>
      <c r="AE8" s="2">
        <f t="shared" si="3"/>
        <v>0.79270674040039968</v>
      </c>
    </row>
    <row r="9" spans="1:31" x14ac:dyDescent="0.3">
      <c r="M9" s="51"/>
    </row>
    <row r="10" spans="1:31" x14ac:dyDescent="0.3">
      <c r="A10">
        <v>10444</v>
      </c>
      <c r="B10" t="s">
        <v>9</v>
      </c>
      <c r="C10" t="s">
        <v>24</v>
      </c>
      <c r="D10">
        <v>2005</v>
      </c>
      <c r="G10" t="s">
        <v>38</v>
      </c>
      <c r="M10" s="51"/>
    </row>
    <row r="11" spans="1:31" x14ac:dyDescent="0.3">
      <c r="A11">
        <v>116</v>
      </c>
      <c r="B11" t="s">
        <v>10</v>
      </c>
      <c r="C11" t="s">
        <v>23</v>
      </c>
      <c r="D11">
        <v>2005</v>
      </c>
      <c r="G11" t="s">
        <v>43</v>
      </c>
      <c r="M11" s="51"/>
    </row>
    <row r="12" spans="1:31" x14ac:dyDescent="0.3">
      <c r="A12">
        <v>56228</v>
      </c>
      <c r="B12" t="s">
        <v>11</v>
      </c>
      <c r="C12" t="s">
        <v>23</v>
      </c>
      <c r="D12">
        <v>2005</v>
      </c>
      <c r="G12" t="s">
        <v>42</v>
      </c>
      <c r="M12" s="51"/>
    </row>
    <row r="13" spans="1:31" x14ac:dyDescent="0.3">
      <c r="A13">
        <v>529</v>
      </c>
      <c r="B13" t="s">
        <v>12</v>
      </c>
      <c r="C13" t="s">
        <v>24</v>
      </c>
      <c r="D13">
        <v>2005</v>
      </c>
      <c r="G13" t="s">
        <v>40</v>
      </c>
      <c r="M13" s="51"/>
    </row>
    <row r="14" spans="1:31" x14ac:dyDescent="0.3">
      <c r="A14">
        <v>10439</v>
      </c>
      <c r="B14" t="s">
        <v>13</v>
      </c>
      <c r="C14" t="s">
        <v>24</v>
      </c>
      <c r="D14">
        <v>2005</v>
      </c>
      <c r="G14" t="s">
        <v>41</v>
      </c>
      <c r="M14" s="51"/>
    </row>
    <row r="15" spans="1:31" x14ac:dyDescent="0.3">
      <c r="A15">
        <v>10440</v>
      </c>
      <c r="B15" t="s">
        <v>14</v>
      </c>
      <c r="C15" t="s">
        <v>24</v>
      </c>
      <c r="D15">
        <v>2005</v>
      </c>
      <c r="G15" t="s">
        <v>41</v>
      </c>
      <c r="M15" s="51"/>
    </row>
    <row r="16" spans="1:31" x14ac:dyDescent="0.3">
      <c r="A16">
        <v>10446</v>
      </c>
      <c r="B16" t="s">
        <v>15</v>
      </c>
      <c r="C16" t="s">
        <v>24</v>
      </c>
      <c r="D16">
        <v>2005</v>
      </c>
      <c r="G16" t="s">
        <v>41</v>
      </c>
      <c r="M16" s="51"/>
    </row>
    <row r="17" spans="1:13" x14ac:dyDescent="0.3">
      <c r="A17">
        <v>10441</v>
      </c>
      <c r="B17" t="s">
        <v>16</v>
      </c>
      <c r="C17" t="s">
        <v>24</v>
      </c>
      <c r="D17">
        <v>2005</v>
      </c>
      <c r="G17" t="s">
        <v>41</v>
      </c>
      <c r="M17" s="51"/>
    </row>
    <row r="18" spans="1:13" x14ac:dyDescent="0.3">
      <c r="A18">
        <v>10442</v>
      </c>
      <c r="B18" t="s">
        <v>17</v>
      </c>
      <c r="C18" t="s">
        <v>24</v>
      </c>
      <c r="D18">
        <v>2005</v>
      </c>
      <c r="G18" t="s">
        <v>41</v>
      </c>
      <c r="M18" s="51"/>
    </row>
    <row r="19" spans="1:13" x14ac:dyDescent="0.3">
      <c r="A19">
        <v>10443</v>
      </c>
      <c r="B19" t="s">
        <v>18</v>
      </c>
      <c r="C19" t="s">
        <v>24</v>
      </c>
      <c r="D19">
        <v>2005</v>
      </c>
      <c r="G19" t="s">
        <v>41</v>
      </c>
      <c r="M19" s="51"/>
    </row>
    <row r="20" spans="1:13" x14ac:dyDescent="0.3">
      <c r="A20">
        <v>118</v>
      </c>
      <c r="B20" t="s">
        <v>19</v>
      </c>
      <c r="C20" t="s">
        <v>23</v>
      </c>
      <c r="D20">
        <v>2005</v>
      </c>
      <c r="G20" t="s">
        <v>44</v>
      </c>
      <c r="M20" s="51"/>
    </row>
    <row r="21" spans="1:13" x14ac:dyDescent="0.3">
      <c r="A21">
        <v>8223</v>
      </c>
      <c r="B21" t="s">
        <v>20</v>
      </c>
      <c r="C21" t="s">
        <v>23</v>
      </c>
      <c r="D21">
        <v>2005</v>
      </c>
      <c r="G21" t="s">
        <v>39</v>
      </c>
      <c r="M21" s="51"/>
    </row>
    <row r="22" spans="1:13" x14ac:dyDescent="0.3">
      <c r="A22">
        <v>10437</v>
      </c>
      <c r="B22" t="s">
        <v>21</v>
      </c>
      <c r="C22" t="s">
        <v>24</v>
      </c>
      <c r="D22">
        <v>2005</v>
      </c>
      <c r="G22" t="s">
        <v>45</v>
      </c>
      <c r="M22" s="51"/>
    </row>
    <row r="23" spans="1:13" x14ac:dyDescent="0.3">
      <c r="A23">
        <v>10438</v>
      </c>
      <c r="B23" t="s">
        <v>22</v>
      </c>
      <c r="C23" t="s">
        <v>24</v>
      </c>
      <c r="D23">
        <v>2005</v>
      </c>
      <c r="G23" t="s">
        <v>45</v>
      </c>
      <c r="M23" s="51"/>
    </row>
    <row r="24" spans="1:13" x14ac:dyDescent="0.3">
      <c r="A24">
        <v>56574</v>
      </c>
      <c r="B24" t="s">
        <v>46</v>
      </c>
      <c r="C24" t="s">
        <v>24</v>
      </c>
      <c r="D24">
        <v>2007</v>
      </c>
      <c r="G24" t="s">
        <v>81</v>
      </c>
      <c r="M24" s="51"/>
    </row>
    <row r="25" spans="1:13" x14ac:dyDescent="0.3">
      <c r="A25">
        <v>56405</v>
      </c>
      <c r="B25" t="s">
        <v>49</v>
      </c>
      <c r="C25" t="s">
        <v>47</v>
      </c>
      <c r="D25">
        <v>2007</v>
      </c>
      <c r="G25" t="s">
        <v>50</v>
      </c>
      <c r="M25" s="51"/>
    </row>
    <row r="26" spans="1:13" x14ac:dyDescent="0.3">
      <c r="A26">
        <v>56861</v>
      </c>
      <c r="B26" t="s">
        <v>54</v>
      </c>
      <c r="C26" t="s">
        <v>51</v>
      </c>
      <c r="D26">
        <v>2009</v>
      </c>
      <c r="G26" t="s">
        <v>55</v>
      </c>
      <c r="M26" s="51"/>
    </row>
    <row r="27" spans="1:13" x14ac:dyDescent="0.3">
      <c r="A27">
        <v>56814</v>
      </c>
      <c r="B27" t="s">
        <v>69</v>
      </c>
      <c r="C27" t="s">
        <v>24</v>
      </c>
      <c r="D27">
        <v>2008</v>
      </c>
      <c r="G27" t="s">
        <v>70</v>
      </c>
      <c r="M27" s="51"/>
    </row>
    <row r="28" spans="1:13" x14ac:dyDescent="0.3">
      <c r="A28">
        <v>56909</v>
      </c>
      <c r="B28" t="s">
        <v>71</v>
      </c>
      <c r="C28" t="s">
        <v>24</v>
      </c>
      <c r="D28">
        <v>2009</v>
      </c>
      <c r="G28" t="s">
        <v>72</v>
      </c>
      <c r="M28" s="51"/>
    </row>
    <row r="29" spans="1:13" x14ac:dyDescent="0.3">
      <c r="A29">
        <v>56966</v>
      </c>
      <c r="B29" t="s">
        <v>85</v>
      </c>
      <c r="C29" t="s">
        <v>86</v>
      </c>
      <c r="D29">
        <v>2008</v>
      </c>
      <c r="G29" t="s">
        <v>87</v>
      </c>
      <c r="M29" s="51"/>
    </row>
    <row r="30" spans="1:13" x14ac:dyDescent="0.3">
      <c r="A30">
        <v>56943</v>
      </c>
      <c r="B30" t="s">
        <v>98</v>
      </c>
      <c r="C30" t="s">
        <v>24</v>
      </c>
      <c r="D30">
        <v>2009</v>
      </c>
      <c r="G30" t="s">
        <v>99</v>
      </c>
      <c r="M30" s="51"/>
    </row>
    <row r="31" spans="1:13" x14ac:dyDescent="0.3">
      <c r="A31">
        <v>57140</v>
      </c>
      <c r="B31" t="s">
        <v>115</v>
      </c>
      <c r="C31" t="s">
        <v>23</v>
      </c>
      <c r="D31">
        <v>2010</v>
      </c>
      <c r="G31" t="s">
        <v>116</v>
      </c>
      <c r="M31" s="51"/>
    </row>
    <row r="32" spans="1:13" x14ac:dyDescent="0.3">
      <c r="A32">
        <v>56976</v>
      </c>
      <c r="B32" t="s">
        <v>123</v>
      </c>
      <c r="C32" t="s">
        <v>24</v>
      </c>
      <c r="D32">
        <v>2009</v>
      </c>
      <c r="G32" t="s">
        <v>124</v>
      </c>
      <c r="M32" s="51"/>
    </row>
    <row r="33" spans="1:34" x14ac:dyDescent="0.3">
      <c r="A33">
        <v>57694</v>
      </c>
      <c r="B33" t="s">
        <v>153</v>
      </c>
      <c r="C33" t="s">
        <v>51</v>
      </c>
      <c r="D33">
        <v>2011</v>
      </c>
      <c r="G33" t="s">
        <v>154</v>
      </c>
      <c r="M33" s="51"/>
    </row>
    <row r="34" spans="1:34" x14ac:dyDescent="0.3">
      <c r="A34">
        <v>57692</v>
      </c>
      <c r="B34" t="s">
        <v>155</v>
      </c>
      <c r="C34" t="s">
        <v>51</v>
      </c>
      <c r="D34">
        <v>2011</v>
      </c>
      <c r="G34" t="s">
        <v>156</v>
      </c>
      <c r="M34" s="51"/>
    </row>
    <row r="35" spans="1:34" x14ac:dyDescent="0.3">
      <c r="A35">
        <v>57506</v>
      </c>
      <c r="B35" t="s">
        <v>198</v>
      </c>
      <c r="C35" t="s">
        <v>24</v>
      </c>
      <c r="D35">
        <v>2010</v>
      </c>
      <c r="G35" t="s">
        <v>199</v>
      </c>
      <c r="M35" s="51"/>
    </row>
    <row r="36" spans="1:34" x14ac:dyDescent="0.3">
      <c r="A36">
        <v>57323</v>
      </c>
      <c r="B36" t="s">
        <v>221</v>
      </c>
      <c r="C36" t="s">
        <v>24</v>
      </c>
      <c r="D36">
        <v>2010</v>
      </c>
      <c r="G36" t="s">
        <v>50</v>
      </c>
      <c r="M36" s="51"/>
    </row>
    <row r="37" spans="1:34" x14ac:dyDescent="0.3">
      <c r="A37">
        <v>57445</v>
      </c>
      <c r="B37" t="s">
        <v>224</v>
      </c>
      <c r="C37" t="s">
        <v>86</v>
      </c>
      <c r="D37">
        <v>2010</v>
      </c>
      <c r="G37" t="s">
        <v>225</v>
      </c>
      <c r="M37" s="51"/>
    </row>
    <row r="38" spans="1:34" x14ac:dyDescent="0.3">
      <c r="A38">
        <v>57254</v>
      </c>
      <c r="B38" t="s">
        <v>230</v>
      </c>
      <c r="C38" t="s">
        <v>24</v>
      </c>
      <c r="D38">
        <v>2010</v>
      </c>
      <c r="G38" t="s">
        <v>231</v>
      </c>
      <c r="M38" s="51"/>
    </row>
    <row r="39" spans="1:34" x14ac:dyDescent="0.3">
      <c r="A39">
        <v>57372</v>
      </c>
      <c r="B39" t="s">
        <v>369</v>
      </c>
      <c r="C39" t="s">
        <v>370</v>
      </c>
      <c r="D39">
        <v>2011</v>
      </c>
      <c r="G39" t="s">
        <v>501</v>
      </c>
      <c r="M39" s="51"/>
    </row>
    <row r="40" spans="1:34" x14ac:dyDescent="0.3">
      <c r="A40">
        <v>57747</v>
      </c>
      <c r="B40" t="s">
        <v>388</v>
      </c>
      <c r="C40" t="s">
        <v>389</v>
      </c>
      <c r="D40">
        <v>2012</v>
      </c>
      <c r="G40" t="s">
        <v>520</v>
      </c>
      <c r="M40" s="51"/>
    </row>
    <row r="41" spans="1:34" x14ac:dyDescent="0.3">
      <c r="A41">
        <v>57591</v>
      </c>
      <c r="B41" t="s">
        <v>394</v>
      </c>
      <c r="C41" t="s">
        <v>144</v>
      </c>
      <c r="D41">
        <v>2012</v>
      </c>
      <c r="G41" t="s">
        <v>521</v>
      </c>
      <c r="M41" s="51"/>
    </row>
    <row r="42" spans="1:34" x14ac:dyDescent="0.3">
      <c r="B42" t="s">
        <v>631</v>
      </c>
      <c r="M42" s="51"/>
    </row>
    <row r="43" spans="1:34" x14ac:dyDescent="0.3">
      <c r="A43" s="6">
        <v>57640</v>
      </c>
      <c r="B43" s="6" t="s">
        <v>498</v>
      </c>
      <c r="C43" s="6" t="s">
        <v>83</v>
      </c>
      <c r="D43" s="6">
        <v>2012</v>
      </c>
      <c r="E43" s="6">
        <v>2011</v>
      </c>
      <c r="F43" s="6" t="s">
        <v>252</v>
      </c>
      <c r="G43" s="6" t="s">
        <v>35</v>
      </c>
      <c r="H43" s="17">
        <v>10</v>
      </c>
      <c r="J43" s="6">
        <v>40.139000000000003</v>
      </c>
      <c r="K43" s="6">
        <v>-75.191999999999993</v>
      </c>
      <c r="L43" s="12">
        <v>1</v>
      </c>
      <c r="M43" s="6">
        <v>1</v>
      </c>
      <c r="N43" s="94">
        <f>365.25*4.25</f>
        <v>1552.3125</v>
      </c>
      <c r="O43" s="15" t="s">
        <v>551</v>
      </c>
      <c r="P43" s="14">
        <v>12.4</v>
      </c>
      <c r="Q43" s="94">
        <f>P43+11.448+2.715*N43/365.25</f>
        <v>35.386749999999999</v>
      </c>
      <c r="R43" s="94"/>
      <c r="S43" s="3">
        <f>L43*N43*INDEX(PlantData!$C$3:$D$4,MATCH(G43,PlantData!$C$3:$C$4,0),2)</f>
        <v>1241.8500000000001</v>
      </c>
      <c r="T43" s="6">
        <v>1227</v>
      </c>
      <c r="U43" s="6">
        <v>0</v>
      </c>
      <c r="V43" s="6">
        <v>1129</v>
      </c>
      <c r="W43" s="6">
        <v>1103</v>
      </c>
      <c r="X43" s="93">
        <v>1238</v>
      </c>
      <c r="Y43" s="6">
        <v>1174</v>
      </c>
      <c r="Z43" s="6">
        <v>1108</v>
      </c>
      <c r="AA43" s="6">
        <v>1029</v>
      </c>
      <c r="AB43" s="6">
        <v>1070</v>
      </c>
      <c r="AC43" s="93">
        <v>1303</v>
      </c>
      <c r="AD43" s="6">
        <v>467</v>
      </c>
      <c r="AE43" s="6">
        <v>1285</v>
      </c>
      <c r="AF43" s="6">
        <v>1132</v>
      </c>
    </row>
    <row r="44" spans="1:34" x14ac:dyDescent="0.3">
      <c r="A44" s="6">
        <v>57574</v>
      </c>
      <c r="B44" s="6" t="s">
        <v>158</v>
      </c>
      <c r="C44" s="6" t="s">
        <v>52</v>
      </c>
      <c r="D44" s="6">
        <v>2014</v>
      </c>
      <c r="E44" s="6">
        <v>2010</v>
      </c>
      <c r="F44" s="6" t="s">
        <v>252</v>
      </c>
      <c r="G44" s="6" t="s">
        <v>35</v>
      </c>
      <c r="H44" s="17">
        <v>5</v>
      </c>
      <c r="J44" s="6">
        <v>40.281799999999997</v>
      </c>
      <c r="K44" s="6">
        <v>-74.793999999999997</v>
      </c>
      <c r="L44" s="12">
        <v>1.4</v>
      </c>
      <c r="M44" s="6">
        <v>1.3</v>
      </c>
      <c r="N44" s="94">
        <f>365.25*(4+(4.25-4)*0.4)</f>
        <v>1497.5249999999999</v>
      </c>
      <c r="O44" s="15" t="s">
        <v>551</v>
      </c>
      <c r="P44" s="14">
        <v>12.4</v>
      </c>
      <c r="Q44" s="94">
        <f>P44+11.448+2.715*N44/365.25</f>
        <v>34.979500000000002</v>
      </c>
      <c r="R44" s="94"/>
      <c r="S44" s="3">
        <f>L44*N44*INDEX(PlantData!$C$3:$D$4,MATCH(G44,PlantData!$C$3:$C$4,0),2)</f>
        <v>1677.2280000000001</v>
      </c>
      <c r="T44" s="6">
        <v>2052</v>
      </c>
      <c r="U44" s="6">
        <v>2121</v>
      </c>
      <c r="V44" s="6">
        <v>2109</v>
      </c>
      <c r="W44" s="6">
        <v>1992</v>
      </c>
      <c r="X44" s="93">
        <v>1815</v>
      </c>
      <c r="Y44" s="6">
        <v>2237</v>
      </c>
      <c r="Z44" s="6">
        <v>1609</v>
      </c>
      <c r="AA44" s="6">
        <v>1543</v>
      </c>
      <c r="AB44" s="6">
        <v>1237</v>
      </c>
      <c r="AC44" s="93">
        <v>809</v>
      </c>
      <c r="AD44" s="6">
        <v>1011</v>
      </c>
      <c r="AH44" s="23"/>
    </row>
    <row r="45" spans="1:34" x14ac:dyDescent="0.3">
      <c r="M45" s="51"/>
    </row>
    <row r="46" spans="1:34" x14ac:dyDescent="0.3">
      <c r="M46" s="51"/>
    </row>
    <row r="47" spans="1:34" x14ac:dyDescent="0.3">
      <c r="M47" s="51"/>
    </row>
    <row r="48" spans="1:34" x14ac:dyDescent="0.3">
      <c r="A48" s="6">
        <v>61497</v>
      </c>
      <c r="B48" s="6" t="s">
        <v>699</v>
      </c>
      <c r="C48" t="s">
        <v>370</v>
      </c>
      <c r="D48">
        <v>2018</v>
      </c>
      <c r="G48" t="s">
        <v>724</v>
      </c>
      <c r="M48" s="51"/>
    </row>
    <row r="49" spans="13:13" x14ac:dyDescent="0.3">
      <c r="M49" s="51"/>
    </row>
    <row r="50" spans="13:13" x14ac:dyDescent="0.3">
      <c r="M50" s="51"/>
    </row>
    <row r="51" spans="13:13" x14ac:dyDescent="0.3">
      <c r="M51" s="51"/>
    </row>
    <row r="52" spans="13:13" x14ac:dyDescent="0.3">
      <c r="M52" s="51"/>
    </row>
    <row r="53" spans="13:13" x14ac:dyDescent="0.3">
      <c r="M53" s="51"/>
    </row>
    <row r="54" spans="13:13" x14ac:dyDescent="0.3">
      <c r="M54" s="51"/>
    </row>
    <row r="55" spans="13:13" x14ac:dyDescent="0.3">
      <c r="M55" s="51"/>
    </row>
    <row r="56" spans="13:13" x14ac:dyDescent="0.3">
      <c r="M56" s="51"/>
    </row>
    <row r="57" spans="13:13" x14ac:dyDescent="0.3">
      <c r="M57" s="51"/>
    </row>
    <row r="58" spans="13:13" x14ac:dyDescent="0.3">
      <c r="M58" s="51"/>
    </row>
    <row r="59" spans="13:13" x14ac:dyDescent="0.3">
      <c r="M59" s="51"/>
    </row>
    <row r="60" spans="13:13" x14ac:dyDescent="0.3">
      <c r="M60" s="51"/>
    </row>
    <row r="61" spans="13:13" x14ac:dyDescent="0.3">
      <c r="M61" s="51"/>
    </row>
    <row r="62" spans="13:13" x14ac:dyDescent="0.3">
      <c r="M62" s="51"/>
    </row>
    <row r="63" spans="13:13" x14ac:dyDescent="0.3">
      <c r="M63" s="51"/>
    </row>
    <row r="64" spans="13:13" x14ac:dyDescent="0.3">
      <c r="M64" s="51"/>
    </row>
    <row r="65" spans="13:13" x14ac:dyDescent="0.3">
      <c r="M65" s="51"/>
    </row>
    <row r="66" spans="13:13" x14ac:dyDescent="0.3">
      <c r="M66" s="51"/>
    </row>
    <row r="67" spans="13:13" x14ac:dyDescent="0.3">
      <c r="M67" s="51"/>
    </row>
    <row r="68" spans="13:13" x14ac:dyDescent="0.3">
      <c r="M68" s="51"/>
    </row>
    <row r="69" spans="13:13" x14ac:dyDescent="0.3">
      <c r="M69" s="51"/>
    </row>
    <row r="70" spans="13:13" x14ac:dyDescent="0.3">
      <c r="M70" s="51"/>
    </row>
    <row r="71" spans="13:13" x14ac:dyDescent="0.3">
      <c r="M71" s="51"/>
    </row>
    <row r="72" spans="13:13" x14ac:dyDescent="0.3">
      <c r="M72" s="51"/>
    </row>
    <row r="73" spans="13:13" x14ac:dyDescent="0.3">
      <c r="M73" s="51"/>
    </row>
    <row r="74" spans="13:13" x14ac:dyDescent="0.3">
      <c r="M74" s="51"/>
    </row>
    <row r="75" spans="13:13" x14ac:dyDescent="0.3">
      <c r="M75" s="51"/>
    </row>
    <row r="76" spans="13:13" x14ac:dyDescent="0.3">
      <c r="M76" s="51"/>
    </row>
    <row r="77" spans="13:13" x14ac:dyDescent="0.3">
      <c r="M77" s="51"/>
    </row>
    <row r="78" spans="13:13" x14ac:dyDescent="0.3">
      <c r="M78" s="51"/>
    </row>
    <row r="79" spans="13:13" x14ac:dyDescent="0.3">
      <c r="M79" s="51"/>
    </row>
    <row r="80" spans="13:13" x14ac:dyDescent="0.3">
      <c r="M80" s="51"/>
    </row>
    <row r="81" spans="13:13" x14ac:dyDescent="0.3">
      <c r="M81" s="51"/>
    </row>
    <row r="82" spans="13:13" x14ac:dyDescent="0.3">
      <c r="M82" s="51"/>
    </row>
    <row r="83" spans="13:13" x14ac:dyDescent="0.3">
      <c r="M83" s="51"/>
    </row>
    <row r="84" spans="13:13" x14ac:dyDescent="0.3">
      <c r="M84" s="51"/>
    </row>
    <row r="85" spans="13:13" x14ac:dyDescent="0.3">
      <c r="M85" s="51"/>
    </row>
    <row r="86" spans="13:13" x14ac:dyDescent="0.3">
      <c r="M86" s="51"/>
    </row>
    <row r="87" spans="13:13" x14ac:dyDescent="0.3">
      <c r="M87" s="51"/>
    </row>
    <row r="88" spans="13:13" x14ac:dyDescent="0.3">
      <c r="M88" s="51"/>
    </row>
    <row r="89" spans="13:13" x14ac:dyDescent="0.3">
      <c r="M89" s="51"/>
    </row>
    <row r="90" spans="13:13" x14ac:dyDescent="0.3">
      <c r="M90" s="51"/>
    </row>
    <row r="91" spans="13:13" x14ac:dyDescent="0.3">
      <c r="M91" s="51"/>
    </row>
    <row r="92" spans="13:13" x14ac:dyDescent="0.3">
      <c r="M92" s="51"/>
    </row>
    <row r="93" spans="13:13" x14ac:dyDescent="0.3">
      <c r="M93" s="51"/>
    </row>
    <row r="94" spans="13:13" x14ac:dyDescent="0.3">
      <c r="M94" s="51"/>
    </row>
    <row r="95" spans="13:13" x14ac:dyDescent="0.3">
      <c r="M95" s="51"/>
    </row>
    <row r="96" spans="13:13" x14ac:dyDescent="0.3">
      <c r="M96" s="51"/>
    </row>
    <row r="97" spans="13:13" x14ac:dyDescent="0.3">
      <c r="M97" s="51"/>
    </row>
    <row r="98" spans="13:13" x14ac:dyDescent="0.3">
      <c r="M98" s="51"/>
    </row>
    <row r="99" spans="13:13" x14ac:dyDescent="0.3">
      <c r="M99" s="51"/>
    </row>
    <row r="100" spans="13:13" x14ac:dyDescent="0.3">
      <c r="M100" s="51"/>
    </row>
    <row r="101" spans="13:13" x14ac:dyDescent="0.3">
      <c r="M101" s="51"/>
    </row>
    <row r="102" spans="13:13" x14ac:dyDescent="0.3">
      <c r="M102" s="51"/>
    </row>
    <row r="103" spans="13:13" x14ac:dyDescent="0.3">
      <c r="M103" s="51"/>
    </row>
    <row r="104" spans="13:13" x14ac:dyDescent="0.3">
      <c r="M104" s="51"/>
    </row>
    <row r="105" spans="13:13" x14ac:dyDescent="0.3">
      <c r="M105" s="51"/>
    </row>
    <row r="106" spans="13:13" x14ac:dyDescent="0.3">
      <c r="M106" s="51"/>
    </row>
    <row r="107" spans="13:13" x14ac:dyDescent="0.3">
      <c r="M107" s="51"/>
    </row>
    <row r="108" spans="13:13" x14ac:dyDescent="0.3">
      <c r="M108" s="51"/>
    </row>
    <row r="109" spans="13:13" x14ac:dyDescent="0.3">
      <c r="M109" s="51"/>
    </row>
    <row r="110" spans="13:13" x14ac:dyDescent="0.3">
      <c r="M110" s="51"/>
    </row>
    <row r="111" spans="13:13" x14ac:dyDescent="0.3">
      <c r="M111" s="51"/>
    </row>
    <row r="112" spans="13:13" x14ac:dyDescent="0.3">
      <c r="M112" s="51"/>
    </row>
    <row r="113" spans="13:13" x14ac:dyDescent="0.3">
      <c r="M113" s="51"/>
    </row>
    <row r="114" spans="13:13" x14ac:dyDescent="0.3">
      <c r="M114" s="51"/>
    </row>
    <row r="115" spans="13:13" x14ac:dyDescent="0.3">
      <c r="M115" s="51"/>
    </row>
    <row r="116" spans="13:13" x14ac:dyDescent="0.3">
      <c r="M116" s="51"/>
    </row>
    <row r="117" spans="13:13" x14ac:dyDescent="0.3">
      <c r="M117" s="51"/>
    </row>
    <row r="118" spans="13:13" x14ac:dyDescent="0.3">
      <c r="M118" s="51"/>
    </row>
    <row r="119" spans="13:13" x14ac:dyDescent="0.3">
      <c r="M119" s="51"/>
    </row>
    <row r="120" spans="13:13" x14ac:dyDescent="0.3">
      <c r="M120" s="51"/>
    </row>
    <row r="121" spans="13:13" x14ac:dyDescent="0.3">
      <c r="M121" s="51"/>
    </row>
    <row r="122" spans="13:13" x14ac:dyDescent="0.3">
      <c r="M122" s="51"/>
    </row>
    <row r="123" spans="13:13" x14ac:dyDescent="0.3">
      <c r="M123" s="51"/>
    </row>
    <row r="124" spans="13:13" x14ac:dyDescent="0.3">
      <c r="M124" s="51"/>
    </row>
    <row r="125" spans="13:13" x14ac:dyDescent="0.3">
      <c r="M125" s="51"/>
    </row>
    <row r="126" spans="13:13" x14ac:dyDescent="0.3">
      <c r="M126" s="51"/>
    </row>
    <row r="127" spans="13:13" x14ac:dyDescent="0.3">
      <c r="M127" s="51"/>
    </row>
    <row r="128" spans="13:13" x14ac:dyDescent="0.3">
      <c r="M128" s="51"/>
    </row>
    <row r="129" spans="13:13" x14ac:dyDescent="0.3">
      <c r="M129" s="51"/>
    </row>
    <row r="130" spans="13:13" x14ac:dyDescent="0.3">
      <c r="M130" s="51"/>
    </row>
    <row r="131" spans="13:13" x14ac:dyDescent="0.3">
      <c r="M131" s="51"/>
    </row>
    <row r="132" spans="13:13" x14ac:dyDescent="0.3">
      <c r="M132" s="51"/>
    </row>
    <row r="133" spans="13:13" x14ac:dyDescent="0.3">
      <c r="M133" s="51"/>
    </row>
    <row r="134" spans="13:13" x14ac:dyDescent="0.3">
      <c r="M134" s="51"/>
    </row>
    <row r="135" spans="13:13" x14ac:dyDescent="0.3">
      <c r="M135" s="51"/>
    </row>
    <row r="136" spans="13:13" x14ac:dyDescent="0.3">
      <c r="M136" s="51"/>
    </row>
    <row r="137" spans="13:13" x14ac:dyDescent="0.3">
      <c r="M137" s="51"/>
    </row>
    <row r="138" spans="13:13" x14ac:dyDescent="0.3">
      <c r="M138" s="51"/>
    </row>
    <row r="139" spans="13:13" x14ac:dyDescent="0.3">
      <c r="M139" s="51"/>
    </row>
    <row r="140" spans="13:13" x14ac:dyDescent="0.3">
      <c r="M140" s="51"/>
    </row>
    <row r="141" spans="13:13" x14ac:dyDescent="0.3">
      <c r="M141" s="51"/>
    </row>
    <row r="142" spans="13:13" x14ac:dyDescent="0.3">
      <c r="M142" s="51"/>
    </row>
    <row r="143" spans="13:13" x14ac:dyDescent="0.3">
      <c r="M143" s="51"/>
    </row>
    <row r="144" spans="13:13" x14ac:dyDescent="0.3">
      <c r="M144" s="51"/>
    </row>
    <row r="145" spans="13:13" x14ac:dyDescent="0.3">
      <c r="M145" s="51"/>
    </row>
    <row r="146" spans="13:13" x14ac:dyDescent="0.3">
      <c r="M146" s="51"/>
    </row>
    <row r="147" spans="13:13" x14ac:dyDescent="0.3">
      <c r="M147" s="51"/>
    </row>
    <row r="148" spans="13:13" x14ac:dyDescent="0.3">
      <c r="M148" s="51"/>
    </row>
    <row r="149" spans="13:13" x14ac:dyDescent="0.3">
      <c r="M149" s="51"/>
    </row>
    <row r="150" spans="13:13" x14ac:dyDescent="0.3">
      <c r="M150" s="51"/>
    </row>
    <row r="151" spans="13:13" x14ac:dyDescent="0.3">
      <c r="M151" s="51"/>
    </row>
    <row r="152" spans="13:13" x14ac:dyDescent="0.3">
      <c r="M152" s="51"/>
    </row>
    <row r="153" spans="13:13" x14ac:dyDescent="0.3">
      <c r="M153" s="51"/>
    </row>
    <row r="154" spans="13:13" x14ac:dyDescent="0.3">
      <c r="M154" s="51"/>
    </row>
    <row r="155" spans="13:13" x14ac:dyDescent="0.3">
      <c r="M155" s="51"/>
    </row>
    <row r="156" spans="13:13" x14ac:dyDescent="0.3">
      <c r="M156" s="51"/>
    </row>
    <row r="157" spans="13:13" x14ac:dyDescent="0.3">
      <c r="M157" s="51"/>
    </row>
    <row r="158" spans="13:13" x14ac:dyDescent="0.3">
      <c r="M158" s="51"/>
    </row>
    <row r="159" spans="13:13" x14ac:dyDescent="0.3">
      <c r="M159" s="51"/>
    </row>
    <row r="160" spans="13:13" x14ac:dyDescent="0.3">
      <c r="M160" s="51"/>
    </row>
    <row r="161" spans="13:13" x14ac:dyDescent="0.3">
      <c r="M161" s="51"/>
    </row>
    <row r="162" spans="13:13" x14ac:dyDescent="0.3">
      <c r="M162" s="51"/>
    </row>
    <row r="163" spans="13:13" x14ac:dyDescent="0.3">
      <c r="M163" s="51"/>
    </row>
    <row r="164" spans="13:13" x14ac:dyDescent="0.3">
      <c r="M164" s="51"/>
    </row>
    <row r="165" spans="13:13" x14ac:dyDescent="0.3">
      <c r="M165" s="51"/>
    </row>
    <row r="166" spans="13:13" x14ac:dyDescent="0.3">
      <c r="M166" s="51"/>
    </row>
    <row r="167" spans="13:13" x14ac:dyDescent="0.3">
      <c r="M167" s="51"/>
    </row>
    <row r="168" spans="13:13" x14ac:dyDescent="0.3">
      <c r="M168" s="51"/>
    </row>
    <row r="169" spans="13:13" x14ac:dyDescent="0.3">
      <c r="M169" s="51"/>
    </row>
    <row r="170" spans="13:13" x14ac:dyDescent="0.3">
      <c r="M170" s="51"/>
    </row>
    <row r="171" spans="13:13" x14ac:dyDescent="0.3">
      <c r="M171" s="51"/>
    </row>
    <row r="172" spans="13:13" x14ac:dyDescent="0.3">
      <c r="M172" s="51"/>
    </row>
    <row r="173" spans="13:13" x14ac:dyDescent="0.3">
      <c r="M173" s="51"/>
    </row>
    <row r="174" spans="13:13" x14ac:dyDescent="0.3">
      <c r="M174" s="51"/>
    </row>
    <row r="175" spans="13:13" x14ac:dyDescent="0.3">
      <c r="M175" s="51"/>
    </row>
    <row r="176" spans="13:13" x14ac:dyDescent="0.3">
      <c r="M176" s="51"/>
    </row>
    <row r="177" spans="13:13" x14ac:dyDescent="0.3">
      <c r="M177" s="51"/>
    </row>
    <row r="178" spans="13:13" x14ac:dyDescent="0.3">
      <c r="M178" s="51"/>
    </row>
    <row r="179" spans="13:13" x14ac:dyDescent="0.3">
      <c r="M179" s="51"/>
    </row>
    <row r="180" spans="13:13" x14ac:dyDescent="0.3">
      <c r="M180" s="51"/>
    </row>
    <row r="181" spans="13:13" x14ac:dyDescent="0.3">
      <c r="M181" s="51"/>
    </row>
    <row r="182" spans="13:13" x14ac:dyDescent="0.3">
      <c r="M182" s="51"/>
    </row>
    <row r="183" spans="13:13" x14ac:dyDescent="0.3">
      <c r="M183" s="51"/>
    </row>
    <row r="184" spans="13:13" x14ac:dyDescent="0.3">
      <c r="M184" s="51"/>
    </row>
    <row r="185" spans="13:13" x14ac:dyDescent="0.3">
      <c r="M185" s="51"/>
    </row>
    <row r="186" spans="13:13" x14ac:dyDescent="0.3">
      <c r="M186" s="51"/>
    </row>
    <row r="187" spans="13:13" x14ac:dyDescent="0.3">
      <c r="M187" s="51"/>
    </row>
    <row r="188" spans="13:13" x14ac:dyDescent="0.3">
      <c r="M188" s="51"/>
    </row>
    <row r="189" spans="13:13" x14ac:dyDescent="0.3">
      <c r="M189" s="51"/>
    </row>
    <row r="190" spans="13:13" x14ac:dyDescent="0.3">
      <c r="M190" s="51"/>
    </row>
    <row r="191" spans="13:13" x14ac:dyDescent="0.3">
      <c r="M191" s="51"/>
    </row>
    <row r="192" spans="13:13" x14ac:dyDescent="0.3">
      <c r="M192" s="51"/>
    </row>
    <row r="193" spans="13:13" x14ac:dyDescent="0.3">
      <c r="M193" s="51"/>
    </row>
    <row r="194" spans="13:13" x14ac:dyDescent="0.3">
      <c r="M194" s="51"/>
    </row>
    <row r="195" spans="13:13" x14ac:dyDescent="0.3">
      <c r="M195" s="51"/>
    </row>
    <row r="196" spans="13:13" x14ac:dyDescent="0.3">
      <c r="M196" s="51"/>
    </row>
    <row r="197" spans="13:13" x14ac:dyDescent="0.3">
      <c r="M197" s="51"/>
    </row>
    <row r="198" spans="13:13" x14ac:dyDescent="0.3">
      <c r="M198" s="51"/>
    </row>
    <row r="199" spans="13:13" x14ac:dyDescent="0.3">
      <c r="M199" s="51"/>
    </row>
    <row r="200" spans="13:13" x14ac:dyDescent="0.3">
      <c r="M200" s="51"/>
    </row>
    <row r="201" spans="13:13" x14ac:dyDescent="0.3">
      <c r="M201" s="51"/>
    </row>
    <row r="202" spans="13:13" x14ac:dyDescent="0.3">
      <c r="M202" s="51"/>
    </row>
    <row r="203" spans="13:13" x14ac:dyDescent="0.3">
      <c r="M203" s="51"/>
    </row>
    <row r="204" spans="13:13" x14ac:dyDescent="0.3">
      <c r="M204" s="51"/>
    </row>
    <row r="205" spans="13:13" x14ac:dyDescent="0.3">
      <c r="M205" s="51"/>
    </row>
    <row r="206" spans="13:13" x14ac:dyDescent="0.3">
      <c r="M206" s="51"/>
    </row>
    <row r="207" spans="13:13" x14ac:dyDescent="0.3">
      <c r="M207" s="51"/>
    </row>
    <row r="208" spans="13:13" x14ac:dyDescent="0.3">
      <c r="M208" s="51"/>
    </row>
    <row r="209" spans="13:13" x14ac:dyDescent="0.3">
      <c r="M209" s="51"/>
    </row>
    <row r="210" spans="13:13" x14ac:dyDescent="0.3">
      <c r="M210" s="51"/>
    </row>
    <row r="211" spans="13:13" x14ac:dyDescent="0.3">
      <c r="M211" s="51"/>
    </row>
    <row r="212" spans="13:13" x14ac:dyDescent="0.3">
      <c r="M212" s="51"/>
    </row>
    <row r="213" spans="13:13" x14ac:dyDescent="0.3">
      <c r="M213" s="51"/>
    </row>
    <row r="214" spans="13:13" x14ac:dyDescent="0.3">
      <c r="M214" s="51"/>
    </row>
    <row r="215" spans="13:13" x14ac:dyDescent="0.3">
      <c r="M215" s="51"/>
    </row>
    <row r="216" spans="13:13" x14ac:dyDescent="0.3">
      <c r="M216" s="51"/>
    </row>
    <row r="217" spans="13:13" x14ac:dyDescent="0.3">
      <c r="M217" s="51"/>
    </row>
    <row r="218" spans="13:13" x14ac:dyDescent="0.3">
      <c r="M218" s="51"/>
    </row>
    <row r="219" spans="13:13" x14ac:dyDescent="0.3">
      <c r="M219" s="51"/>
    </row>
    <row r="220" spans="13:13" x14ac:dyDescent="0.3">
      <c r="M220" s="51"/>
    </row>
    <row r="221" spans="13:13" x14ac:dyDescent="0.3">
      <c r="M221" s="51"/>
    </row>
    <row r="222" spans="13:13" x14ac:dyDescent="0.3">
      <c r="M222" s="51"/>
    </row>
    <row r="223" spans="13:13" x14ac:dyDescent="0.3">
      <c r="M223" s="51"/>
    </row>
    <row r="224" spans="13:13" x14ac:dyDescent="0.3">
      <c r="M224" s="51"/>
    </row>
    <row r="225" spans="13:13" x14ac:dyDescent="0.3">
      <c r="M225" s="51"/>
    </row>
    <row r="226" spans="13:13" x14ac:dyDescent="0.3">
      <c r="M226" s="51"/>
    </row>
    <row r="227" spans="13:13" x14ac:dyDescent="0.3">
      <c r="M227" s="51"/>
    </row>
    <row r="228" spans="13:13" x14ac:dyDescent="0.3">
      <c r="M228" s="51"/>
    </row>
    <row r="229" spans="13:13" x14ac:dyDescent="0.3">
      <c r="M229" s="51"/>
    </row>
    <row r="230" spans="13:13" x14ac:dyDescent="0.3">
      <c r="M230" s="51"/>
    </row>
    <row r="231" spans="13:13" x14ac:dyDescent="0.3">
      <c r="M231" s="51"/>
    </row>
    <row r="232" spans="13:13" x14ac:dyDescent="0.3">
      <c r="M232" s="51"/>
    </row>
    <row r="233" spans="13:13" x14ac:dyDescent="0.3">
      <c r="M233" s="51"/>
    </row>
    <row r="234" spans="13:13" x14ac:dyDescent="0.3">
      <c r="M234" s="51"/>
    </row>
  </sheetData>
  <dataValidations count="1">
    <dataValidation type="list" showInputMessage="1" showErrorMessage="1" sqref="G43:G44" xr:uid="{165A0E1F-2EA3-4206-9238-B6B9E304C390}">
      <formula1>$C$3:$C$4</formula1>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FC6FD-9EB6-4145-994F-C180EFB150AE}">
  <dimension ref="A1:V42"/>
  <sheetViews>
    <sheetView topLeftCell="A12" workbookViewId="0">
      <selection activeCell="C43" sqref="C43"/>
    </sheetView>
  </sheetViews>
  <sheetFormatPr defaultRowHeight="14.4" x14ac:dyDescent="0.3"/>
  <cols>
    <col min="1" max="1" width="9.21875" bestFit="1" customWidth="1"/>
    <col min="7" max="8" width="12" bestFit="1" customWidth="1"/>
    <col min="21" max="21" width="12" bestFit="1" customWidth="1"/>
    <col min="23" max="24" width="12" bestFit="1" customWidth="1"/>
  </cols>
  <sheetData>
    <row r="1" spans="1:22" x14ac:dyDescent="0.3">
      <c r="A1" t="s">
        <v>840</v>
      </c>
      <c r="G1" t="str">
        <f>A4</f>
        <v>Old 100</v>
      </c>
      <c r="H1" t="str">
        <f>A5</f>
        <v>New 25</v>
      </c>
      <c r="I1" t="s">
        <v>937</v>
      </c>
      <c r="J1" t="s">
        <v>938</v>
      </c>
    </row>
    <row r="2" spans="1:22" x14ac:dyDescent="0.3">
      <c r="G2" t="s">
        <v>847</v>
      </c>
      <c r="H2" t="s">
        <v>847</v>
      </c>
    </row>
    <row r="3" spans="1:22" x14ac:dyDescent="0.3">
      <c r="A3" t="s">
        <v>841</v>
      </c>
      <c r="B3" t="s">
        <v>844</v>
      </c>
      <c r="C3" t="s">
        <v>845</v>
      </c>
      <c r="F3" t="s">
        <v>188</v>
      </c>
      <c r="G3" t="s">
        <v>846</v>
      </c>
      <c r="H3" t="s">
        <v>846</v>
      </c>
      <c r="I3" t="s">
        <v>848</v>
      </c>
      <c r="J3" t="s">
        <v>848</v>
      </c>
      <c r="K3" t="s">
        <v>949</v>
      </c>
    </row>
    <row r="4" spans="1:22" x14ac:dyDescent="0.3">
      <c r="A4" t="s">
        <v>842</v>
      </c>
      <c r="B4" s="2">
        <f>PlantData!K5</f>
        <v>0.93316367291242519</v>
      </c>
      <c r="C4" s="2">
        <f>PlantData!EB4</f>
        <v>0.11293641391614484</v>
      </c>
      <c r="F4">
        <v>0.1</v>
      </c>
      <c r="G4" s="186">
        <f>_xlfn.NORM.DIST($F4,$B$4,$C$4,TRUE)</f>
        <v>8.0777335260197708E-14</v>
      </c>
      <c r="H4" s="186">
        <f>_xlfn.NORM.DIST($F4,$B$5,$C$5,TRUE)</f>
        <v>4.0603608445901494E-10</v>
      </c>
      <c r="I4" s="187">
        <f>_xlfn.NORM.DIST($F4,$B$4,$C$4,FALSE)</f>
        <v>5.3702508936572826E-12</v>
      </c>
      <c r="J4" s="187">
        <f>_xlfn.NORM.DIST($F4,$B$5,$C$5,FALSE)</f>
        <v>1.9946329975762124E-8</v>
      </c>
      <c r="K4" s="2">
        <f>MIN(I4,J4)</f>
        <v>5.3702508936572826E-12</v>
      </c>
      <c r="S4" s="2"/>
      <c r="V4" s="2"/>
    </row>
    <row r="5" spans="1:22" x14ac:dyDescent="0.3">
      <c r="A5" t="s">
        <v>843</v>
      </c>
      <c r="B5" s="2">
        <f>Newer25!K4</f>
        <v>0.88746463558037436</v>
      </c>
      <c r="C5" s="2">
        <f>Newer25!CB37</f>
        <v>0.12819833198163574</v>
      </c>
      <c r="F5">
        <v>0.3</v>
      </c>
      <c r="G5" s="186">
        <f t="shared" ref="G5:G9" si="0">_xlfn.NORM.DIST($F5,$B$4,$C$4,TRUE)</f>
        <v>1.0330516645917418E-8</v>
      </c>
      <c r="H5" s="186">
        <f t="shared" ref="H5:H9" si="1">_xlfn.NORM.DIST($F5,$B$5,$C$5,TRUE)</f>
        <v>2.29761037487223E-6</v>
      </c>
      <c r="I5" s="187">
        <f t="shared" ref="I5:I9" si="2">_xlfn.NORM.DIST($F5,$B$4,$C$4,FALSE)</f>
        <v>5.2823854251285974E-7</v>
      </c>
      <c r="J5" s="187">
        <f t="shared" ref="J5:J9" si="3">_xlfn.NORM.DIST($F5,$B$5,$C$5,FALSE)</f>
        <v>8.5733745940125072E-5</v>
      </c>
      <c r="K5" s="2">
        <f t="shared" ref="K5:K9" si="4">MIN(I5,J5)</f>
        <v>5.2823854251285974E-7</v>
      </c>
      <c r="S5" s="2"/>
      <c r="V5" s="2"/>
    </row>
    <row r="6" spans="1:22" x14ac:dyDescent="0.3">
      <c r="F6">
        <v>0.5</v>
      </c>
      <c r="G6" s="186">
        <f t="shared" si="0"/>
        <v>6.2663453971957173E-5</v>
      </c>
      <c r="H6" s="186">
        <f t="shared" si="1"/>
        <v>1.253959358179145E-3</v>
      </c>
      <c r="I6" s="187">
        <f t="shared" si="2"/>
        <v>2.2577095967328347E-3</v>
      </c>
      <c r="J6" s="187">
        <f t="shared" si="3"/>
        <v>3.2316884513014676E-2</v>
      </c>
      <c r="K6" s="2">
        <f t="shared" si="4"/>
        <v>2.2577095967328347E-3</v>
      </c>
      <c r="S6" s="2"/>
      <c r="V6" s="2"/>
    </row>
    <row r="7" spans="1:22" x14ac:dyDescent="0.3">
      <c r="A7" t="s">
        <v>851</v>
      </c>
      <c r="F7">
        <v>0.55000000000000004</v>
      </c>
      <c r="G7" s="186">
        <f t="shared" si="0"/>
        <v>3.4598883729009477E-4</v>
      </c>
      <c r="H7" s="186">
        <f t="shared" si="1"/>
        <v>4.2396518964964176E-3</v>
      </c>
      <c r="I7" s="187">
        <f t="shared" si="2"/>
        <v>1.1183183864564065E-2</v>
      </c>
      <c r="J7" s="187">
        <f t="shared" si="3"/>
        <v>9.7351113067214487E-2</v>
      </c>
      <c r="K7" s="2">
        <f t="shared" si="4"/>
        <v>1.1183183864564065E-2</v>
      </c>
      <c r="S7" s="2"/>
      <c r="V7" s="2"/>
    </row>
    <row r="8" spans="1:22" x14ac:dyDescent="0.3">
      <c r="A8" t="s">
        <v>852</v>
      </c>
      <c r="F8">
        <v>0.6</v>
      </c>
      <c r="G8" s="186">
        <f t="shared" si="0"/>
        <v>1.5888126439596185E-3</v>
      </c>
      <c r="H8" s="186">
        <f t="shared" si="1"/>
        <v>1.2469605514561995E-2</v>
      </c>
      <c r="I8" s="187">
        <f t="shared" si="2"/>
        <v>4.5534231027654304E-2</v>
      </c>
      <c r="J8" s="187">
        <f t="shared" si="3"/>
        <v>0.25187737696948109</v>
      </c>
      <c r="K8" s="2">
        <f t="shared" si="4"/>
        <v>4.5534231027654304E-2</v>
      </c>
      <c r="S8" s="2"/>
      <c r="V8" s="2"/>
    </row>
    <row r="9" spans="1:22" x14ac:dyDescent="0.3">
      <c r="A9" t="s">
        <v>853</v>
      </c>
      <c r="F9">
        <v>0.65</v>
      </c>
      <c r="G9" s="186">
        <f t="shared" si="0"/>
        <v>6.0831443508765001E-3</v>
      </c>
      <c r="H9" s="186">
        <f t="shared" si="1"/>
        <v>3.1989774078278667E-2</v>
      </c>
      <c r="I9" s="187">
        <f t="shared" si="2"/>
        <v>0.15240025838843338</v>
      </c>
      <c r="J9" s="187">
        <f t="shared" si="3"/>
        <v>0.55972435929431852</v>
      </c>
      <c r="K9" s="2">
        <f t="shared" si="4"/>
        <v>0.15240025838843338</v>
      </c>
      <c r="S9" s="2"/>
      <c r="V9" s="2"/>
    </row>
    <row r="10" spans="1:22" x14ac:dyDescent="0.3">
      <c r="A10" t="s">
        <v>854</v>
      </c>
      <c r="F10">
        <v>0.7</v>
      </c>
      <c r="G10" s="186">
        <f t="shared" ref="G10:G23" si="5">_xlfn.NORM.DIST($F10,$B$4,$C$4,TRUE)</f>
        <v>1.9482463923452046E-2</v>
      </c>
      <c r="H10" s="186">
        <f t="shared" ref="H10:H23" si="6">_xlfn.NORM.DIST($F10,$B$5,$C$5,TRUE)</f>
        <v>7.1829279880433902E-2</v>
      </c>
      <c r="I10" s="187">
        <f t="shared" ref="I10:I23" si="7">_xlfn.NORM.DIST($F10,$B$4,$C$4,FALSE)</f>
        <v>0.41928425607506187</v>
      </c>
      <c r="J10" s="187">
        <f t="shared" ref="J10:J23" si="8">_xlfn.NORM.DIST($F10,$B$5,$C$5,FALSE)</f>
        <v>1.0683069634301303</v>
      </c>
      <c r="K10" s="2">
        <f t="shared" ref="K10:K23" si="9">MIN(I10,J10)</f>
        <v>0.41928425607506187</v>
      </c>
      <c r="S10" s="2"/>
      <c r="V10" s="2"/>
    </row>
    <row r="11" spans="1:22" x14ac:dyDescent="0.3">
      <c r="A11" t="s">
        <v>855</v>
      </c>
      <c r="F11">
        <v>0.75</v>
      </c>
      <c r="G11" s="186">
        <f t="shared" si="5"/>
        <v>5.2419868230568427E-2</v>
      </c>
      <c r="H11" s="186">
        <f t="shared" si="6"/>
        <v>0.14179691911350095</v>
      </c>
      <c r="I11" s="187">
        <f t="shared" si="7"/>
        <v>0.94821443440358799</v>
      </c>
      <c r="J11" s="187">
        <f t="shared" si="8"/>
        <v>1.7512764836259733</v>
      </c>
      <c r="K11" s="2">
        <f t="shared" si="9"/>
        <v>0.94821443440358799</v>
      </c>
      <c r="S11" s="2"/>
      <c r="V11" s="2"/>
    </row>
    <row r="12" spans="1:22" x14ac:dyDescent="0.3">
      <c r="F12">
        <v>0.8</v>
      </c>
      <c r="G12" s="186">
        <f t="shared" si="5"/>
        <v>0.11917856718376044</v>
      </c>
      <c r="H12" s="186">
        <f t="shared" si="6"/>
        <v>0.24753717801732011</v>
      </c>
      <c r="I12" s="187">
        <f t="shared" si="7"/>
        <v>1.7627053570885298</v>
      </c>
      <c r="J12" s="187">
        <f t="shared" si="8"/>
        <v>2.465756451352342</v>
      </c>
      <c r="K12" s="2">
        <f t="shared" si="9"/>
        <v>1.7627053570885298</v>
      </c>
      <c r="S12" s="2"/>
      <c r="V12" s="2"/>
    </row>
    <row r="13" spans="1:22" x14ac:dyDescent="0.3">
      <c r="A13" t="s">
        <v>856</v>
      </c>
      <c r="F13">
        <v>0.85</v>
      </c>
      <c r="G13" s="186">
        <f t="shared" si="5"/>
        <v>0.23075093108146671</v>
      </c>
      <c r="H13" s="186">
        <f t="shared" si="6"/>
        <v>0.38505169917480825</v>
      </c>
      <c r="I13" s="187">
        <f t="shared" si="7"/>
        <v>2.6935686070101226</v>
      </c>
      <c r="J13" s="187">
        <f t="shared" si="8"/>
        <v>2.9818270185485427</v>
      </c>
      <c r="K13" s="2">
        <f t="shared" si="9"/>
        <v>2.6935686070101226</v>
      </c>
      <c r="S13" s="2"/>
      <c r="V13" s="2"/>
    </row>
    <row r="14" spans="1:22" x14ac:dyDescent="0.3">
      <c r="A14" t="s">
        <v>857</v>
      </c>
      <c r="F14">
        <v>0.9</v>
      </c>
      <c r="G14" s="186">
        <f t="shared" si="5"/>
        <v>0.3845130377531491</v>
      </c>
      <c r="H14" s="186">
        <f t="shared" si="6"/>
        <v>0.53894691284367824</v>
      </c>
      <c r="I14" s="187">
        <f t="shared" si="7"/>
        <v>3.383385738813188</v>
      </c>
      <c r="J14" s="187">
        <f t="shared" si="8"/>
        <v>3.0970735451318174</v>
      </c>
      <c r="K14" s="2">
        <f t="shared" si="9"/>
        <v>3.0970735451318174</v>
      </c>
      <c r="S14" s="2"/>
      <c r="V14" s="2"/>
    </row>
    <row r="15" spans="1:22" x14ac:dyDescent="0.3">
      <c r="A15" s="1">
        <f>(B5-B4)/C4</f>
        <v>-0.40464395625296118</v>
      </c>
      <c r="F15">
        <v>0.95</v>
      </c>
      <c r="G15" s="186">
        <f t="shared" si="5"/>
        <v>0.5592539306854436</v>
      </c>
      <c r="H15" s="186">
        <f t="shared" si="6"/>
        <v>0.68715484681430739</v>
      </c>
      <c r="I15" s="187">
        <f t="shared" si="7"/>
        <v>3.493414690352016</v>
      </c>
      <c r="J15" s="187">
        <f t="shared" si="8"/>
        <v>2.7628505718742673</v>
      </c>
      <c r="K15" s="2">
        <f t="shared" si="9"/>
        <v>2.7628505718742673</v>
      </c>
      <c r="S15" s="2"/>
      <c r="V15" s="2"/>
    </row>
    <row r="16" spans="1:22" x14ac:dyDescent="0.3">
      <c r="A16" t="s">
        <v>858</v>
      </c>
      <c r="F16">
        <v>1</v>
      </c>
      <c r="G16" s="186">
        <f t="shared" si="5"/>
        <v>0.72300939088551297</v>
      </c>
      <c r="H16" s="186">
        <f t="shared" si="6"/>
        <v>0.80997994037070065</v>
      </c>
      <c r="I16" s="187">
        <f t="shared" si="7"/>
        <v>2.9649947258778844</v>
      </c>
      <c r="J16" s="187">
        <f t="shared" si="8"/>
        <v>2.116898721136522</v>
      </c>
      <c r="K16" s="2">
        <f t="shared" si="9"/>
        <v>2.116898721136522</v>
      </c>
      <c r="S16" s="2"/>
      <c r="V16" s="2"/>
    </row>
    <row r="17" spans="1:22" x14ac:dyDescent="0.3">
      <c r="A17" s="2">
        <f>_xlfn.NORM.S.DIST(A15,TRUE)</f>
        <v>0.34286962157144052</v>
      </c>
      <c r="F17">
        <v>1.05</v>
      </c>
      <c r="G17" s="186">
        <f t="shared" si="5"/>
        <v>0.84955622287894317</v>
      </c>
      <c r="H17" s="186">
        <f t="shared" si="6"/>
        <v>0.89757299776771227</v>
      </c>
      <c r="I17" s="187">
        <f t="shared" si="7"/>
        <v>2.0685825813804648</v>
      </c>
      <c r="J17" s="187">
        <f t="shared" si="8"/>
        <v>1.3930912667710864</v>
      </c>
      <c r="K17" s="2">
        <f t="shared" si="9"/>
        <v>1.3930912667710864</v>
      </c>
      <c r="S17" s="2"/>
      <c r="V17" s="2"/>
    </row>
    <row r="18" spans="1:22" x14ac:dyDescent="0.3">
      <c r="F18">
        <v>1.1000000000000001</v>
      </c>
      <c r="G18" s="186">
        <f t="shared" si="5"/>
        <v>0.93019688003190781</v>
      </c>
      <c r="H18" s="186">
        <f t="shared" si="6"/>
        <v>0.95132751247102509</v>
      </c>
      <c r="I18" s="187">
        <f t="shared" si="7"/>
        <v>1.1863066276919056</v>
      </c>
      <c r="J18" s="187">
        <f t="shared" si="8"/>
        <v>0.78740082260384114</v>
      </c>
      <c r="K18" s="2">
        <f t="shared" si="9"/>
        <v>0.78740082260384114</v>
      </c>
      <c r="T18" s="7"/>
    </row>
    <row r="19" spans="1:22" x14ac:dyDescent="0.3">
      <c r="F19">
        <v>1.1499999999999999</v>
      </c>
      <c r="G19" s="186">
        <f t="shared" si="5"/>
        <v>0.97257016244528116</v>
      </c>
      <c r="H19" s="186">
        <f t="shared" si="6"/>
        <v>0.97971433620698123</v>
      </c>
      <c r="I19" s="187">
        <f t="shared" si="7"/>
        <v>0.55923739662520666</v>
      </c>
      <c r="J19" s="187">
        <f t="shared" si="8"/>
        <v>0.382251293827571</v>
      </c>
      <c r="K19" s="2">
        <f t="shared" si="9"/>
        <v>0.382251293827571</v>
      </c>
    </row>
    <row r="20" spans="1:22" x14ac:dyDescent="0.3">
      <c r="F20">
        <v>1.2</v>
      </c>
      <c r="G20" s="186">
        <f t="shared" si="5"/>
        <v>0.99092914219550954</v>
      </c>
      <c r="H20" s="186">
        <f t="shared" si="6"/>
        <v>0.99261367371079123</v>
      </c>
      <c r="I20" s="187">
        <f t="shared" si="7"/>
        <v>0.21670583690766354</v>
      </c>
      <c r="J20" s="187">
        <f t="shared" si="8"/>
        <v>0.15938185214432685</v>
      </c>
      <c r="K20" s="2">
        <f t="shared" si="9"/>
        <v>0.15938185214432685</v>
      </c>
    </row>
    <row r="21" spans="1:22" x14ac:dyDescent="0.3">
      <c r="F21">
        <v>1.25</v>
      </c>
      <c r="G21" s="186">
        <f t="shared" si="5"/>
        <v>0.99748760281754145</v>
      </c>
      <c r="H21" s="186">
        <f t="shared" si="6"/>
        <v>0.99765746644154207</v>
      </c>
      <c r="I21" s="187">
        <f t="shared" si="7"/>
        <v>6.9027185835562818E-2</v>
      </c>
      <c r="J21" s="187">
        <f t="shared" si="8"/>
        <v>5.7077583763458922E-2</v>
      </c>
      <c r="K21" s="2">
        <f t="shared" si="9"/>
        <v>5.7077583763458922E-2</v>
      </c>
    </row>
    <row r="22" spans="1:22" x14ac:dyDescent="0.3">
      <c r="F22">
        <v>1.3</v>
      </c>
      <c r="G22" s="186">
        <f t="shared" si="5"/>
        <v>0.99941924451144803</v>
      </c>
      <c r="H22" s="186">
        <f t="shared" si="6"/>
        <v>0.99935444034730037</v>
      </c>
      <c r="I22" s="187">
        <f t="shared" si="7"/>
        <v>1.8073608981401069E-2</v>
      </c>
      <c r="J22" s="187">
        <f t="shared" si="8"/>
        <v>1.7556142454667342E-2</v>
      </c>
      <c r="K22" s="2">
        <f t="shared" si="9"/>
        <v>1.7556142454667342E-2</v>
      </c>
    </row>
    <row r="23" spans="1:22" x14ac:dyDescent="0.3">
      <c r="F23">
        <v>1.5</v>
      </c>
      <c r="G23" s="186">
        <f t="shared" si="5"/>
        <v>0.99999974039555706</v>
      </c>
      <c r="H23" s="186">
        <f t="shared" si="6"/>
        <v>0.99999911489129234</v>
      </c>
      <c r="I23" s="187">
        <f t="shared" si="7"/>
        <v>1.1964520295291247E-5</v>
      </c>
      <c r="J23" s="187">
        <f t="shared" si="8"/>
        <v>3.4328214441824284E-5</v>
      </c>
      <c r="K23" s="2">
        <f t="shared" si="9"/>
        <v>1.1964520295291247E-5</v>
      </c>
    </row>
    <row r="24" spans="1:22" x14ac:dyDescent="0.3">
      <c r="U24" s="4"/>
    </row>
    <row r="28" spans="1:22" x14ac:dyDescent="0.3">
      <c r="L28" t="s">
        <v>849</v>
      </c>
    </row>
    <row r="29" spans="1:22" x14ac:dyDescent="0.3">
      <c r="F29" t="s">
        <v>981</v>
      </c>
      <c r="L29" t="s">
        <v>850</v>
      </c>
    </row>
    <row r="30" spans="1:22" x14ac:dyDescent="0.3">
      <c r="F30" s="6">
        <v>0.877</v>
      </c>
      <c r="G30" s="1">
        <f>_xlfn.NORM.DIST($F30,$B$4,$C$4,TRUE)</f>
        <v>0.30948752513112954</v>
      </c>
      <c r="H30" s="1">
        <f>_xlfn.NORM.DIST($F30,$B$5,$C$5,TRUE)</f>
        <v>0.46747107468136695</v>
      </c>
      <c r="I30" s="228">
        <f>_xlfn.NORM.DIST($F30,$B$4,$C$4,FALSE)</f>
        <v>3.1215710383560999</v>
      </c>
      <c r="J30" s="228">
        <f>_xlfn.NORM.DIST($F30,$B$5,$C$5,FALSE)</f>
        <v>3.101564332759311</v>
      </c>
      <c r="L30" t="s">
        <v>859</v>
      </c>
    </row>
    <row r="31" spans="1:22" x14ac:dyDescent="0.3">
      <c r="F31" t="s">
        <v>861</v>
      </c>
      <c r="L31" t="s">
        <v>860</v>
      </c>
    </row>
    <row r="32" spans="1:22" x14ac:dyDescent="0.3">
      <c r="F32" s="59">
        <f>1-G30</f>
        <v>0.69051247486887046</v>
      </c>
      <c r="G32" t="s">
        <v>862</v>
      </c>
    </row>
    <row r="33" spans="6:9" x14ac:dyDescent="0.3">
      <c r="F33" t="s">
        <v>863</v>
      </c>
    </row>
    <row r="34" spans="6:9" x14ac:dyDescent="0.3">
      <c r="F34" s="59">
        <f>1-H30</f>
        <v>0.53252892531863305</v>
      </c>
    </row>
    <row r="35" spans="6:9" x14ac:dyDescent="0.3">
      <c r="F35" t="s">
        <v>864</v>
      </c>
    </row>
    <row r="36" spans="6:9" x14ac:dyDescent="0.3">
      <c r="F36" s="59" t="s">
        <v>865</v>
      </c>
      <c r="I36" s="58">
        <f>G30</f>
        <v>0.30948752513112954</v>
      </c>
    </row>
    <row r="37" spans="6:9" x14ac:dyDescent="0.3">
      <c r="F37" t="s">
        <v>866</v>
      </c>
    </row>
    <row r="38" spans="6:9" x14ac:dyDescent="0.3">
      <c r="I38" s="59">
        <f>F34</f>
        <v>0.53252892531863305</v>
      </c>
    </row>
    <row r="39" spans="6:9" x14ac:dyDescent="0.3">
      <c r="F39" t="s">
        <v>867</v>
      </c>
    </row>
    <row r="40" spans="6:9" x14ac:dyDescent="0.3">
      <c r="I40" s="161">
        <f>I38+I36</f>
        <v>0.84201645044976259</v>
      </c>
    </row>
    <row r="41" spans="6:9" x14ac:dyDescent="0.3">
      <c r="F41" t="s">
        <v>868</v>
      </c>
    </row>
    <row r="42" spans="6:9" x14ac:dyDescent="0.3">
      <c r="I42" s="188">
        <f>1-I40</f>
        <v>0.15798354955023741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Charts</vt:lpstr>
      </vt:variant>
      <vt:variant>
        <vt:i4>28</vt:i4>
      </vt:variant>
    </vt:vector>
  </HeadingPairs>
  <TitlesOfParts>
    <vt:vector size="45" baseType="lpstr">
      <vt:lpstr>PlantData</vt:lpstr>
      <vt:lpstr>Newer25</vt:lpstr>
      <vt:lpstr>PRanalysis</vt:lpstr>
      <vt:lpstr>Comparison</vt:lpstr>
      <vt:lpstr>DetailOfP50</vt:lpstr>
      <vt:lpstr>DetailOfUASTP94thRank</vt:lpstr>
      <vt:lpstr>ConsolidatedResults</vt:lpstr>
      <vt:lpstr>Screenshots</vt:lpstr>
      <vt:lpstr>References</vt:lpstr>
      <vt:lpstr>Recipe</vt:lpstr>
      <vt:lpstr>AguaFria</vt:lpstr>
      <vt:lpstr>States100</vt:lpstr>
      <vt:lpstr>States25</vt:lpstr>
      <vt:lpstr>EIAthru2010</vt:lpstr>
      <vt:lpstr>EIAthru2011</vt:lpstr>
      <vt:lpstr>Exclusions</vt:lpstr>
      <vt:lpstr>NullOverlap</vt:lpstr>
      <vt:lpstr>Degradation</vt:lpstr>
      <vt:lpstr>Variability2</vt:lpstr>
      <vt:lpstr>Variability</vt:lpstr>
      <vt:lpstr>Variab100_25</vt:lpstr>
      <vt:lpstr>Variab100_25_POA</vt:lpstr>
      <vt:lpstr>FiveMedianTrends</vt:lpstr>
      <vt:lpstr>Rank50Variability</vt:lpstr>
      <vt:lpstr>BoxPlot100</vt:lpstr>
      <vt:lpstr>BoxPlot25</vt:lpstr>
      <vt:lpstr>Cone30</vt:lpstr>
      <vt:lpstr>Cone16dog</vt:lpstr>
      <vt:lpstr>p90p50twoperiods</vt:lpstr>
      <vt:lpstr>p50p90</vt:lpstr>
      <vt:lpstr>p50p90trimmed</vt:lpstr>
      <vt:lpstr>p50p90setAsetB</vt:lpstr>
      <vt:lpstr>p90p50</vt:lpstr>
      <vt:lpstr>PI</vt:lpstr>
      <vt:lpstr>BoxPlot50</vt:lpstr>
      <vt:lpstr>PI_NoLines</vt:lpstr>
      <vt:lpstr>PI_NoLegend</vt:lpstr>
      <vt:lpstr>PI_twoP90</vt:lpstr>
      <vt:lpstr>PI_P90</vt:lpstr>
      <vt:lpstr>PI_noDots</vt:lpstr>
      <vt:lpstr>PI_noDots (2)</vt:lpstr>
      <vt:lpstr>PI_publish</vt:lpstr>
      <vt:lpstr>AgeHistogram</vt:lpstr>
      <vt:lpstr>TmodHistogram</vt:lpstr>
      <vt:lpstr>Null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Townsend</dc:creator>
  <cp:lastModifiedBy>Tim Townsend</cp:lastModifiedBy>
  <cp:lastPrinted>2026-05-30T18:06:35Z</cp:lastPrinted>
  <dcterms:created xsi:type="dcterms:W3CDTF">2026-03-22T04:16:34Z</dcterms:created>
  <dcterms:modified xsi:type="dcterms:W3CDTF">2026-08-27T02:52:28Z</dcterms:modified>
</cp:coreProperties>
</file>