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LONFI0002.R02.XLGS.LOCAL\Home\X135795\Redirected Documents\"/>
    </mc:Choice>
  </mc:AlternateContent>
  <xr:revisionPtr revIDLastSave="0" documentId="13_ncr:1_{9890D5DF-6DC8-4BCC-94AE-6CC702312D07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state="hidden" r:id="rId2"/>
    <sheet name="Sheet4" sheetId="6" r:id="rId3"/>
    <sheet name="Active Loans" sheetId="9" r:id="rId4"/>
    <sheet name="Sheet8" sheetId="10" r:id="rId5"/>
    <sheet name="Palani" sheetId="13" r:id="rId6"/>
    <sheet name="Cricket" sheetId="14" r:id="rId7"/>
    <sheet name="Sheet6" sheetId="16" r:id="rId8"/>
    <sheet name="Lending" sheetId="17" r:id="rId9"/>
    <sheet name="Sheet5" sheetId="18" r:id="rId10"/>
    <sheet name="Sheet3" sheetId="19" r:id="rId11"/>
    <sheet name="Tax" sheetId="20" r:id="rId12"/>
    <sheet name="Sheet7" sheetId="21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9" l="1"/>
  <c r="B47" i="9"/>
  <c r="F15" i="9"/>
  <c r="E126" i="6"/>
  <c r="E119" i="6"/>
  <c r="E122" i="6"/>
  <c r="E121" i="6"/>
  <c r="E123" i="6"/>
  <c r="E124" i="6"/>
  <c r="E115" i="6"/>
  <c r="E114" i="6"/>
  <c r="E128" i="6"/>
  <c r="E116" i="6"/>
  <c r="E117" i="6"/>
  <c r="E118" i="6"/>
  <c r="E120" i="6"/>
  <c r="E125" i="6"/>
  <c r="E127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38" i="6"/>
  <c r="D138" i="6"/>
  <c r="C138" i="6"/>
  <c r="C28" i="9"/>
  <c r="D30" i="1"/>
  <c r="E30" i="1"/>
  <c r="F30" i="1"/>
  <c r="B31" i="1"/>
  <c r="D31" i="1"/>
  <c r="E31" i="1"/>
  <c r="F31" i="1"/>
  <c r="F32" i="1"/>
  <c r="C4" i="1"/>
  <c r="H71" i="6"/>
  <c r="G71" i="6"/>
  <c r="I71" i="6"/>
  <c r="B14" i="1"/>
  <c r="B18" i="1"/>
  <c r="B20" i="1"/>
  <c r="K15" i="9"/>
  <c r="O13" i="9"/>
  <c r="L13" i="9"/>
  <c r="N13" i="9"/>
  <c r="P13" i="9"/>
  <c r="B17" i="9"/>
  <c r="B11" i="9"/>
  <c r="N34" i="1"/>
  <c r="F17" i="9"/>
  <c r="B7" i="9"/>
  <c r="L16" i="9"/>
  <c r="N16" i="9"/>
  <c r="O16" i="9"/>
  <c r="P16" i="9"/>
  <c r="H65" i="1"/>
  <c r="F61" i="1"/>
  <c r="F64" i="1"/>
  <c r="C43" i="19"/>
  <c r="C51" i="19"/>
  <c r="D51" i="19"/>
  <c r="C53" i="19"/>
  <c r="C54" i="19"/>
  <c r="B58" i="19"/>
  <c r="B59" i="19"/>
  <c r="D60" i="19"/>
  <c r="J39" i="1"/>
  <c r="H16" i="20"/>
  <c r="F15" i="20"/>
  <c r="F17" i="20"/>
  <c r="H17" i="20"/>
  <c r="H18" i="20"/>
  <c r="H20" i="20"/>
  <c r="H5" i="20"/>
  <c r="F4" i="20"/>
  <c r="F6" i="20"/>
  <c r="H6" i="20"/>
  <c r="H7" i="20"/>
  <c r="H9" i="20"/>
  <c r="L6" i="9"/>
  <c r="N6" i="9"/>
  <c r="O6" i="9"/>
  <c r="P6" i="9"/>
  <c r="L4" i="9"/>
  <c r="N4" i="9"/>
  <c r="O4" i="9"/>
  <c r="P4" i="9"/>
  <c r="L5" i="9"/>
  <c r="N5" i="9"/>
  <c r="O5" i="9"/>
  <c r="P5" i="9"/>
  <c r="L9" i="9"/>
  <c r="N9" i="9"/>
  <c r="O9" i="9"/>
  <c r="P9" i="9"/>
  <c r="L10" i="9"/>
  <c r="N10" i="9"/>
  <c r="O10" i="9"/>
  <c r="P10" i="9"/>
  <c r="L14" i="9"/>
  <c r="N14" i="9"/>
  <c r="O14" i="9"/>
  <c r="P14" i="9"/>
  <c r="L58" i="9"/>
  <c r="N58" i="9"/>
  <c r="O58" i="9"/>
  <c r="P58" i="9"/>
  <c r="L55" i="9"/>
  <c r="N55" i="9"/>
  <c r="O55" i="9"/>
  <c r="P55" i="9"/>
  <c r="L15" i="9"/>
  <c r="N15" i="9"/>
  <c r="O15" i="9"/>
  <c r="P15" i="9"/>
  <c r="L3" i="9"/>
  <c r="O3" i="9"/>
  <c r="O2" i="9"/>
  <c r="L2" i="9"/>
  <c r="B18" i="9"/>
  <c r="N22" i="1"/>
  <c r="K22" i="1"/>
  <c r="N3" i="9"/>
  <c r="P3" i="9"/>
  <c r="N2" i="9"/>
  <c r="P2" i="9"/>
  <c r="H13" i="19"/>
  <c r="G13" i="19"/>
  <c r="E29" i="19"/>
  <c r="E31" i="19"/>
  <c r="E18" i="19"/>
  <c r="P29" i="9"/>
  <c r="P32" i="9"/>
  <c r="F18" i="6"/>
  <c r="F42" i="6"/>
  <c r="N28" i="6"/>
  <c r="N36" i="6"/>
  <c r="H21" i="18"/>
  <c r="H22" i="18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G42" i="6"/>
  <c r="H44" i="6"/>
  <c r="D21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D25" i="14"/>
  <c r="G9" i="14"/>
  <c r="R28" i="9"/>
  <c r="Q58" i="9"/>
  <c r="F32" i="16"/>
  <c r="H32" i="16"/>
  <c r="F38" i="16"/>
  <c r="H38" i="16"/>
  <c r="I38" i="16"/>
  <c r="F31" i="16"/>
  <c r="H31" i="16"/>
  <c r="F37" i="16"/>
  <c r="H37" i="16"/>
  <c r="I37" i="16"/>
  <c r="F30" i="16"/>
  <c r="H30" i="16"/>
  <c r="F36" i="16"/>
  <c r="H36" i="16"/>
  <c r="I36" i="16"/>
  <c r="E3" i="2"/>
  <c r="E4" i="2"/>
  <c r="E5" i="2"/>
  <c r="E6" i="2"/>
  <c r="F24" i="16"/>
  <c r="Q9" i="2"/>
  <c r="H41" i="9"/>
  <c r="K21" i="10"/>
  <c r="P28" i="10"/>
  <c r="Q32" i="9"/>
  <c r="Q31" i="9"/>
  <c r="M20" i="10"/>
  <c r="M23" i="10"/>
  <c r="M27" i="10"/>
  <c r="M39" i="10"/>
  <c r="M41" i="10"/>
  <c r="M43" i="10"/>
  <c r="N20" i="10"/>
  <c r="N23" i="10"/>
  <c r="N27" i="10"/>
  <c r="N39" i="10"/>
  <c r="N41" i="10"/>
  <c r="N43" i="10"/>
  <c r="N32" i="10"/>
  <c r="N34" i="10"/>
  <c r="M32" i="10"/>
  <c r="M34" i="10"/>
  <c r="D3" i="2"/>
  <c r="D9" i="2"/>
  <c r="D4" i="2"/>
  <c r="D5" i="2"/>
  <c r="G24" i="16"/>
  <c r="E24" i="16"/>
  <c r="H4" i="16"/>
  <c r="H5" i="16"/>
  <c r="H2" i="16"/>
  <c r="H6" i="16"/>
  <c r="G2" i="16"/>
  <c r="G6" i="16"/>
  <c r="F2" i="16"/>
  <c r="F6" i="16"/>
  <c r="H7" i="16"/>
  <c r="F8" i="16"/>
  <c r="G3" i="16"/>
  <c r="G4" i="16"/>
  <c r="G5" i="16"/>
  <c r="G7" i="16"/>
  <c r="F3" i="16"/>
  <c r="F4" i="16"/>
  <c r="F5" i="16"/>
  <c r="F7" i="16"/>
  <c r="J17" i="1"/>
  <c r="G19" i="6"/>
  <c r="P33" i="2"/>
  <c r="L31" i="2"/>
  <c r="L33" i="2"/>
  <c r="L35" i="2"/>
  <c r="D40" i="2"/>
  <c r="E40" i="2"/>
  <c r="O63" i="1"/>
  <c r="O62" i="1"/>
  <c r="O61" i="1"/>
  <c r="D62" i="2"/>
  <c r="E62" i="2"/>
  <c r="O12" i="10"/>
  <c r="C25" i="10"/>
  <c r="K87" i="2"/>
  <c r="L84" i="2"/>
  <c r="L85" i="2"/>
  <c r="L86" i="2"/>
  <c r="K84" i="2"/>
  <c r="K85" i="2"/>
  <c r="K86" i="2"/>
  <c r="P94" i="2"/>
  <c r="P85" i="2"/>
  <c r="V77" i="2"/>
  <c r="X77" i="2"/>
  <c r="V78" i="2"/>
  <c r="X78" i="2"/>
  <c r="X79" i="2"/>
  <c r="O83" i="2"/>
  <c r="O17" i="6"/>
  <c r="F19" i="6"/>
  <c r="G21" i="6"/>
  <c r="F21" i="6"/>
  <c r="F23" i="6"/>
  <c r="C26" i="6"/>
  <c r="K3" i="6"/>
  <c r="H19" i="6"/>
  <c r="E61" i="2"/>
  <c r="C74" i="2"/>
  <c r="Q81" i="2"/>
  <c r="Q82" i="2"/>
  <c r="P81" i="2"/>
  <c r="P82" i="2"/>
  <c r="V57" i="2"/>
  <c r="V58" i="2"/>
  <c r="S53" i="2"/>
  <c r="S52" i="2"/>
  <c r="S51" i="2"/>
  <c r="S50" i="2"/>
  <c r="D41" i="2"/>
  <c r="P83" i="2"/>
  <c r="P84" i="2"/>
  <c r="Q83" i="2"/>
  <c r="Q84" i="2"/>
  <c r="V50" i="2"/>
  <c r="C44" i="2"/>
  <c r="W32" i="2"/>
  <c r="P39" i="2"/>
  <c r="O39" i="2"/>
  <c r="D76" i="2"/>
  <c r="D67" i="2"/>
  <c r="C52" i="2"/>
  <c r="D54" i="2"/>
  <c r="D46" i="2"/>
  <c r="E41" i="2"/>
  <c r="E42" i="2"/>
  <c r="E43" i="2"/>
  <c r="E49" i="2"/>
  <c r="E50" i="2"/>
  <c r="E51" i="2"/>
  <c r="E63" i="2"/>
  <c r="E64" i="2"/>
  <c r="E71" i="2"/>
  <c r="E72" i="2"/>
  <c r="E73" i="2"/>
  <c r="O92" i="2"/>
  <c r="Q89" i="2"/>
  <c r="Q90" i="2"/>
  <c r="Q91" i="2"/>
  <c r="P89" i="2"/>
  <c r="P90" i="2"/>
  <c r="P91" i="2"/>
  <c r="Q88" i="2"/>
  <c r="P88" i="2"/>
  <c r="D71" i="2"/>
  <c r="D72" i="2"/>
  <c r="D73" i="2"/>
  <c r="E70" i="2"/>
  <c r="E74" i="2"/>
  <c r="D70" i="2"/>
  <c r="D74" i="2"/>
  <c r="D63" i="2"/>
  <c r="D64" i="2"/>
  <c r="D61" i="2"/>
  <c r="D48" i="2"/>
  <c r="D52" i="2"/>
  <c r="D49" i="2"/>
  <c r="D50" i="2"/>
  <c r="D51" i="2"/>
  <c r="E48" i="2"/>
  <c r="D42" i="2"/>
  <c r="D43" i="2"/>
  <c r="D6" i="2"/>
  <c r="C82" i="2"/>
  <c r="D84" i="2"/>
  <c r="C81" i="2"/>
  <c r="E81" i="2"/>
  <c r="E78" i="2"/>
  <c r="D78" i="2"/>
  <c r="C15" i="2"/>
  <c r="D17" i="2"/>
  <c r="C14" i="2"/>
  <c r="D14" i="2"/>
  <c r="E11" i="2"/>
  <c r="D11" i="2"/>
  <c r="F32" i="2"/>
  <c r="D31" i="2"/>
  <c r="G34" i="2"/>
  <c r="E30" i="2"/>
  <c r="F30" i="2"/>
  <c r="F23" i="2"/>
  <c r="D22" i="2"/>
  <c r="F22" i="2"/>
  <c r="E21" i="2"/>
  <c r="E24" i="2"/>
  <c r="E44" i="2"/>
  <c r="E45" i="2"/>
  <c r="E52" i="2"/>
  <c r="E53" i="2"/>
  <c r="P92" i="2"/>
  <c r="P93" i="2"/>
  <c r="Q92" i="2"/>
  <c r="Q93" i="2"/>
  <c r="D75" i="2"/>
  <c r="E75" i="2"/>
  <c r="D53" i="2"/>
  <c r="D44" i="2"/>
  <c r="D45" i="2"/>
  <c r="E7" i="2"/>
  <c r="E82" i="2"/>
  <c r="E83" i="2"/>
  <c r="D82" i="2"/>
  <c r="D81" i="2"/>
  <c r="D15" i="2"/>
  <c r="D16" i="2"/>
  <c r="E15" i="2"/>
  <c r="E14" i="2"/>
  <c r="D7" i="2"/>
  <c r="F24" i="2"/>
  <c r="G24" i="2"/>
  <c r="F31" i="2"/>
  <c r="F33" i="2"/>
  <c r="E33" i="2"/>
  <c r="G25" i="2"/>
  <c r="F21" i="2"/>
  <c r="E8" i="2"/>
  <c r="D83" i="2"/>
  <c r="E16" i="2"/>
  <c r="G33" i="2"/>
  <c r="G22" i="1"/>
  <c r="F22" i="1"/>
  <c r="H22" i="1"/>
  <c r="F24" i="1"/>
  <c r="F26" i="1"/>
  <c r="G24" i="1"/>
  <c r="G26" i="1"/>
  <c r="D8" i="2"/>
  <c r="D65" i="2"/>
  <c r="D66" i="2"/>
  <c r="E65" i="2"/>
  <c r="E66" i="2"/>
  <c r="G11" i="14"/>
  <c r="E20" i="1"/>
</calcChain>
</file>

<file path=xl/sharedStrings.xml><?xml version="1.0" encoding="utf-8"?>
<sst xmlns="http://schemas.openxmlformats.org/spreadsheetml/2006/main" count="771" uniqueCount="540">
  <si>
    <t>HSBC</t>
  </si>
  <si>
    <t>Rejitha</t>
  </si>
  <si>
    <t>rent</t>
  </si>
  <si>
    <t>value</t>
  </si>
  <si>
    <t>Mortgage</t>
  </si>
  <si>
    <t>With Mortgage</t>
  </si>
  <si>
    <t>Net Yield</t>
  </si>
  <si>
    <t>https://www.rightmove.co.uk/property-for-sale/property-69728914.html</t>
  </si>
  <si>
    <t>Noittingham</t>
  </si>
  <si>
    <t>2 bed</t>
  </si>
  <si>
    <t>https://www.rightmove.co.uk/property-for-sale/property-64799112.html</t>
  </si>
  <si>
    <t>Nottingham</t>
  </si>
  <si>
    <t>Only if available for buy it now</t>
  </si>
  <si>
    <t>3 bed</t>
  </si>
  <si>
    <t>auction</t>
  </si>
  <si>
    <t>https://www.rightmove.co.uk/property-for-sale/property-82195337.html</t>
  </si>
  <si>
    <t>Mortgage arrange</t>
  </si>
  <si>
    <t>buy it now</t>
  </si>
  <si>
    <t>20 days completion</t>
  </si>
  <si>
    <t>https://www.rightmove.co.uk/property-for-sale/property-70467220.html</t>
  </si>
  <si>
    <t>Less preference</t>
  </si>
  <si>
    <t>https://www.rightmove.co.uk/property-for-sale/property-69693994.html</t>
  </si>
  <si>
    <t>https://www.rightmove.co.uk/property-for-sale/property-60954684.html</t>
  </si>
  <si>
    <t>12 months</t>
  </si>
  <si>
    <t>6 months</t>
  </si>
  <si>
    <t>April</t>
  </si>
  <si>
    <t>expired</t>
  </si>
  <si>
    <t>7th 4.30pm</t>
  </si>
  <si>
    <t>8th 5pm</t>
  </si>
  <si>
    <t>Aug</t>
  </si>
  <si>
    <t>statutory</t>
  </si>
  <si>
    <t>https://www.rightmove.co.uk/property-for-sale/property-61270962.html</t>
  </si>
  <si>
    <t>confirmed</t>
  </si>
  <si>
    <t>60K</t>
  </si>
  <si>
    <t>120K</t>
  </si>
  <si>
    <t>24K</t>
  </si>
  <si>
    <t>375 ?</t>
  </si>
  <si>
    <t>Fixed Deposits - India</t>
  </si>
  <si>
    <t>Shibu</t>
  </si>
  <si>
    <t>https://www.rightmove.co.uk/property-for-sale/property-65918370.html</t>
  </si>
  <si>
    <t>https://www.rightmove.co.uk/property-for-sale/property-75964609.html?backListLink=%2Fproperty-for-sale%2Fproperty-75964609.html</t>
  </si>
  <si>
    <t>https://www.rightmove.co.uk/property-for-sale/property-74154691.html</t>
  </si>
  <si>
    <t>region of</t>
  </si>
  <si>
    <t>All ensuit</t>
  </si>
  <si>
    <t>Projected yied</t>
  </si>
  <si>
    <t> £15,720 - £16,440</t>
  </si>
  <si>
    <t>HMO</t>
  </si>
  <si>
    <t>3.30 pm</t>
  </si>
  <si>
    <t>Wed</t>
  </si>
  <si>
    <t>DE24 8PY, London Rd, Derby</t>
  </si>
  <si>
    <t>Reception not sure about negotiation</t>
  </si>
  <si>
    <t>8th 3.30 pm</t>
  </si>
  <si>
    <t>7th 1 pm</t>
  </si>
  <si>
    <t>Projected</t>
  </si>
  <si>
    <t>5 Bed</t>
  </si>
  <si>
    <t>2 Bed</t>
  </si>
  <si>
    <t>All Bedrooms are Currently Let</t>
  </si>
  <si>
    <t>Rent</t>
  </si>
  <si>
    <t>Market Value</t>
  </si>
  <si>
    <t>With SD</t>
  </si>
  <si>
    <t>Without</t>
  </si>
  <si>
    <t>4 bed</t>
  </si>
  <si>
    <t>59 Lord Street</t>
  </si>
  <si>
    <t>HMO, 4 bed 1680 rent</t>
  </si>
  <si>
    <t>Rent (1680)</t>
  </si>
  <si>
    <t>Rent (940)</t>
  </si>
  <si>
    <t xml:space="preserve">Rent (-600) </t>
  </si>
  <si>
    <t>8th 1 pm</t>
  </si>
  <si>
    <t>Rolling contract</t>
  </si>
  <si>
    <t>Rent / Room ?</t>
  </si>
  <si>
    <t>HMO fees ?</t>
  </si>
  <si>
    <t>End date for tenancy ?</t>
  </si>
  <si>
    <t>Agency rates</t>
  </si>
  <si>
    <t>Seen</t>
  </si>
  <si>
    <t>120 + 125 asking</t>
  </si>
  <si>
    <t>might be negotiable for 180</t>
  </si>
  <si>
    <t>room on top of shop</t>
  </si>
  <si>
    <t>Contract expiring on March</t>
  </si>
  <si>
    <t>2 bed bathroom</t>
  </si>
  <si>
    <t>river views</t>
  </si>
  <si>
    <t>10K</t>
  </si>
  <si>
    <t>30K</t>
  </si>
  <si>
    <t>Commercial</t>
  </si>
  <si>
    <t>Date</t>
  </si>
  <si>
    <t>Taxable income (£)</t>
  </si>
  <si>
    <t>Income Tax paid (£)</t>
  </si>
  <si>
    <t>National Insurance paid (£)</t>
  </si>
  <si>
    <t>Total</t>
  </si>
  <si>
    <t>Bakery</t>
  </si>
  <si>
    <t>SD</t>
  </si>
  <si>
    <t>Earnings</t>
  </si>
  <si>
    <t>After SD</t>
  </si>
  <si>
    <t>With M</t>
  </si>
  <si>
    <t>Monzo</t>
  </si>
  <si>
    <t>Santander</t>
  </si>
  <si>
    <t>Aqua</t>
  </si>
  <si>
    <t>MBNA</t>
  </si>
  <si>
    <t>Virgin Money</t>
  </si>
  <si>
    <t>?</t>
  </si>
  <si>
    <t>F4B Case Reference:</t>
  </si>
  <si>
    <t>B713413</t>
  </si>
  <si>
    <t>Borrower:</t>
  </si>
  <si>
    <t>Shibu Manoharan</t>
  </si>
  <si>
    <t>Facility Type:</t>
  </si>
  <si>
    <t>Serviced commercial bridge</t>
  </si>
  <si>
    <t>Charge:</t>
  </si>
  <si>
    <t>1st</t>
  </si>
  <si>
    <t>Security Address:</t>
  </si>
  <si>
    <t>Bakery premises in Gillingham High St</t>
  </si>
  <si>
    <t>Market Value:</t>
  </si>
  <si>
    <t>Loan Amount:</t>
  </si>
  <si>
    <t>Loan to Value:</t>
  </si>
  <si>
    <t>Term:</t>
  </si>
  <si>
    <t>18 months max</t>
  </si>
  <si>
    <t>Monthly Interest Rate:</t>
  </si>
  <si>
    <t>Repayments:</t>
  </si>
  <si>
    <t>Exit Fee:</t>
  </si>
  <si>
    <t>Nil</t>
  </si>
  <si>
    <t>Lender Arrangement Fee:</t>
  </si>
  <si>
    <t>Valuation Fee:</t>
  </si>
  <si>
    <t>TBC</t>
  </si>
  <si>
    <t>Legal Fees:</t>
  </si>
  <si>
    <t>Lender Assessment Fee:</t>
  </si>
  <si>
    <t>Telegraphic Transfer Fee:</t>
  </si>
  <si>
    <t>Broker Engagement Fee:</t>
  </si>
  <si>
    <t>Broker Completion Fee:</t>
  </si>
  <si>
    <r>
      <t>Valuation Fee (Inc. VAT): £720.00 </t>
    </r>
    <r>
      <rPr>
        <sz val="11"/>
        <color rgb="FFFF0000"/>
        <rFont val="Calibri"/>
        <family val="2"/>
      </rPr>
      <t>- </t>
    </r>
    <r>
      <rPr>
        <sz val="11"/>
        <color rgb="FF222222"/>
        <rFont val="Calibri"/>
        <family val="2"/>
      </rPr>
      <t>only paid after the loan has been approved               </t>
    </r>
  </si>
  <si>
    <t>Legal Fee (Inc. VAT): £1000.00- only paid after the loan has been approved               </t>
  </si>
  <si>
    <t>Facility Fee: £2%- added to the loan and only paid should the loan complete</t>
  </si>
  <si>
    <t>Broker Fee: £995.00- added to the loan and only paid should the loan complete</t>
  </si>
  <si>
    <t>Telegraphic Transfer Fee: £35.00- added to the loan and only paid should the loan complete</t>
  </si>
  <si>
    <t>Assessment Fee: £295.00- added to the loan and only paid should the loan complete</t>
  </si>
  <si>
    <t>Redemption Fee: £120.00</t>
  </si>
  <si>
    <t>Monthly Interest Rate: 0.85% TBC</t>
  </si>
  <si>
    <t>Loan Term (Months): 12</t>
  </si>
  <si>
    <t>Monzo - Shibu</t>
  </si>
  <si>
    <t>Capital On Tap</t>
  </si>
  <si>
    <t>HSBC Overdraft</t>
  </si>
  <si>
    <t>credited</t>
  </si>
  <si>
    <t>6 months 0</t>
  </si>
  <si>
    <t>monzo</t>
  </si>
  <si>
    <t>To pay after 6 months</t>
  </si>
  <si>
    <t>set</t>
  </si>
  <si>
    <t>Mayuri</t>
  </si>
  <si>
    <t>GST</t>
  </si>
  <si>
    <t>ascendas</t>
  </si>
  <si>
    <t xml:space="preserve">3 building </t>
  </si>
  <si>
    <t>11 floors</t>
  </si>
  <si>
    <t>america</t>
  </si>
  <si>
    <t>2 building</t>
  </si>
  <si>
    <t>NY</t>
  </si>
  <si>
    <t>hyb</t>
  </si>
  <si>
    <t>biriyani</t>
  </si>
  <si>
    <t>salem</t>
  </si>
  <si>
    <t>others</t>
  </si>
  <si>
    <t>stopped</t>
  </si>
  <si>
    <t>madras</t>
  </si>
  <si>
    <t>150 + GST</t>
  </si>
  <si>
    <t>42 - 46000</t>
  </si>
  <si>
    <t>22 - 27</t>
  </si>
  <si>
    <t>10 - 5K</t>
  </si>
  <si>
    <t>100 RS</t>
  </si>
  <si>
    <t>120rs</t>
  </si>
  <si>
    <t>hybd tea</t>
  </si>
  <si>
    <t>pulavu</t>
  </si>
  <si>
    <t>Tandori</t>
  </si>
  <si>
    <t>Daba</t>
  </si>
  <si>
    <t>Nonveg</t>
  </si>
  <si>
    <t>per month</t>
  </si>
  <si>
    <t>rent 1.2 L</t>
  </si>
  <si>
    <t>40RS</t>
  </si>
  <si>
    <t>2.75L / month</t>
  </si>
  <si>
    <t>/ staff</t>
  </si>
  <si>
    <t>wed</t>
  </si>
  <si>
    <t>frid</t>
  </si>
  <si>
    <t xml:space="preserve">Mond </t>
  </si>
  <si>
    <t>80 * 4 / month</t>
  </si>
  <si>
    <t>In hand</t>
  </si>
  <si>
    <t>VAT</t>
  </si>
  <si>
    <t>29th April until 28th Oct 2020</t>
  </si>
  <si>
    <t>Voluntary contributions</t>
  </si>
  <si>
    <t>Sajith</t>
  </si>
  <si>
    <t>Umesh</t>
  </si>
  <si>
    <t>Midhun</t>
  </si>
  <si>
    <t>Expenses</t>
  </si>
  <si>
    <t>Bat</t>
  </si>
  <si>
    <t>Balls</t>
  </si>
  <si>
    <t>Boundary markers</t>
  </si>
  <si>
    <t>Chandra</t>
  </si>
  <si>
    <t>2017 Oct</t>
  </si>
  <si>
    <t>2018 Oct</t>
  </si>
  <si>
    <t>Hitachi</t>
  </si>
  <si>
    <t>2019 Jan</t>
  </si>
  <si>
    <t>1 month</t>
  </si>
  <si>
    <t>2020 Jan</t>
  </si>
  <si>
    <t>2018 Nov</t>
  </si>
  <si>
    <t>Perm</t>
  </si>
  <si>
    <t>Axa</t>
  </si>
  <si>
    <t>19-20</t>
  </si>
  <si>
    <t>18-19</t>
  </si>
  <si>
    <t>April - Nov</t>
  </si>
  <si>
    <t>Loan Purpose</t>
  </si>
  <si>
    <t>Remortgage</t>
  </si>
  <si>
    <t>Property Address</t>
  </si>
  <si>
    <t>80-84 Main Street, Glasgow, G72 7EP</t>
  </si>
  <si>
    <t>Estimated valuation/Purchase price</t>
  </si>
  <si>
    <t>Loan amount:</t>
  </si>
  <si>
    <t>£79,750 (55% LTV)</t>
  </si>
  <si>
    <t>Lender Arrangement Fee      </t>
  </si>
  <si>
    <t>1.50% of loan amount</t>
  </si>
  <si>
    <t>Estimated Legal Fee</t>
  </si>
  <si>
    <t>Estimated Valuation Fee</t>
  </si>
  <si>
    <t>Interest Rate:                     </t>
  </si>
  <si>
    <t>6.14%  - 5 Year Fixed</t>
  </si>
  <si>
    <t>ERC:(%)                     </t>
  </si>
  <si>
    <t>(3% Years 1 - 5) 10% overpayments allowed</t>
  </si>
  <si>
    <t>Broker Fee:                 </t>
  </si>
  <si>
    <t>Loan Term:                 </t>
  </si>
  <si>
    <t>25 Years</t>
  </si>
  <si>
    <t>Repayment Type</t>
  </si>
  <si>
    <t>Capital Repayment</t>
  </si>
  <si>
    <t>Monthly Repayment</t>
  </si>
  <si>
    <t>Additional Security</t>
  </si>
  <si>
    <t>N/A</t>
  </si>
  <si>
    <t>Charleston</t>
  </si>
  <si>
    <r>
      <t>Valuation Fee (Inc. VAT): £720.00 </t>
    </r>
    <r>
      <rPr>
        <sz val="11"/>
        <color rgb="FFFF0000"/>
        <rFont val="Calibri"/>
        <family val="2"/>
      </rPr>
      <t>- </t>
    </r>
    <r>
      <rPr>
        <sz val="11"/>
        <color rgb="FF222222"/>
        <rFont val="Calibri"/>
        <family val="2"/>
      </rPr>
      <t>only paid after the loan has been approved               </t>
    </r>
  </si>
  <si>
    <t>Legal Fee (Inc. VAT): £1000.00- only paid after the loan has been approved               </t>
  </si>
  <si>
    <t>Facility Fee: £2%- added to the loan and only paid should the loan complete</t>
  </si>
  <si>
    <t>Broker Fee: £995.00- added to the loan and only paid should the loan complete</t>
  </si>
  <si>
    <t>Telegraphic Transfer Fee: £35.00- added to the loan and only paid should the loan complete</t>
  </si>
  <si>
    <t>Assessment Fee: £295.00- added to the loan and only paid should the loan complete</t>
  </si>
  <si>
    <t>Bridging</t>
  </si>
  <si>
    <t>20 years</t>
  </si>
  <si>
    <t>Gross Loan</t>
  </si>
  <si>
    <t>Lender's Facility Fee 2.00%</t>
  </si>
  <si>
    <t>Lender Solicitor Fees (approx)</t>
  </si>
  <si>
    <t>Administration Fee</t>
  </si>
  <si>
    <t>Broker Fee</t>
  </si>
  <si>
    <t>Net Loan</t>
  </si>
  <si>
    <t>Monthly Interest Rate</t>
  </si>
  <si>
    <t>Monthly Interest</t>
  </si>
  <si>
    <t>Rolled Up</t>
  </si>
  <si>
    <t>Term of Loan</t>
  </si>
  <si>
    <t>12 Months</t>
  </si>
  <si>
    <t>Interest chargeable over 12 Months</t>
  </si>
  <si>
    <t>£            19,632</t>
  </si>
  <si>
    <t>Minimum Interest Chargeable</t>
  </si>
  <si>
    <t>£              1,558</t>
  </si>
  <si>
    <t>Overall Facility of</t>
  </si>
  <si>
    <t> £          194,632</t>
  </si>
  <si>
    <t>Exit or Redemption Fee</t>
  </si>
  <si>
    <t>None</t>
  </si>
  <si>
    <t>Value of 1 Securit(ies)</t>
  </si>
  <si>
    <t>£          300,000</t>
  </si>
  <si>
    <t>Total of 0 Outstanding Charge(s)</t>
  </si>
  <si>
    <t>£                      -</t>
  </si>
  <si>
    <t>Loan to Value</t>
  </si>
  <si>
    <t>Valuation Cost</t>
  </si>
  <si>
    <t>redemption</t>
  </si>
  <si>
    <t>telegraphic transfer</t>
  </si>
  <si>
    <t> £495</t>
  </si>
  <si>
    <r>
      <t>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Gross Loan:                                  £87,000</t>
    </r>
  </si>
  <si>
    <r>
      <t>2.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Interest Rate:                                 7.99%</t>
    </r>
  </si>
  <si>
    <r>
      <t>3.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Monthly Payment:                          £579 Interest Only or £671 Repayment </t>
    </r>
  </si>
  <si>
    <r>
      <t>4.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Length of Term:                            10 years Interest Only or 20 Years Repayment</t>
    </r>
  </si>
  <si>
    <r>
      <t>5.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Estimated value of security:             £145,000</t>
    </r>
  </si>
  <si>
    <r>
      <t>6.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Type of security:                             Commercial Premises</t>
    </r>
  </si>
  <si>
    <r>
      <t>7.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Charge required:                            1st Legal Charge</t>
    </r>
  </si>
  <si>
    <r>
      <t>8.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Purpose of Loan:                           Purchase the property</t>
    </r>
  </si>
  <si>
    <r>
      <t>9.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Arrangement/Facility fee from:       £3,500 Deducted from the gross loan</t>
    </r>
  </si>
  <si>
    <r>
      <t>10.</t>
    </r>
    <r>
      <rPr>
        <sz val="7"/>
        <color rgb="FF222222"/>
        <rFont val="Times New Roman"/>
      </rPr>
      <t>    </t>
    </r>
    <r>
      <rPr>
        <sz val="12"/>
        <color rgb="FF222222"/>
        <rFont val="Garamond"/>
        <family val="1"/>
      </rPr>
      <t>Redemption costs:                         Years 1-2 = 4%, Year 3 = 3%, Year 4 = 2%, Year 5 = 1%</t>
    </r>
  </si>
  <si>
    <t>Lijo</t>
  </si>
  <si>
    <t>Lijo's ball purchase (soft rubber white)</t>
  </si>
  <si>
    <t>Deepak</t>
  </si>
  <si>
    <t>VM2</t>
  </si>
  <si>
    <t>paid</t>
  </si>
  <si>
    <t>Sarah</t>
  </si>
  <si>
    <t>Richard new</t>
  </si>
  <si>
    <t>3% - 10% allowed</t>
  </si>
  <si>
    <t>Thomas</t>
  </si>
  <si>
    <t>Biju</t>
  </si>
  <si>
    <t>Lijo, red balls</t>
  </si>
  <si>
    <t>Tom</t>
  </si>
  <si>
    <t>Praveen</t>
  </si>
  <si>
    <t>Benny</t>
  </si>
  <si>
    <t>2018-19</t>
  </si>
  <si>
    <t>2019-20</t>
  </si>
  <si>
    <t>2017-18</t>
  </si>
  <si>
    <t>Sapient</t>
  </si>
  <si>
    <t>SM IT</t>
  </si>
  <si>
    <t>Amelco</t>
  </si>
  <si>
    <t>SM IT Dividends</t>
  </si>
  <si>
    <t>Total Income</t>
  </si>
  <si>
    <t>Gorj</t>
  </si>
  <si>
    <t>Shibu Salary</t>
  </si>
  <si>
    <t>Shibu Dividends</t>
  </si>
  <si>
    <t>Rejitha Salary</t>
  </si>
  <si>
    <t>Rejitha Dividends</t>
  </si>
  <si>
    <t>17-18</t>
  </si>
  <si>
    <t>17-18 Total</t>
  </si>
  <si>
    <t>18-19 Total</t>
  </si>
  <si>
    <t>19-20 Total</t>
  </si>
  <si>
    <t>Aromal</t>
  </si>
  <si>
    <t>Hari</t>
  </si>
  <si>
    <t>Unni</t>
  </si>
  <si>
    <t>21st Dec 2018</t>
  </si>
  <si>
    <t>Entry Date</t>
  </si>
  <si>
    <t>Break Date</t>
  </si>
  <si>
    <t>Exit Date</t>
  </si>
  <si>
    <t>30th Oct 2019</t>
  </si>
  <si>
    <t>Balance Days from 6th Aug</t>
  </si>
  <si>
    <t>Rent apportionment</t>
  </si>
  <si>
    <t>S5</t>
  </si>
  <si>
    <t>EEE</t>
  </si>
  <si>
    <t>Bhagya Shyn</t>
  </si>
  <si>
    <t>Vilayil Veedu</t>
  </si>
  <si>
    <t>VKE18EE011</t>
  </si>
  <si>
    <t>Anish</t>
  </si>
  <si>
    <t xml:space="preserve">John </t>
  </si>
  <si>
    <t>how much taken ?</t>
  </si>
  <si>
    <t>transferred to mom for Bhagyas fees</t>
  </si>
  <si>
    <t>Girija</t>
  </si>
  <si>
    <t>to be settled monthly</t>
  </si>
  <si>
    <t>Total Household income,</t>
  </si>
  <si>
    <t>Thomas John</t>
  </si>
  <si>
    <t>Settled</t>
  </si>
  <si>
    <t>Marker Paint - Shibu</t>
  </si>
  <si>
    <t>Other contributions</t>
  </si>
  <si>
    <t>Pegs - Sajith</t>
  </si>
  <si>
    <t>£75,000 (72% LTV) loan (can probably get to £79,750 on 5 year fixed rate)</t>
  </si>
  <si>
    <t>8 year term</t>
  </si>
  <si>
    <t>Standard variable rate of 4.30% + Base Rate 0.10% (4.40%)</t>
  </si>
  <si>
    <t>£928.22 pm estimated repayment (Capital &amp; Interest)</t>
  </si>
  <si>
    <t>FIXED RATES TBC</t>
  </si>
  <si>
    <t>1.5% arrangement fee</t>
  </si>
  <si>
    <t>NO ERC’s (fixed rates may have ERC’s)</t>
  </si>
  <si>
    <t>Gross Loan:                                  £87,000</t>
  </si>
  <si>
    <t>Interest Rate:                                 7.99%</t>
  </si>
  <si>
    <t>Monthly Payment:                          £579 Interest Only or £671 Repayment </t>
  </si>
  <si>
    <t>Length of Term:                            10 years Interest Only or 20 Years Repayment</t>
  </si>
  <si>
    <t>Estimated value of security:             £145,000</t>
  </si>
  <si>
    <t>Type of security:                             Commercial Premises</t>
  </si>
  <si>
    <t>Charge required:                            1st Legal Charge</t>
  </si>
  <si>
    <t>Purpose of Loan:                           Purchase the property</t>
  </si>
  <si>
    <t>Arrangement/Facility fee from:       £3,500 Deducted from the gross loan</t>
  </si>
  <si>
    <t>Redemption costs:                         Years 1-2 = 4%, Year 3 = 3%, Year 4 = 2%, Year 5 = 1%</t>
  </si>
  <si>
    <t>Bijoy</t>
  </si>
  <si>
    <t>75000 / 79750</t>
  </si>
  <si>
    <t>8 years</t>
  </si>
  <si>
    <t>Loan Partnership Sarah</t>
  </si>
  <si>
    <t>Rakesh</t>
  </si>
  <si>
    <t>Sojan</t>
  </si>
  <si>
    <t>Prince</t>
  </si>
  <si>
    <t>Marker paint (£9.60) - shibu - 2nd purchase</t>
  </si>
  <si>
    <t>23rd Aug</t>
  </si>
  <si>
    <t>Paid VAT @13.5%</t>
  </si>
  <si>
    <t>Collected</t>
  </si>
  <si>
    <t>Balance</t>
  </si>
  <si>
    <t>Valuation Fee</t>
  </si>
  <si>
    <t>Legal Fee</t>
  </si>
  <si>
    <t>Assessment Fee</t>
  </si>
  <si>
    <t>Processing Fee</t>
  </si>
  <si>
    <t>Commitment Fee</t>
  </si>
  <si>
    <t>Completion Fee</t>
  </si>
  <si>
    <t>Total Sales</t>
  </si>
  <si>
    <t>VAT Due</t>
  </si>
  <si>
    <t>VAT profit</t>
  </si>
  <si>
    <t>approx</t>
  </si>
  <si>
    <t>Santander busb</t>
  </si>
  <si>
    <t>receieved 2443.88</t>
  </si>
  <si>
    <t>Kannan Transferred</t>
  </si>
  <si>
    <t>PNB</t>
  </si>
  <si>
    <t>From Shibu's account</t>
  </si>
  <si>
    <t>From Mom's account</t>
  </si>
  <si>
    <t>P22556859</t>
  </si>
  <si>
    <t>ToDo Transferwise Ref</t>
  </si>
  <si>
    <t>Every 25th 2Lakhs interest for Mom</t>
  </si>
  <si>
    <t>WK - Thomas</t>
  </si>
  <si>
    <t>(Funds are with Lijo)</t>
  </si>
  <si>
    <t>18th Aug</t>
  </si>
  <si>
    <t>Balance as of 27th Aug</t>
  </si>
  <si>
    <t>£91 transferred to Lijo + £20 balance(out  of £50 team fee balance)</t>
  </si>
  <si>
    <t>£26 winning fee used for drinks by Lijo</t>
  </si>
  <si>
    <t>Every 24th</t>
  </si>
  <si>
    <t>Every 10th</t>
  </si>
  <si>
    <t>Every 15th</t>
  </si>
  <si>
    <t>ICICI</t>
  </si>
  <si>
    <t>From ICICI</t>
  </si>
  <si>
    <t>From Radha</t>
  </si>
  <si>
    <t>From ICICIC</t>
  </si>
  <si>
    <t>28th</t>
  </si>
  <si>
    <t>27th</t>
  </si>
  <si>
    <t>26th</t>
  </si>
  <si>
    <t>25th</t>
  </si>
  <si>
    <t>24th</t>
  </si>
  <si>
    <t>received 5,193.34</t>
  </si>
  <si>
    <t>received 7,687.11</t>
  </si>
  <si>
    <t>Sant Bus</t>
  </si>
  <si>
    <t>Every 29th</t>
  </si>
  <si>
    <t>From 12/01</t>
  </si>
  <si>
    <t>IWOCA</t>
  </si>
  <si>
    <t>Savings</t>
  </si>
  <si>
    <t>P22848151</t>
  </si>
  <si>
    <t>For Sheeja</t>
  </si>
  <si>
    <t>BARC0INBBIR</t>
  </si>
  <si>
    <t>19478151045774</t>
  </si>
  <si>
    <t>Deposit</t>
  </si>
  <si>
    <t>Lender</t>
  </si>
  <si>
    <t>Outstanding</t>
  </si>
  <si>
    <t>Interest</t>
  </si>
  <si>
    <t>Term</t>
  </si>
  <si>
    <t>Start Date</t>
  </si>
  <si>
    <t>VM - Rej</t>
  </si>
  <si>
    <t>MBNA - Rej</t>
  </si>
  <si>
    <t>23 months 0%</t>
  </si>
  <si>
    <t>16 months 0%</t>
  </si>
  <si>
    <t>12 months 0%</t>
  </si>
  <si>
    <t>EMI</t>
  </si>
  <si>
    <t>Bank</t>
  </si>
  <si>
    <t>Due Date</t>
  </si>
  <si>
    <t>Available Cash</t>
  </si>
  <si>
    <t>From 29/04</t>
  </si>
  <si>
    <t>Bridge</t>
  </si>
  <si>
    <t>2 months ERC</t>
  </si>
  <si>
    <t>HMRC Refund</t>
  </si>
  <si>
    <t>Gross</t>
  </si>
  <si>
    <t>Basic</t>
  </si>
  <si>
    <t>Higher</t>
  </si>
  <si>
    <t>Tax Due</t>
  </si>
  <si>
    <t>Paid</t>
  </si>
  <si>
    <t>From 11/10</t>
  </si>
  <si>
    <t>Every 9th</t>
  </si>
  <si>
    <t>/ month</t>
  </si>
  <si>
    <t>win 7 or above</t>
  </si>
  <si>
    <t>Bridge water</t>
  </si>
  <si>
    <t>valuation</t>
  </si>
  <si>
    <t>Legal?</t>
  </si>
  <si>
    <t>P596098</t>
  </si>
  <si>
    <t>Kannan</t>
  </si>
  <si>
    <t>Funds Proof</t>
  </si>
  <si>
    <t>Total Required</t>
  </si>
  <si>
    <t>Bridging Loan</t>
  </si>
  <si>
    <t>Rose</t>
  </si>
  <si>
    <t>Expecting from contract job</t>
  </si>
  <si>
    <t>SNVRC</t>
  </si>
  <si>
    <t>Aqua Card</t>
  </si>
  <si>
    <t>Business Bank Account</t>
  </si>
  <si>
    <t>Business Bank Credit Card</t>
  </si>
  <si>
    <t>Reji Savings</t>
  </si>
  <si>
    <t>FD114762</t>
  </si>
  <si>
    <t>FD93662</t>
  </si>
  <si>
    <t>FD139806  </t>
  </si>
  <si>
    <t>FD118123</t>
  </si>
  <si>
    <t>FD116334</t>
  </si>
  <si>
    <t>FD125829</t>
  </si>
  <si>
    <t>FD94627</t>
  </si>
  <si>
    <t>FD144388</t>
  </si>
  <si>
    <t>Maturity Date</t>
  </si>
  <si>
    <t>FD141490</t>
  </si>
  <si>
    <t>Sl No</t>
  </si>
  <si>
    <t>FD No</t>
  </si>
  <si>
    <t>Amount</t>
  </si>
  <si>
    <t>Completed</t>
  </si>
  <si>
    <t>Sheeja</t>
  </si>
  <si>
    <t>Kannan Friend</t>
  </si>
  <si>
    <t>Saji</t>
  </si>
  <si>
    <t>2066.64 refunded TW</t>
  </si>
  <si>
    <t>Property price</t>
  </si>
  <si>
    <t>Legal Fee Balance</t>
  </si>
  <si>
    <t>Leasehold</t>
  </si>
  <si>
    <t>ID Check</t>
  </si>
  <si>
    <t>Local Authority</t>
  </si>
  <si>
    <t>Env Search Fee</t>
  </si>
  <si>
    <t>Drainage Search Fee</t>
  </si>
  <si>
    <t>Stamp Duty</t>
  </si>
  <si>
    <t>Stamp Duty Form Completion</t>
  </si>
  <si>
    <t>SDLTD submission</t>
  </si>
  <si>
    <t>Land Registry Fee</t>
  </si>
  <si>
    <t>Land Registery Search Fee</t>
  </si>
  <si>
    <t>Bandruptcy Search</t>
  </si>
  <si>
    <t>Bank Transfer</t>
  </si>
  <si>
    <t>Bank VAT</t>
  </si>
  <si>
    <t>Advance Rent</t>
  </si>
  <si>
    <t>SW 600</t>
  </si>
  <si>
    <t>Pending monies</t>
  </si>
  <si>
    <t>6th</t>
  </si>
  <si>
    <t>13th</t>
  </si>
  <si>
    <t>20th</t>
  </si>
  <si>
    <t>Rej</t>
  </si>
  <si>
    <t>300 OD</t>
  </si>
  <si>
    <t>Monzo Rej</t>
  </si>
  <si>
    <t>Rose Monzo</t>
  </si>
  <si>
    <t>Every 23rd</t>
  </si>
  <si>
    <t>Every 24th Paid Until Nov</t>
  </si>
  <si>
    <t>ZOPA - rej</t>
  </si>
  <si>
    <t>24 months</t>
  </si>
  <si>
    <t>Mom</t>
  </si>
  <si>
    <t>"=SUM(J16,PRODUCT(-J16,4%))"</t>
  </si>
  <si>
    <t>REPAY AMNT</t>
  </si>
  <si>
    <t>ADJUSTED</t>
  </si>
  <si>
    <t>OUTSTANDING</t>
  </si>
  <si>
    <t>INT</t>
  </si>
  <si>
    <t>NEW EMI</t>
  </si>
  <si>
    <t>OLD EMI</t>
  </si>
  <si>
    <t>SAVINGS</t>
  </si>
  <si>
    <t>14th May 2020</t>
  </si>
  <si>
    <t>Inv No</t>
  </si>
  <si>
    <t>SMIT2020-29</t>
  </si>
  <si>
    <t>SMIT2020-30</t>
  </si>
  <si>
    <t>SMIT2020-31</t>
  </si>
  <si>
    <t>SMIT2020-32</t>
  </si>
  <si>
    <t>SMIT2020-33</t>
  </si>
  <si>
    <t>SMIT2020-34</t>
  </si>
  <si>
    <t>SMIT2020-37</t>
  </si>
  <si>
    <t>SMIT2020-38</t>
  </si>
  <si>
    <t>SMIT2020-36</t>
  </si>
  <si>
    <t>SMIT2020-39</t>
  </si>
  <si>
    <t>SMIT2020-40</t>
  </si>
  <si>
    <t>SMIT2020-41</t>
  </si>
  <si>
    <t>SMIT2020-42</t>
  </si>
  <si>
    <t>SMIT2020-43</t>
  </si>
  <si>
    <t>SMIT2020-44</t>
  </si>
  <si>
    <t>SMIT2020-45</t>
  </si>
  <si>
    <t>SMIT2020-46</t>
  </si>
  <si>
    <t>SMIT2020-47</t>
  </si>
  <si>
    <t>SMIT2020-48</t>
  </si>
  <si>
    <t>SMIT2020-49</t>
  </si>
  <si>
    <t>VAT DUE</t>
  </si>
  <si>
    <t>Every 1st</t>
  </si>
  <si>
    <t>Sant - Rej</t>
  </si>
  <si>
    <t>Water Calculation approx</t>
  </si>
  <si>
    <t>Rose Shibu</t>
  </si>
  <si>
    <t>SM IT Rej</t>
  </si>
  <si>
    <t>Rose Rej</t>
  </si>
  <si>
    <t>Grant</t>
  </si>
  <si>
    <t>Rent1</t>
  </si>
  <si>
    <t>Rent2</t>
  </si>
  <si>
    <t>AXA</t>
  </si>
  <si>
    <t>SW</t>
  </si>
  <si>
    <t>Every 28th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</si>
</sst>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£&quot;#,##0;[Red]\-&quot;£&quot;#,##0"/>
    <numFmt numFmtId="165" formatCode="&quot;£&quot;#,##0.00;[Red]\-&quot;£&quot;#,##0.00"/>
    <numFmt numFmtId="166" formatCode="_-&quot;£&quot;* #,##0.00_-;\-&quot;£&quot;* #,##0.00_-;_-&quot;£&quot;* &quot;-&quot;??_-;_-@_-"/>
    <numFmt numFmtId="167" formatCode="&quot;£&quot;#,##0.00;[Red]&quot;£&quot;#,##0.00"/>
  </numFmts>
  <fonts count="5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u/>
      <sz val="12"/>
      <color theme="11"/>
      <name val="Calibri"/>
      <family val="2"/>
      <charset val="204"/>
      <scheme val="minor"/>
    </font>
    <font>
      <b/>
      <sz val="19"/>
      <color rgb="FF0B0C0C"/>
      <name val="Arial"/>
    </font>
    <font>
      <sz val="19"/>
      <color rgb="FF0B0C0C"/>
      <name val="Arial"/>
    </font>
    <font>
      <sz val="12"/>
      <color rgb="FF3366FF"/>
      <name val="Calibri"/>
      <scheme val="minor"/>
    </font>
    <font>
      <sz val="12"/>
      <color rgb="FF222222"/>
      <name val="Helvetica"/>
    </font>
    <font>
      <b/>
      <sz val="12"/>
      <color rgb="FF222222"/>
      <name val="Helvetica"/>
    </font>
    <font>
      <b/>
      <sz val="12"/>
      <color rgb="FF000000"/>
      <name val="Helvetica"/>
    </font>
    <font>
      <sz val="12"/>
      <color rgb="FF000000"/>
      <name val="Helvetica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b/>
      <sz val="16"/>
      <color rgb="FFFF6600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222222"/>
      <name val="Tahoma"/>
    </font>
    <font>
      <b/>
      <sz val="12"/>
      <color rgb="FF222222"/>
      <name val="Tahoma"/>
    </font>
    <font>
      <b/>
      <sz val="12"/>
      <color rgb="FF000000"/>
      <name val="Tahoma"/>
    </font>
    <font>
      <sz val="12"/>
      <color rgb="FF000000"/>
      <name val="Tahoma"/>
    </font>
    <font>
      <sz val="16"/>
      <color rgb="FF1C042A"/>
      <name val="Arial"/>
    </font>
    <font>
      <b/>
      <sz val="13.5"/>
      <color rgb="FF555555"/>
      <name val="Helvetica"/>
    </font>
    <font>
      <b/>
      <sz val="12"/>
      <color rgb="FF222222"/>
      <name val="Arial"/>
    </font>
    <font>
      <sz val="12"/>
      <color rgb="FF222222"/>
      <name val="Arial"/>
    </font>
    <font>
      <b/>
      <sz val="12"/>
      <color rgb="FF00B050"/>
      <name val="Arial"/>
    </font>
    <font>
      <b/>
      <sz val="12"/>
      <name val="Helvetica"/>
    </font>
    <font>
      <b/>
      <sz val="12"/>
      <name val="Calibri"/>
      <scheme val="minor"/>
    </font>
    <font>
      <sz val="15"/>
      <color rgb="FF222222"/>
      <name val="Calibri"/>
      <family val="2"/>
      <scheme val="minor"/>
    </font>
    <font>
      <sz val="11"/>
      <color rgb="FF222222"/>
      <name val="Garamond"/>
      <family val="1"/>
    </font>
    <font>
      <sz val="7"/>
      <color rgb="FF222222"/>
      <name val="Times New Roman"/>
    </font>
    <font>
      <sz val="12"/>
      <color rgb="FF222222"/>
      <name val="Garamond"/>
      <family val="1"/>
    </font>
    <font>
      <sz val="14"/>
      <color rgb="FF575755"/>
      <name val="Arial"/>
    </font>
    <font>
      <sz val="12"/>
      <color theme="1"/>
      <name val="Helvetica"/>
    </font>
    <font>
      <b/>
      <sz val="14"/>
      <color rgb="FF000000"/>
      <name val="Helvetica"/>
    </font>
    <font>
      <sz val="11.5"/>
      <color rgb="FF222222"/>
      <name val="Garamond"/>
      <family val="1"/>
    </font>
    <font>
      <sz val="12"/>
      <color rgb="FF008000"/>
      <name val="Calibri"/>
      <scheme val="minor"/>
    </font>
    <font>
      <sz val="16"/>
      <color rgb="FF2E4369"/>
      <name val="Helvetica"/>
    </font>
    <font>
      <sz val="16"/>
      <color rgb="FF6F8691"/>
      <name val="Helvetica"/>
    </font>
    <font>
      <sz val="16"/>
      <color theme="1"/>
      <name val="Calibri"/>
      <scheme val="minor"/>
    </font>
    <font>
      <sz val="12"/>
      <color rgb="FF550055"/>
      <name val="Arial"/>
      <family val="2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2" borderId="0" xfId="0" applyFill="1"/>
    <xf numFmtId="0" fontId="4" fillId="0" borderId="0" xfId="2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43" fontId="5" fillId="0" borderId="0" xfId="0" applyNumberFormat="1" applyFont="1"/>
    <xf numFmtId="0" fontId="3" fillId="0" borderId="0" xfId="0" applyFont="1"/>
    <xf numFmtId="0" fontId="7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3" borderId="0" xfId="0" applyFont="1" applyFill="1"/>
    <xf numFmtId="0" fontId="1" fillId="2" borderId="0" xfId="0" applyFont="1" applyFill="1" applyBorder="1"/>
    <xf numFmtId="14" fontId="1" fillId="0" borderId="0" xfId="0" applyNumberFormat="1" applyFont="1"/>
    <xf numFmtId="0" fontId="1" fillId="0" borderId="0" xfId="0" applyFont="1" applyBorder="1" applyAlignment="1">
      <alignment horizontal="center"/>
    </xf>
    <xf numFmtId="0" fontId="4" fillId="0" borderId="7" xfId="2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3" xfId="0" applyFont="1" applyBorder="1"/>
    <xf numFmtId="0" fontId="0" fillId="0" borderId="14" xfId="0" applyBorder="1"/>
    <xf numFmtId="0" fontId="4" fillId="0" borderId="10" xfId="2" applyBorder="1"/>
    <xf numFmtId="0" fontId="1" fillId="0" borderId="11" xfId="0" applyFont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7" xfId="0" applyBorder="1"/>
    <xf numFmtId="0" fontId="1" fillId="2" borderId="8" xfId="0" applyFont="1" applyFill="1" applyBorder="1"/>
    <xf numFmtId="0" fontId="0" fillId="4" borderId="0" xfId="0" applyFill="1" applyBorder="1"/>
    <xf numFmtId="10" fontId="0" fillId="0" borderId="0" xfId="0" applyNumberFormat="1"/>
    <xf numFmtId="9" fontId="0" fillId="0" borderId="0" xfId="0" applyNumberFormat="1"/>
    <xf numFmtId="0" fontId="6" fillId="0" borderId="0" xfId="0" applyFont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9" fillId="0" borderId="0" xfId="0" applyFont="1"/>
    <xf numFmtId="4" fontId="9" fillId="0" borderId="0" xfId="0" applyNumberFormat="1" applyFont="1"/>
    <xf numFmtId="15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164" fontId="0" fillId="0" borderId="0" xfId="0" applyNumberFormat="1"/>
    <xf numFmtId="3" fontId="11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164" fontId="15" fillId="0" borderId="0" xfId="0" applyNumberFormat="1" applyFont="1"/>
    <xf numFmtId="164" fontId="12" fillId="0" borderId="0" xfId="0" applyNumberFormat="1" applyFont="1"/>
    <xf numFmtId="9" fontId="15" fillId="0" borderId="0" xfId="0" applyNumberFormat="1" applyFont="1"/>
    <xf numFmtId="0" fontId="16" fillId="0" borderId="0" xfId="0" applyFont="1"/>
    <xf numFmtId="9" fontId="12" fillId="2" borderId="0" xfId="0" applyNumberFormat="1" applyFont="1" applyFill="1"/>
    <xf numFmtId="0" fontId="15" fillId="2" borderId="0" xfId="0" applyFont="1" applyFill="1"/>
    <xf numFmtId="0" fontId="12" fillId="2" borderId="0" xfId="0" applyFont="1" applyFill="1"/>
    <xf numFmtId="0" fontId="16" fillId="5" borderId="0" xfId="0" applyFont="1" applyFill="1"/>
    <xf numFmtId="164" fontId="15" fillId="2" borderId="0" xfId="0" applyNumberFormat="1" applyFont="1" applyFill="1"/>
    <xf numFmtId="0" fontId="16" fillId="2" borderId="0" xfId="0" applyFont="1" applyFill="1"/>
    <xf numFmtId="0" fontId="15" fillId="6" borderId="0" xfId="0" applyFont="1" applyFill="1"/>
    <xf numFmtId="0" fontId="15" fillId="5" borderId="0" xfId="0" applyFont="1" applyFill="1"/>
    <xf numFmtId="0" fontId="16" fillId="6" borderId="0" xfId="0" applyFont="1" applyFill="1"/>
    <xf numFmtId="17" fontId="0" fillId="0" borderId="0" xfId="0" applyNumberFormat="1"/>
    <xf numFmtId="0" fontId="0" fillId="0" borderId="0" xfId="0" applyFill="1"/>
    <xf numFmtId="43" fontId="11" fillId="0" borderId="0" xfId="0" applyNumberFormat="1" applyFont="1" applyAlignment="1">
      <alignment horizontal="right"/>
    </xf>
    <xf numFmtId="0" fontId="5" fillId="0" borderId="0" xfId="0" applyFont="1"/>
    <xf numFmtId="167" fontId="0" fillId="0" borderId="0" xfId="0" applyNumberFormat="1"/>
    <xf numFmtId="43" fontId="0" fillId="0" borderId="0" xfId="0" applyNumberFormat="1"/>
    <xf numFmtId="0" fontId="19" fillId="0" borderId="0" xfId="0" applyFont="1"/>
    <xf numFmtId="0" fontId="20" fillId="0" borderId="0" xfId="0" applyFont="1"/>
    <xf numFmtId="43" fontId="21" fillId="0" borderId="0" xfId="1" applyFont="1"/>
    <xf numFmtId="2" fontId="21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/>
    <xf numFmtId="0" fontId="22" fillId="0" borderId="0" xfId="0" applyFont="1"/>
    <xf numFmtId="0" fontId="23" fillId="0" borderId="0" xfId="0" applyFont="1"/>
    <xf numFmtId="0" fontId="1" fillId="2" borderId="15" xfId="0" applyFont="1" applyFill="1" applyBorder="1"/>
    <xf numFmtId="0" fontId="0" fillId="0" borderId="15" xfId="0" applyBorder="1"/>
    <xf numFmtId="0" fontId="1" fillId="0" borderId="4" xfId="0" applyFont="1" applyBorder="1"/>
    <xf numFmtId="0" fontId="0" fillId="0" borderId="16" xfId="0" applyBorder="1"/>
    <xf numFmtId="0" fontId="1" fillId="0" borderId="16" xfId="0" applyFont="1" applyBorder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8" fillId="0" borderId="0" xfId="0" applyFont="1"/>
    <xf numFmtId="164" fontId="27" fillId="0" borderId="0" xfId="0" applyNumberFormat="1" applyFont="1"/>
    <xf numFmtId="0" fontId="24" fillId="0" borderId="0" xfId="0" applyFont="1"/>
    <xf numFmtId="165" fontId="27" fillId="0" borderId="0" xfId="0" applyNumberFormat="1" applyFont="1"/>
    <xf numFmtId="0" fontId="29" fillId="0" borderId="0" xfId="0" applyFont="1"/>
    <xf numFmtId="2" fontId="0" fillId="0" borderId="0" xfId="0" applyNumberFormat="1"/>
    <xf numFmtId="0" fontId="0" fillId="6" borderId="0" xfId="0" applyFill="1"/>
    <xf numFmtId="0" fontId="30" fillId="0" borderId="0" xfId="0" applyFont="1"/>
    <xf numFmtId="0" fontId="31" fillId="0" borderId="0" xfId="0" applyFont="1"/>
    <xf numFmtId="0" fontId="32" fillId="0" borderId="0" xfId="0" applyFont="1"/>
    <xf numFmtId="10" fontId="31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2" fillId="2" borderId="0" xfId="0" applyNumberFormat="1" applyFont="1" applyFill="1"/>
    <xf numFmtId="0" fontId="33" fillId="0" borderId="0" xfId="0" applyFont="1"/>
    <xf numFmtId="0" fontId="12" fillId="5" borderId="0" xfId="0" applyFont="1" applyFill="1"/>
    <xf numFmtId="0" fontId="34" fillId="5" borderId="0" xfId="0" applyFont="1" applyFill="1"/>
    <xf numFmtId="164" fontId="31" fillId="0" borderId="0" xfId="0" applyNumberFormat="1" applyFont="1"/>
    <xf numFmtId="164" fontId="32" fillId="0" borderId="0" xfId="0" applyNumberFormat="1" applyFont="1"/>
    <xf numFmtId="165" fontId="35" fillId="0" borderId="0" xfId="0" applyNumberFormat="1" applyFont="1"/>
    <xf numFmtId="0" fontId="36" fillId="0" borderId="0" xfId="0" applyFont="1"/>
    <xf numFmtId="0" fontId="0" fillId="7" borderId="0" xfId="0" applyFill="1"/>
    <xf numFmtId="3" fontId="39" fillId="0" borderId="0" xfId="0" applyNumberFormat="1" applyFont="1"/>
    <xf numFmtId="165" fontId="0" fillId="0" borderId="0" xfId="0" applyNumberFormat="1"/>
    <xf numFmtId="0" fontId="0" fillId="0" borderId="17" xfId="0" applyBorder="1"/>
    <xf numFmtId="3" fontId="0" fillId="0" borderId="17" xfId="0" applyNumberFormat="1" applyBorder="1"/>
    <xf numFmtId="3" fontId="1" fillId="0" borderId="17" xfId="0" applyNumberFormat="1" applyFont="1" applyBorder="1"/>
    <xf numFmtId="0" fontId="1" fillId="0" borderId="17" xfId="0" applyFont="1" applyBorder="1"/>
    <xf numFmtId="4" fontId="0" fillId="0" borderId="17" xfId="0" applyNumberFormat="1" applyBorder="1"/>
    <xf numFmtId="4" fontId="1" fillId="0" borderId="17" xfId="0" applyNumberFormat="1" applyFont="1" applyBorder="1"/>
    <xf numFmtId="0" fontId="1" fillId="2" borderId="17" xfId="0" applyFont="1" applyFill="1" applyBorder="1"/>
    <xf numFmtId="4" fontId="1" fillId="2" borderId="17" xfId="0" applyNumberFormat="1" applyFont="1" applyFill="1" applyBorder="1"/>
    <xf numFmtId="15" fontId="0" fillId="0" borderId="17" xfId="0" applyNumberFormat="1" applyBorder="1"/>
    <xf numFmtId="14" fontId="0" fillId="0" borderId="17" xfId="0" applyNumberFormat="1" applyBorder="1"/>
    <xf numFmtId="4" fontId="0" fillId="6" borderId="0" xfId="0" applyNumberFormat="1" applyFill="1"/>
    <xf numFmtId="0" fontId="40" fillId="0" borderId="0" xfId="0" applyFont="1"/>
    <xf numFmtId="3" fontId="41" fillId="0" borderId="0" xfId="0" applyNumberFormat="1" applyFont="1"/>
    <xf numFmtId="0" fontId="42" fillId="0" borderId="0" xfId="0" applyFont="1"/>
    <xf numFmtId="16" fontId="0" fillId="0" borderId="0" xfId="0" applyNumberFormat="1"/>
    <xf numFmtId="0" fontId="43" fillId="2" borderId="0" xfId="0" applyFont="1" applyFill="1"/>
    <xf numFmtId="0" fontId="40" fillId="0" borderId="17" xfId="0" applyFont="1" applyBorder="1"/>
    <xf numFmtId="0" fontId="15" fillId="0" borderId="17" xfId="0" applyFont="1" applyBorder="1"/>
    <xf numFmtId="3" fontId="15" fillId="0" borderId="17" xfId="0" applyNumberFormat="1" applyFont="1" applyBorder="1"/>
    <xf numFmtId="3" fontId="14" fillId="0" borderId="17" xfId="0" applyNumberFormat="1" applyFont="1" applyBorder="1"/>
    <xf numFmtId="0" fontId="14" fillId="0" borderId="17" xfId="0" applyFont="1" applyBorder="1"/>
    <xf numFmtId="43" fontId="18" fillId="0" borderId="0" xfId="0" applyNumberFormat="1" applyFont="1"/>
    <xf numFmtId="0" fontId="43" fillId="0" borderId="0" xfId="0" applyFont="1"/>
    <xf numFmtId="0" fontId="44" fillId="0" borderId="0" xfId="0" applyFont="1"/>
    <xf numFmtId="43" fontId="0" fillId="0" borderId="0" xfId="1" applyFont="1"/>
    <xf numFmtId="166" fontId="0" fillId="0" borderId="0" xfId="0" applyNumberFormat="1"/>
    <xf numFmtId="166" fontId="1" fillId="0" borderId="0" xfId="0" applyNumberFormat="1" applyFont="1"/>
    <xf numFmtId="166" fontId="0" fillId="0" borderId="0" xfId="0" applyNumberFormat="1" applyFont="1"/>
    <xf numFmtId="2" fontId="1" fillId="0" borderId="0" xfId="0" applyNumberFormat="1" applyFont="1"/>
    <xf numFmtId="0" fontId="45" fillId="0" borderId="0" xfId="0" applyFont="1"/>
    <xf numFmtId="49" fontId="45" fillId="0" borderId="0" xfId="0" applyNumberFormat="1" applyFont="1"/>
    <xf numFmtId="0" fontId="46" fillId="0" borderId="0" xfId="0" applyFont="1"/>
    <xf numFmtId="0" fontId="0" fillId="8" borderId="0" xfId="0" applyFill="1"/>
    <xf numFmtId="2" fontId="19" fillId="0" borderId="0" xfId="0" applyNumberFormat="1" applyFont="1"/>
    <xf numFmtId="0" fontId="47" fillId="0" borderId="0" xfId="0" applyFont="1"/>
    <xf numFmtId="14" fontId="47" fillId="0" borderId="0" xfId="0" applyNumberFormat="1" applyFont="1"/>
    <xf numFmtId="43" fontId="48" fillId="0" borderId="0" xfId="0" applyNumberFormat="1" applyFont="1"/>
    <xf numFmtId="2" fontId="0" fillId="8" borderId="0" xfId="0" applyNumberFormat="1" applyFill="1"/>
    <xf numFmtId="0" fontId="0" fillId="0" borderId="0" xfId="0" applyNumberFormat="1" applyFont="1"/>
    <xf numFmtId="2" fontId="0" fillId="0" borderId="0" xfId="0" applyNumberFormat="1" applyAlignment="1">
      <alignment horizontal="right"/>
    </xf>
    <xf numFmtId="0" fontId="1" fillId="8" borderId="0" xfId="0" applyFont="1" applyFill="1"/>
    <xf numFmtId="43" fontId="21" fillId="0" borderId="0" xfId="1" applyFont="1" applyFill="1"/>
    <xf numFmtId="0" fontId="0" fillId="8" borderId="0" xfId="0" applyFont="1" applyFill="1"/>
    <xf numFmtId="10" fontId="0" fillId="0" borderId="0" xfId="0" applyNumberFormat="1" applyAlignment="1">
      <alignment horizontal="right"/>
    </xf>
    <xf numFmtId="0" fontId="0" fillId="0" borderId="0" xfId="0" applyFont="1"/>
    <xf numFmtId="167" fontId="1" fillId="0" borderId="0" xfId="0" applyNumberFormat="1" applyFont="1"/>
    <xf numFmtId="0" fontId="0" fillId="9" borderId="0" xfId="0" applyFill="1"/>
    <xf numFmtId="43" fontId="6" fillId="0" borderId="0" xfId="1" applyFont="1"/>
    <xf numFmtId="43" fontId="5" fillId="0" borderId="0" xfId="1" applyFont="1"/>
    <xf numFmtId="2" fontId="0" fillId="5" borderId="0" xfId="0" applyNumberFormat="1" applyFill="1"/>
    <xf numFmtId="2" fontId="0" fillId="2" borderId="0" xfId="0" applyNumberFormat="1" applyFill="1"/>
    <xf numFmtId="0" fontId="0" fillId="0" borderId="17" xfId="0" applyFill="1" applyBorder="1"/>
    <xf numFmtId="0" fontId="5" fillId="0" borderId="17" xfId="0" applyFont="1" applyBorder="1"/>
    <xf numFmtId="164" fontId="0" fillId="5" borderId="0" xfId="0" applyNumberFormat="1" applyFill="1"/>
    <xf numFmtId="3" fontId="3" fillId="0" borderId="0" xfId="0" applyNumberFormat="1" applyFont="1"/>
    <xf numFmtId="9" fontId="0" fillId="0" borderId="0" xfId="0" applyNumberFormat="1" applyAlignment="1">
      <alignment horizontal="right"/>
    </xf>
    <xf numFmtId="0" fontId="12" fillId="0" borderId="0" xfId="0" applyFont="1"/>
    <xf numFmtId="164" fontId="30" fillId="0" borderId="0" xfId="0" applyNumberFormat="1" applyFont="1"/>
    <xf numFmtId="0" fontId="30" fillId="0" borderId="0" xfId="0" applyFont="1"/>
    <xf numFmtId="164" fontId="12" fillId="0" borderId="0" xfId="0" applyNumberFormat="1" applyFont="1"/>
  </cellXfs>
  <cellStyles count="485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ghtmove.co.uk/property-for-sale/property-74154691.html" TargetMode="External"/><Relationship Id="rId3" Type="http://schemas.openxmlformats.org/officeDocument/2006/relationships/hyperlink" Target="https://www.rightmove.co.uk/property-for-sale/property-82195337.html" TargetMode="External"/><Relationship Id="rId7" Type="http://schemas.openxmlformats.org/officeDocument/2006/relationships/hyperlink" Target="https://www.rightmove.co.uk/property-for-sale/property-65918370.html" TargetMode="External"/><Relationship Id="rId2" Type="http://schemas.openxmlformats.org/officeDocument/2006/relationships/hyperlink" Target="https://www.rightmove.co.uk/property-for-sale/property-64799112.html" TargetMode="External"/><Relationship Id="rId1" Type="http://schemas.openxmlformats.org/officeDocument/2006/relationships/hyperlink" Target="https://www.rightmove.co.uk/property-for-sale/property-69728914.html" TargetMode="External"/><Relationship Id="rId6" Type="http://schemas.openxmlformats.org/officeDocument/2006/relationships/hyperlink" Target="https://www.rightmove.co.uk/property-for-sale/property-60954684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rightmove.co.uk/property-for-sale/property-69693994.html" TargetMode="External"/><Relationship Id="rId10" Type="http://schemas.openxmlformats.org/officeDocument/2006/relationships/hyperlink" Target="https://www.rightmove.co.uk/property-for-sale/property-61270962.html" TargetMode="External"/><Relationship Id="rId4" Type="http://schemas.openxmlformats.org/officeDocument/2006/relationships/hyperlink" Target="https://www.rightmove.co.uk/property-for-sale/property-70467220.html" TargetMode="External"/><Relationship Id="rId9" Type="http://schemas.openxmlformats.org/officeDocument/2006/relationships/hyperlink" Target="https://www.rightmove.co.uk/property-for-sale/property-75964609.html?backListLink=%2Fproperty-for-sale%2Fproperty-7596460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www.checkmyfile.com/?ref=charlestonfinancial&amp;cbap=1" TargetMode="External"/><Relationship Id="rId7" Type="http://schemas.openxmlformats.org/officeDocument/2006/relationships/hyperlink" Target="https://www.checkmyfile.com/?ref=charlestonfinancial&amp;cbap=1" TargetMode="External"/><Relationship Id="rId2" Type="http://schemas.openxmlformats.org/officeDocument/2006/relationships/hyperlink" Target="https://www.checkmyfile.com/?ref=charlestonfinancial&amp;cbap=1" TargetMode="External"/><Relationship Id="rId1" Type="http://schemas.openxmlformats.org/officeDocument/2006/relationships/hyperlink" Target="https://www.checkmyfile.com/?ref=charlestonfinancial&amp;cbap=1" TargetMode="External"/><Relationship Id="rId6" Type="http://schemas.openxmlformats.org/officeDocument/2006/relationships/hyperlink" Target="https://www.checkmyfile.com/?ref=charlestonfinancial&amp;cbap=1" TargetMode="External"/><Relationship Id="rId5" Type="http://schemas.openxmlformats.org/officeDocument/2006/relationships/hyperlink" Target="https://www.checkmyfile.com/?ref=charlestonfinancial&amp;cbap=1" TargetMode="External"/><Relationship Id="rId4" Type="http://schemas.openxmlformats.org/officeDocument/2006/relationships/hyperlink" Target="https://www.checkmyfile.com/?ref=charlestonfinancial&amp;cba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workbookViewId="0">
      <selection activeCell="B21" sqref="B21"/>
    </sheetView>
  </sheetViews>
  <sheetFormatPr defaultColWidth="10.6640625" defaultRowHeight="15.5" x14ac:dyDescent="0.35"/>
  <cols>
    <col min="1" max="1" width="14.33203125" customWidth="1"/>
    <col min="2" max="2" width="24.6640625" customWidth="1"/>
    <col min="3" max="3" width="25.5" customWidth="1"/>
    <col min="4" max="4" width="15.1640625" customWidth="1"/>
    <col min="5" max="5" width="13.83203125" bestFit="1" customWidth="1"/>
    <col min="6" max="6" width="12.1640625" bestFit="1" customWidth="1"/>
    <col min="7" max="7" width="12.5" customWidth="1"/>
    <col min="8" max="8" width="12.1640625" customWidth="1"/>
  </cols>
  <sheetData>
    <row r="1" spans="1:15" x14ac:dyDescent="0.35">
      <c r="B1" s="152" t="s">
        <v>484</v>
      </c>
      <c r="C1" s="82">
        <v>2000</v>
      </c>
      <c r="F1" t="s">
        <v>483</v>
      </c>
    </row>
    <row r="2" spans="1:15" x14ac:dyDescent="0.35">
      <c r="B2" t="s">
        <v>2</v>
      </c>
      <c r="C2" s="79">
        <v>1666</v>
      </c>
      <c r="D2">
        <v>453.4</v>
      </c>
    </row>
    <row r="3" spans="1:15" x14ac:dyDescent="0.35">
      <c r="B3" s="4" t="s">
        <v>37</v>
      </c>
      <c r="C3" s="83">
        <v>3700</v>
      </c>
      <c r="I3">
        <v>200000</v>
      </c>
      <c r="J3">
        <v>2000</v>
      </c>
      <c r="K3">
        <v>500</v>
      </c>
    </row>
    <row r="4" spans="1:15" x14ac:dyDescent="0.35">
      <c r="A4" s="1" t="s">
        <v>177</v>
      </c>
      <c r="C4" s="79">
        <f>SUM(C1:C3)</f>
        <v>7366</v>
      </c>
      <c r="D4" s="148">
        <v>12900</v>
      </c>
      <c r="F4">
        <v>116.43</v>
      </c>
      <c r="I4">
        <v>50000</v>
      </c>
      <c r="M4">
        <v>70000</v>
      </c>
    </row>
    <row r="5" spans="1:15" x14ac:dyDescent="0.35">
      <c r="F5">
        <v>227</v>
      </c>
      <c r="I5">
        <v>150000</v>
      </c>
      <c r="J5">
        <v>1500</v>
      </c>
      <c r="K5">
        <v>400</v>
      </c>
      <c r="M5" s="43">
        <v>8.5000000000000006E-3</v>
      </c>
    </row>
    <row r="6" spans="1:15" x14ac:dyDescent="0.35">
      <c r="D6">
        <v>201</v>
      </c>
      <c r="G6">
        <v>30.02</v>
      </c>
      <c r="I6">
        <v>10000</v>
      </c>
      <c r="M6">
        <v>595</v>
      </c>
    </row>
    <row r="7" spans="1:15" x14ac:dyDescent="0.35">
      <c r="F7">
        <v>94.35</v>
      </c>
      <c r="I7">
        <v>40000</v>
      </c>
      <c r="M7">
        <v>24</v>
      </c>
    </row>
    <row r="8" spans="1:15" x14ac:dyDescent="0.35">
      <c r="A8" t="s">
        <v>488</v>
      </c>
      <c r="B8">
        <v>0</v>
      </c>
      <c r="C8" t="s">
        <v>489</v>
      </c>
      <c r="F8">
        <v>99</v>
      </c>
      <c r="I8">
        <v>110000</v>
      </c>
      <c r="J8">
        <v>1000</v>
      </c>
      <c r="K8">
        <v>300</v>
      </c>
      <c r="M8" t="s">
        <v>423</v>
      </c>
      <c r="O8" s="44">
        <v>0.04</v>
      </c>
    </row>
    <row r="9" spans="1:15" x14ac:dyDescent="0.35">
      <c r="A9" t="s">
        <v>289</v>
      </c>
      <c r="B9">
        <v>0</v>
      </c>
      <c r="F9">
        <v>21.14</v>
      </c>
      <c r="I9">
        <v>10000</v>
      </c>
    </row>
    <row r="10" spans="1:15" x14ac:dyDescent="0.35">
      <c r="A10" t="s">
        <v>490</v>
      </c>
      <c r="B10">
        <v>0</v>
      </c>
      <c r="F10">
        <v>38.85</v>
      </c>
      <c r="I10">
        <v>30000</v>
      </c>
    </row>
    <row r="11" spans="1:15" x14ac:dyDescent="0.35">
      <c r="A11" s="76" t="s">
        <v>491</v>
      </c>
      <c r="B11">
        <v>130</v>
      </c>
      <c r="G11">
        <v>140</v>
      </c>
      <c r="I11">
        <v>90000</v>
      </c>
      <c r="J11">
        <v>800</v>
      </c>
      <c r="K11">
        <v>200</v>
      </c>
      <c r="M11">
        <v>249</v>
      </c>
    </row>
    <row r="12" spans="1:15" x14ac:dyDescent="0.35">
      <c r="A12" s="79" t="s">
        <v>0</v>
      </c>
      <c r="B12">
        <v>400</v>
      </c>
      <c r="G12">
        <v>21</v>
      </c>
      <c r="I12">
        <v>10000</v>
      </c>
      <c r="M12">
        <v>39</v>
      </c>
      <c r="N12" t="s">
        <v>432</v>
      </c>
    </row>
    <row r="13" spans="1:15" x14ac:dyDescent="0.35">
      <c r="A13" t="s">
        <v>57</v>
      </c>
      <c r="B13">
        <v>0</v>
      </c>
      <c r="G13">
        <v>37</v>
      </c>
      <c r="I13">
        <v>25000</v>
      </c>
    </row>
    <row r="14" spans="1:15" x14ac:dyDescent="0.35">
      <c r="B14">
        <f>SUM(B8:B13)</f>
        <v>530</v>
      </c>
      <c r="F14">
        <v>17.190000000000001</v>
      </c>
      <c r="I14">
        <v>60000</v>
      </c>
      <c r="J14">
        <v>400</v>
      </c>
      <c r="K14">
        <v>100</v>
      </c>
      <c r="M14" t="s">
        <v>433</v>
      </c>
    </row>
    <row r="15" spans="1:15" x14ac:dyDescent="0.35">
      <c r="A15" t="s">
        <v>0</v>
      </c>
      <c r="B15">
        <v>-5000</v>
      </c>
      <c r="F15">
        <v>9.94</v>
      </c>
      <c r="I15">
        <v>15000</v>
      </c>
      <c r="M15">
        <v>24</v>
      </c>
    </row>
    <row r="16" spans="1:15" x14ac:dyDescent="0.35">
      <c r="A16" t="s">
        <v>136</v>
      </c>
      <c r="B16">
        <v>-10000</v>
      </c>
      <c r="F16">
        <v>18</v>
      </c>
      <c r="I16">
        <v>40000</v>
      </c>
      <c r="M16">
        <v>50</v>
      </c>
    </row>
    <row r="17" spans="1:17" ht="18" customHeight="1" x14ac:dyDescent="0.35">
      <c r="A17" t="s">
        <v>95</v>
      </c>
      <c r="B17">
        <v>-4100</v>
      </c>
      <c r="F17">
        <v>8.58</v>
      </c>
      <c r="J17">
        <f>SUM(J3:J15)</f>
        <v>5700</v>
      </c>
      <c r="K17">
        <v>4200</v>
      </c>
    </row>
    <row r="18" spans="1:17" x14ac:dyDescent="0.35">
      <c r="B18">
        <f>SUM(B14:B17)</f>
        <v>-18570</v>
      </c>
      <c r="E18" s="3"/>
      <c r="G18">
        <v>175</v>
      </c>
    </row>
    <row r="19" spans="1:17" x14ac:dyDescent="0.35">
      <c r="B19">
        <v>-2000</v>
      </c>
      <c r="E19">
        <v>64000</v>
      </c>
      <c r="F19">
        <v>53</v>
      </c>
    </row>
    <row r="20" spans="1:17" x14ac:dyDescent="0.35">
      <c r="B20">
        <f>SUM(B18:B19)</f>
        <v>-20570</v>
      </c>
      <c r="E20" s="3" t="e">
        <f>SUM(#REF!,E19)</f>
        <v>#REF!</v>
      </c>
      <c r="F20">
        <v>186</v>
      </c>
      <c r="K20">
        <v>3120000</v>
      </c>
      <c r="L20">
        <v>12929</v>
      </c>
      <c r="N20">
        <v>3362</v>
      </c>
    </row>
    <row r="21" spans="1:17" x14ac:dyDescent="0.35">
      <c r="F21">
        <v>111</v>
      </c>
      <c r="K21">
        <v>1870000</v>
      </c>
      <c r="L21">
        <v>12200</v>
      </c>
      <c r="N21">
        <v>9000</v>
      </c>
    </row>
    <row r="22" spans="1:17" x14ac:dyDescent="0.35">
      <c r="F22" s="1">
        <f>SUM(F4:F21)</f>
        <v>1000.4800000000001</v>
      </c>
      <c r="G22" s="1">
        <f>SUM(G4:G21)</f>
        <v>403.02</v>
      </c>
      <c r="H22">
        <f>SUM(F22:G22)</f>
        <v>1403.5</v>
      </c>
      <c r="K22">
        <f>SUM(K20,-K21)</f>
        <v>1250000</v>
      </c>
      <c r="N22">
        <f>SUM(N20:N21)</f>
        <v>12362</v>
      </c>
    </row>
    <row r="23" spans="1:17" x14ac:dyDescent="0.35">
      <c r="A23" s="44"/>
      <c r="K23" s="44"/>
    </row>
    <row r="24" spans="1:17" x14ac:dyDescent="0.35">
      <c r="F24">
        <f>PRODUCT(H22, 1/3)</f>
        <v>467.83333333333331</v>
      </c>
      <c r="G24">
        <f>PRODUCT(H22, 4/10)</f>
        <v>561.4</v>
      </c>
    </row>
    <row r="26" spans="1:17" x14ac:dyDescent="0.35">
      <c r="F26">
        <f>SUM(F22, -F24)</f>
        <v>532.64666666666676</v>
      </c>
      <c r="G26">
        <f>SUM(F22, -G24)</f>
        <v>439.08000000000015</v>
      </c>
      <c r="M26" s="44"/>
      <c r="P26" s="43"/>
    </row>
    <row r="27" spans="1:17" x14ac:dyDescent="0.35">
      <c r="J27" t="s">
        <v>439</v>
      </c>
    </row>
    <row r="28" spans="1:17" x14ac:dyDescent="0.35">
      <c r="J28" s="153">
        <v>134000</v>
      </c>
      <c r="K28" t="s">
        <v>440</v>
      </c>
      <c r="M28" t="s">
        <v>485</v>
      </c>
      <c r="N28" s="152">
        <v>3000</v>
      </c>
      <c r="O28">
        <v>5</v>
      </c>
    </row>
    <row r="29" spans="1:17" x14ac:dyDescent="0.35">
      <c r="B29" t="s">
        <v>530</v>
      </c>
      <c r="J29" s="153">
        <v>64000</v>
      </c>
      <c r="K29" t="s">
        <v>441</v>
      </c>
      <c r="N29">
        <v>2500</v>
      </c>
      <c r="Q29" s="44"/>
    </row>
    <row r="30" spans="1:17" x14ac:dyDescent="0.35">
      <c r="B30">
        <v>91</v>
      </c>
      <c r="C30">
        <v>137.19999999999999</v>
      </c>
      <c r="D30">
        <f>PRODUCT(B30,C30/100)</f>
        <v>124.85199999999999</v>
      </c>
      <c r="E30">
        <f>PRODUCT(D30,10/100)</f>
        <v>12.485199999999999</v>
      </c>
      <c r="F30" s="2">
        <f>SUM(D30:E30)</f>
        <v>137.3372</v>
      </c>
      <c r="J30" s="153">
        <v>25000</v>
      </c>
      <c r="K30" t="s">
        <v>442</v>
      </c>
      <c r="M30" t="s">
        <v>486</v>
      </c>
      <c r="N30">
        <v>2500</v>
      </c>
      <c r="O30">
        <v>12</v>
      </c>
      <c r="P30" s="44"/>
    </row>
    <row r="31" spans="1:17" x14ac:dyDescent="0.35">
      <c r="B31">
        <f>PRODUCT(B30,92.5%)</f>
        <v>84.174999999999997</v>
      </c>
      <c r="C31">
        <v>245.6</v>
      </c>
      <c r="D31">
        <f>PRODUCT(B31,C31/100)</f>
        <v>206.7338</v>
      </c>
      <c r="E31">
        <f>PRODUCT(D31,10/100)</f>
        <v>20.673380000000002</v>
      </c>
      <c r="F31" s="2">
        <f>SUM(D31:E31)</f>
        <v>227.40718000000001</v>
      </c>
      <c r="J31" s="153">
        <v>8000</v>
      </c>
      <c r="K31" t="s">
        <v>446</v>
      </c>
      <c r="M31" t="s">
        <v>487</v>
      </c>
      <c r="N31" s="48">
        <v>2500</v>
      </c>
      <c r="O31">
        <v>19</v>
      </c>
    </row>
    <row r="32" spans="1:17" x14ac:dyDescent="0.35">
      <c r="F32" s="174">
        <f>SUM(F30:F31)</f>
        <v>364.74437999999998</v>
      </c>
      <c r="J32" s="153">
        <v>6000</v>
      </c>
      <c r="K32" t="s">
        <v>0</v>
      </c>
      <c r="M32" t="s">
        <v>391</v>
      </c>
      <c r="N32">
        <v>2500</v>
      </c>
      <c r="O32">
        <v>26</v>
      </c>
    </row>
    <row r="33" spans="2:15" x14ac:dyDescent="0.35">
      <c r="B33" s="46"/>
      <c r="F33" s="101"/>
      <c r="G33" s="80"/>
      <c r="J33" s="153">
        <v>8640</v>
      </c>
      <c r="K33" t="s">
        <v>443</v>
      </c>
      <c r="N33" s="164"/>
      <c r="O33" s="134"/>
    </row>
    <row r="34" spans="2:15" x14ac:dyDescent="0.35">
      <c r="J34" s="153">
        <v>4000</v>
      </c>
      <c r="K34" t="s">
        <v>444</v>
      </c>
      <c r="N34" s="2">
        <f>SUM(N28:N33)</f>
        <v>13000</v>
      </c>
    </row>
    <row r="35" spans="2:15" x14ac:dyDescent="0.35">
      <c r="J35" s="153">
        <v>3000</v>
      </c>
      <c r="K35" t="s">
        <v>445</v>
      </c>
    </row>
    <row r="36" spans="2:15" x14ac:dyDescent="0.35">
      <c r="F36" s="2"/>
      <c r="J36" s="153">
        <v>4500</v>
      </c>
      <c r="K36" t="s">
        <v>424</v>
      </c>
    </row>
    <row r="37" spans="2:15" ht="18.5" x14ac:dyDescent="0.45">
      <c r="B37" s="1"/>
      <c r="F37" s="156"/>
      <c r="J37" s="153">
        <v>10000</v>
      </c>
      <c r="K37" t="s">
        <v>447</v>
      </c>
    </row>
    <row r="38" spans="2:15" x14ac:dyDescent="0.35">
      <c r="F38" s="2"/>
      <c r="J38" s="153">
        <v>800</v>
      </c>
      <c r="K38" t="s">
        <v>448</v>
      </c>
    </row>
    <row r="39" spans="2:15" x14ac:dyDescent="0.35">
      <c r="E39" s="1"/>
      <c r="J39" s="101">
        <f>SUM(J29:J38)</f>
        <v>133940</v>
      </c>
      <c r="N39" s="2"/>
    </row>
    <row r="40" spans="2:15" x14ac:dyDescent="0.35">
      <c r="E40" s="2" t="s">
        <v>57</v>
      </c>
      <c r="F40">
        <v>-1555</v>
      </c>
      <c r="J40" s="101"/>
    </row>
    <row r="41" spans="2:15" x14ac:dyDescent="0.35">
      <c r="E41" s="3" t="s">
        <v>467</v>
      </c>
      <c r="F41" s="2">
        <v>150000</v>
      </c>
      <c r="N41" s="2"/>
    </row>
    <row r="42" spans="2:15" x14ac:dyDescent="0.35">
      <c r="E42" t="s">
        <v>406</v>
      </c>
      <c r="F42" s="2">
        <v>-15000</v>
      </c>
    </row>
    <row r="43" spans="2:15" x14ac:dyDescent="0.35">
      <c r="E43" t="s">
        <v>468</v>
      </c>
      <c r="F43">
        <v>300</v>
      </c>
      <c r="H43">
        <v>650</v>
      </c>
    </row>
    <row r="44" spans="2:15" x14ac:dyDescent="0.35">
      <c r="E44" t="s">
        <v>178</v>
      </c>
      <c r="F44">
        <v>130</v>
      </c>
    </row>
    <row r="45" spans="2:15" x14ac:dyDescent="0.35">
      <c r="E45" t="s">
        <v>469</v>
      </c>
      <c r="F45">
        <v>200</v>
      </c>
      <c r="G45" s="1"/>
      <c r="H45" s="1"/>
    </row>
    <row r="46" spans="2:15" x14ac:dyDescent="0.35">
      <c r="E46" t="s">
        <v>178</v>
      </c>
      <c r="F46">
        <v>40</v>
      </c>
    </row>
    <row r="47" spans="2:15" x14ac:dyDescent="0.35">
      <c r="E47" t="s">
        <v>470</v>
      </c>
      <c r="F47">
        <v>20</v>
      </c>
      <c r="M47" s="75"/>
      <c r="N47" s="2"/>
    </row>
    <row r="48" spans="2:15" x14ac:dyDescent="0.35">
      <c r="E48" t="s">
        <v>178</v>
      </c>
      <c r="F48">
        <v>4</v>
      </c>
      <c r="L48" s="75"/>
    </row>
    <row r="49" spans="4:15" x14ac:dyDescent="0.35">
      <c r="E49" t="s">
        <v>471</v>
      </c>
      <c r="F49">
        <v>97</v>
      </c>
      <c r="N49" s="75"/>
    </row>
    <row r="50" spans="4:15" x14ac:dyDescent="0.35">
      <c r="D50" s="56"/>
      <c r="E50" t="s">
        <v>472</v>
      </c>
      <c r="F50" s="164">
        <v>49</v>
      </c>
      <c r="N50" s="2"/>
    </row>
    <row r="51" spans="4:15" x14ac:dyDescent="0.35">
      <c r="E51" t="s">
        <v>473</v>
      </c>
      <c r="F51" s="164">
        <v>35</v>
      </c>
      <c r="N51" s="2"/>
    </row>
    <row r="52" spans="4:15" x14ac:dyDescent="0.35">
      <c r="E52" t="s">
        <v>474</v>
      </c>
      <c r="F52" s="164">
        <v>4500</v>
      </c>
      <c r="N52" s="2"/>
    </row>
    <row r="53" spans="4:15" x14ac:dyDescent="0.35">
      <c r="E53" t="s">
        <v>475</v>
      </c>
      <c r="F53" s="164">
        <v>50</v>
      </c>
    </row>
    <row r="54" spans="4:15" x14ac:dyDescent="0.35">
      <c r="E54" t="s">
        <v>178</v>
      </c>
      <c r="F54" s="164">
        <v>10</v>
      </c>
    </row>
    <row r="55" spans="4:15" x14ac:dyDescent="0.35">
      <c r="E55" t="s">
        <v>476</v>
      </c>
      <c r="F55" s="164">
        <v>8.4</v>
      </c>
    </row>
    <row r="56" spans="4:15" x14ac:dyDescent="0.35">
      <c r="E56" t="s">
        <v>477</v>
      </c>
      <c r="F56" s="164">
        <v>95</v>
      </c>
    </row>
    <row r="57" spans="4:15" ht="21" x14ac:dyDescent="0.5">
      <c r="E57" t="s">
        <v>478</v>
      </c>
      <c r="F57" s="164">
        <v>3</v>
      </c>
      <c r="J57" s="45"/>
    </row>
    <row r="58" spans="4:15" x14ac:dyDescent="0.35">
      <c r="E58" t="s">
        <v>479</v>
      </c>
      <c r="F58" s="164">
        <v>2</v>
      </c>
    </row>
    <row r="59" spans="4:15" x14ac:dyDescent="0.35">
      <c r="E59" t="s">
        <v>480</v>
      </c>
      <c r="F59" s="164">
        <v>70</v>
      </c>
      <c r="H59" s="46"/>
    </row>
    <row r="60" spans="4:15" x14ac:dyDescent="0.35">
      <c r="E60" t="s">
        <v>481</v>
      </c>
      <c r="F60" s="164">
        <v>14</v>
      </c>
    </row>
    <row r="61" spans="4:15" ht="16" customHeight="1" x14ac:dyDescent="0.35">
      <c r="F61" s="48">
        <f>SUM(F40:F60)</f>
        <v>139072.4</v>
      </c>
      <c r="N61">
        <v>3</v>
      </c>
      <c r="O61">
        <f>PRODUCT(M61,N61)</f>
        <v>3</v>
      </c>
    </row>
    <row r="62" spans="4:15" x14ac:dyDescent="0.35">
      <c r="E62" t="s">
        <v>482</v>
      </c>
      <c r="F62" s="164">
        <v>-5000</v>
      </c>
      <c r="N62">
        <v>2</v>
      </c>
      <c r="O62">
        <f>PRODUCT(M62,N62)</f>
        <v>2</v>
      </c>
    </row>
    <row r="63" spans="4:15" x14ac:dyDescent="0.35">
      <c r="E63" t="s">
        <v>429</v>
      </c>
      <c r="F63" s="164">
        <v>-90000</v>
      </c>
      <c r="H63" s="119">
        <v>134072.4</v>
      </c>
      <c r="N63">
        <v>5</v>
      </c>
      <c r="O63">
        <f>PRODUCT(M63,N63)</f>
        <v>5</v>
      </c>
    </row>
    <row r="64" spans="4:15" x14ac:dyDescent="0.35">
      <c r="F64" s="165">
        <f>SUM(F61:F63)</f>
        <v>44072.399999999994</v>
      </c>
      <c r="H64">
        <v>-90000</v>
      </c>
    </row>
    <row r="65" spans="6:9" x14ac:dyDescent="0.35">
      <c r="H65" s="119">
        <f>SUM(H63:H64)</f>
        <v>44072.399999999994</v>
      </c>
    </row>
    <row r="72" spans="6:9" x14ac:dyDescent="0.35">
      <c r="F72" s="1"/>
      <c r="G72" s="1"/>
    </row>
    <row r="73" spans="6:9" x14ac:dyDescent="0.35">
      <c r="F73" s="78"/>
      <c r="G73" s="78"/>
      <c r="H73" s="78"/>
    </row>
    <row r="74" spans="6:9" x14ac:dyDescent="0.35">
      <c r="F74" s="78"/>
      <c r="G74" s="78"/>
      <c r="H74" s="78"/>
      <c r="I74" s="55"/>
    </row>
    <row r="75" spans="6:9" x14ac:dyDescent="0.35">
      <c r="H75" s="78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P22"/>
  <sheetViews>
    <sheetView workbookViewId="0">
      <selection activeCell="P6" sqref="P6"/>
    </sheetView>
  </sheetViews>
  <sheetFormatPr defaultColWidth="10.6640625" defaultRowHeight="15.5" x14ac:dyDescent="0.35"/>
  <sheetData>
    <row r="4" spans="2:16" ht="17" x14ac:dyDescent="0.35">
      <c r="F4" s="100" t="s">
        <v>224</v>
      </c>
      <c r="H4" t="s">
        <v>349</v>
      </c>
      <c r="M4" t="s">
        <v>434</v>
      </c>
      <c r="N4">
        <v>700</v>
      </c>
      <c r="O4" t="s">
        <v>435</v>
      </c>
      <c r="P4" t="s">
        <v>275</v>
      </c>
    </row>
    <row r="5" spans="2:16" x14ac:dyDescent="0.35">
      <c r="B5" s="93" t="s">
        <v>201</v>
      </c>
      <c r="N5">
        <v>1200</v>
      </c>
      <c r="O5" t="s">
        <v>436</v>
      </c>
      <c r="P5" t="s">
        <v>275</v>
      </c>
    </row>
    <row r="6" spans="2:16" x14ac:dyDescent="0.35">
      <c r="B6" s="95" t="s">
        <v>203</v>
      </c>
      <c r="O6" t="s">
        <v>276</v>
      </c>
      <c r="P6" t="s">
        <v>275</v>
      </c>
    </row>
    <row r="7" spans="2:16" x14ac:dyDescent="0.35">
      <c r="B7" s="93" t="s">
        <v>205</v>
      </c>
      <c r="F7">
        <v>145000</v>
      </c>
    </row>
    <row r="8" spans="2:16" x14ac:dyDescent="0.35">
      <c r="B8" s="93" t="s">
        <v>206</v>
      </c>
      <c r="F8" t="s">
        <v>347</v>
      </c>
      <c r="H8">
        <v>87000</v>
      </c>
    </row>
    <row r="9" spans="2:16" x14ac:dyDescent="0.35">
      <c r="B9" s="93" t="s">
        <v>208</v>
      </c>
      <c r="F9" s="43">
        <v>1.4999999999999999E-2</v>
      </c>
      <c r="H9">
        <v>350</v>
      </c>
    </row>
    <row r="10" spans="2:16" x14ac:dyDescent="0.35">
      <c r="B10" s="93" t="s">
        <v>210</v>
      </c>
      <c r="H10">
        <v>700</v>
      </c>
    </row>
    <row r="11" spans="2:16" x14ac:dyDescent="0.35">
      <c r="B11" s="93" t="s">
        <v>211</v>
      </c>
      <c r="H11">
        <v>1320</v>
      </c>
    </row>
    <row r="12" spans="2:16" x14ac:dyDescent="0.35">
      <c r="B12" s="93" t="s">
        <v>212</v>
      </c>
      <c r="F12" s="43">
        <v>4.3999999999999997E-2</v>
      </c>
      <c r="I12" s="43">
        <v>7.9899999999999999E-2</v>
      </c>
    </row>
    <row r="13" spans="2:16" x14ac:dyDescent="0.35">
      <c r="B13" s="93" t="s">
        <v>214</v>
      </c>
      <c r="F13">
        <v>0</v>
      </c>
      <c r="I13" s="44">
        <v>0.04</v>
      </c>
    </row>
    <row r="14" spans="2:16" x14ac:dyDescent="0.35">
      <c r="B14" s="93" t="s">
        <v>216</v>
      </c>
      <c r="H14">
        <v>1500</v>
      </c>
      <c r="I14">
        <v>2000</v>
      </c>
    </row>
    <row r="15" spans="2:16" x14ac:dyDescent="0.35">
      <c r="B15" s="93" t="s">
        <v>217</v>
      </c>
      <c r="F15" t="s">
        <v>348</v>
      </c>
      <c r="I15" t="s">
        <v>232</v>
      </c>
    </row>
    <row r="16" spans="2:16" x14ac:dyDescent="0.35">
      <c r="B16" s="95" t="s">
        <v>219</v>
      </c>
    </row>
    <row r="17" spans="2:9" x14ac:dyDescent="0.35">
      <c r="B17" s="93" t="s">
        <v>221</v>
      </c>
      <c r="F17">
        <v>929</v>
      </c>
      <c r="I17">
        <v>671</v>
      </c>
    </row>
    <row r="18" spans="2:9" x14ac:dyDescent="0.35">
      <c r="B18" s="95" t="s">
        <v>222</v>
      </c>
    </row>
    <row r="19" spans="2:9" x14ac:dyDescent="0.35">
      <c r="B19" s="93" t="s">
        <v>362</v>
      </c>
      <c r="H19">
        <v>870</v>
      </c>
    </row>
    <row r="20" spans="2:9" x14ac:dyDescent="0.35">
      <c r="B20" s="95" t="s">
        <v>363</v>
      </c>
      <c r="H20">
        <v>3500</v>
      </c>
    </row>
    <row r="21" spans="2:9" x14ac:dyDescent="0.35">
      <c r="H21">
        <f>SUM(H9:H20)</f>
        <v>8240</v>
      </c>
    </row>
    <row r="22" spans="2:9" x14ac:dyDescent="0.35">
      <c r="H22" s="1">
        <f>SUM(H21,H8)</f>
        <v>95240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60"/>
  <sheetViews>
    <sheetView workbookViewId="0">
      <selection activeCell="D5" sqref="D5"/>
    </sheetView>
  </sheetViews>
  <sheetFormatPr defaultColWidth="10.6640625" defaultRowHeight="15.5" x14ac:dyDescent="0.35"/>
  <cols>
    <col min="6" max="6" width="20.1640625" customWidth="1"/>
    <col min="7" max="7" width="23" customWidth="1"/>
    <col min="8" max="8" width="17.1640625" customWidth="1"/>
    <col min="9" max="9" width="16.33203125" customWidth="1"/>
    <col min="10" max="10" width="16.5" customWidth="1"/>
    <col min="13" max="13" width="28.5" customWidth="1"/>
  </cols>
  <sheetData>
    <row r="2" spans="3:13" x14ac:dyDescent="0.35">
      <c r="J2" t="s">
        <v>368</v>
      </c>
    </row>
    <row r="5" spans="3:13" x14ac:dyDescent="0.35">
      <c r="D5" t="s">
        <v>394</v>
      </c>
      <c r="E5" t="s">
        <v>389</v>
      </c>
      <c r="F5" t="s">
        <v>386</v>
      </c>
      <c r="G5" s="144">
        <v>236187</v>
      </c>
      <c r="H5" s="146">
        <v>2446</v>
      </c>
      <c r="I5" t="s">
        <v>369</v>
      </c>
      <c r="J5">
        <v>2000</v>
      </c>
      <c r="M5" s="2">
        <v>160000</v>
      </c>
    </row>
    <row r="6" spans="3:13" x14ac:dyDescent="0.35">
      <c r="D6" t="s">
        <v>393</v>
      </c>
      <c r="E6" t="s">
        <v>387</v>
      </c>
      <c r="F6" t="s">
        <v>386</v>
      </c>
      <c r="G6" s="144">
        <v>500000</v>
      </c>
      <c r="H6" s="146">
        <v>5195.34</v>
      </c>
      <c r="I6" t="s">
        <v>395</v>
      </c>
      <c r="M6">
        <v>90000</v>
      </c>
    </row>
    <row r="7" spans="3:13" x14ac:dyDescent="0.35">
      <c r="D7" t="s">
        <v>392</v>
      </c>
      <c r="E7" t="s">
        <v>388</v>
      </c>
      <c r="F7" t="s">
        <v>0</v>
      </c>
      <c r="G7" s="144">
        <v>50000</v>
      </c>
      <c r="H7" s="146">
        <v>519.03</v>
      </c>
      <c r="M7">
        <v>50000</v>
      </c>
    </row>
    <row r="8" spans="3:13" x14ac:dyDescent="0.35">
      <c r="D8" t="s">
        <v>391</v>
      </c>
      <c r="E8" t="s">
        <v>388</v>
      </c>
      <c r="F8" t="s">
        <v>0</v>
      </c>
      <c r="G8" s="144">
        <v>325000</v>
      </c>
      <c r="H8" s="147">
        <v>3394.94</v>
      </c>
      <c r="M8">
        <v>-20000</v>
      </c>
    </row>
    <row r="9" spans="3:13" x14ac:dyDescent="0.35">
      <c r="D9" t="s">
        <v>391</v>
      </c>
      <c r="E9" t="s">
        <v>387</v>
      </c>
      <c r="F9" t="s">
        <v>386</v>
      </c>
      <c r="G9" s="144">
        <v>740000</v>
      </c>
      <c r="H9" s="146">
        <v>7689.11</v>
      </c>
      <c r="I9" t="s">
        <v>396</v>
      </c>
    </row>
    <row r="10" spans="3:13" x14ac:dyDescent="0.35">
      <c r="D10" t="s">
        <v>390</v>
      </c>
      <c r="E10" t="s">
        <v>388</v>
      </c>
      <c r="F10" t="s">
        <v>0</v>
      </c>
      <c r="G10" s="101">
        <v>203000</v>
      </c>
      <c r="H10" s="146">
        <v>2091.79</v>
      </c>
    </row>
    <row r="13" spans="3:13" x14ac:dyDescent="0.35">
      <c r="G13" s="144">
        <f>SUM(G5:G12)</f>
        <v>2054187</v>
      </c>
      <c r="H13" s="145">
        <f>SUM(H5:H11)</f>
        <v>21336.21</v>
      </c>
    </row>
    <row r="16" spans="3:13" x14ac:dyDescent="0.35">
      <c r="C16" t="s">
        <v>87</v>
      </c>
      <c r="E16">
        <v>1870000</v>
      </c>
    </row>
    <row r="17" spans="3:14" x14ac:dyDescent="0.35">
      <c r="E17">
        <v>-10000</v>
      </c>
    </row>
    <row r="18" spans="3:14" x14ac:dyDescent="0.35">
      <c r="E18">
        <f>SUM(E16:E17)</f>
        <v>1860000</v>
      </c>
      <c r="F18" s="2">
        <v>360000</v>
      </c>
    </row>
    <row r="19" spans="3:14" x14ac:dyDescent="0.35">
      <c r="C19" t="s">
        <v>370</v>
      </c>
      <c r="E19" s="2">
        <v>1500000</v>
      </c>
      <c r="F19" t="s">
        <v>371</v>
      </c>
      <c r="I19" s="2"/>
    </row>
    <row r="21" spans="3:14" x14ac:dyDescent="0.35">
      <c r="E21" s="2"/>
      <c r="G21" s="47">
        <v>44088</v>
      </c>
      <c r="N21">
        <v>70</v>
      </c>
    </row>
    <row r="22" spans="3:14" x14ac:dyDescent="0.35">
      <c r="E22" s="2">
        <v>360000</v>
      </c>
      <c r="N22">
        <v>20</v>
      </c>
    </row>
    <row r="23" spans="3:14" x14ac:dyDescent="0.35">
      <c r="E23" s="2">
        <v>-50000</v>
      </c>
      <c r="F23" s="1" t="s">
        <v>372</v>
      </c>
    </row>
    <row r="24" spans="3:14" x14ac:dyDescent="0.35">
      <c r="E24" s="2">
        <v>-90000</v>
      </c>
      <c r="F24" t="s">
        <v>373</v>
      </c>
    </row>
    <row r="25" spans="3:14" x14ac:dyDescent="0.35">
      <c r="E25" s="2">
        <v>-50000</v>
      </c>
      <c r="F25" t="s">
        <v>373</v>
      </c>
    </row>
    <row r="26" spans="3:14" x14ac:dyDescent="0.35">
      <c r="E26" s="2">
        <v>-50000</v>
      </c>
      <c r="F26" s="1" t="s">
        <v>372</v>
      </c>
    </row>
    <row r="27" spans="3:14" ht="20" x14ac:dyDescent="0.4">
      <c r="E27" s="2">
        <v>-240000</v>
      </c>
      <c r="F27" s="1" t="s">
        <v>372</v>
      </c>
      <c r="J27" s="143" t="s">
        <v>437</v>
      </c>
      <c r="K27" t="s">
        <v>38</v>
      </c>
    </row>
    <row r="28" spans="3:14" ht="20" x14ac:dyDescent="0.4">
      <c r="E28" s="2">
        <v>-50000</v>
      </c>
      <c r="F28" s="1" t="s">
        <v>372</v>
      </c>
      <c r="I28" t="s">
        <v>375</v>
      </c>
      <c r="J28" s="143" t="s">
        <v>374</v>
      </c>
    </row>
    <row r="29" spans="3:14" ht="20" x14ac:dyDescent="0.4">
      <c r="E29" s="3">
        <f>SUM(E22:E28)</f>
        <v>-170000</v>
      </c>
      <c r="J29" s="143" t="s">
        <v>374</v>
      </c>
    </row>
    <row r="30" spans="3:14" x14ac:dyDescent="0.35">
      <c r="E30" s="2">
        <v>200000</v>
      </c>
    </row>
    <row r="31" spans="3:14" x14ac:dyDescent="0.35">
      <c r="E31" s="3">
        <f>SUM(E29:E30)</f>
        <v>30000</v>
      </c>
    </row>
    <row r="32" spans="3:14" ht="20" x14ac:dyDescent="0.4">
      <c r="J32" s="143" t="s">
        <v>402</v>
      </c>
      <c r="L32" t="s">
        <v>403</v>
      </c>
      <c r="M32" s="149" t="s">
        <v>404</v>
      </c>
    </row>
    <row r="33" spans="2:13" ht="20" x14ac:dyDescent="0.4">
      <c r="J33" s="143" t="s">
        <v>402</v>
      </c>
      <c r="M33" s="150" t="s">
        <v>405</v>
      </c>
    </row>
    <row r="35" spans="2:13" x14ac:dyDescent="0.35">
      <c r="E35" t="s">
        <v>376</v>
      </c>
    </row>
    <row r="39" spans="2:13" x14ac:dyDescent="0.35">
      <c r="B39">
        <v>944</v>
      </c>
      <c r="D39" s="83" t="s">
        <v>462</v>
      </c>
      <c r="E39" s="1" t="s">
        <v>87</v>
      </c>
    </row>
    <row r="40" spans="2:13" x14ac:dyDescent="0.35">
      <c r="C40" s="157">
        <v>2263.39</v>
      </c>
      <c r="D40" s="101">
        <v>2263.39</v>
      </c>
    </row>
    <row r="41" spans="2:13" x14ac:dyDescent="0.35">
      <c r="C41" s="152">
        <v>2066.64</v>
      </c>
      <c r="D41" s="159" t="s">
        <v>466</v>
      </c>
      <c r="E41" s="2"/>
    </row>
    <row r="42" spans="2:13" x14ac:dyDescent="0.35">
      <c r="B42">
        <v>3</v>
      </c>
      <c r="C42" s="152">
        <v>3075</v>
      </c>
      <c r="D42">
        <v>3087.02</v>
      </c>
    </row>
    <row r="43" spans="2:13" ht="21" x14ac:dyDescent="0.5">
      <c r="C43" s="160">
        <f>SUM(C40:C42)</f>
        <v>7405.03</v>
      </c>
      <c r="D43" s="141"/>
    </row>
    <row r="44" spans="2:13" x14ac:dyDescent="0.35">
      <c r="B44" t="s">
        <v>38</v>
      </c>
      <c r="C44" s="152">
        <v>160000</v>
      </c>
      <c r="D44" s="82">
        <v>1654.18</v>
      </c>
      <c r="E44" s="2"/>
    </row>
    <row r="45" spans="2:13" x14ac:dyDescent="0.35">
      <c r="B45" t="s">
        <v>464</v>
      </c>
      <c r="C45" s="152">
        <v>230000</v>
      </c>
      <c r="D45" s="82">
        <v>2375.12</v>
      </c>
    </row>
    <row r="46" spans="2:13" ht="18.5" x14ac:dyDescent="0.45">
      <c r="B46" t="s">
        <v>438</v>
      </c>
      <c r="C46" s="152">
        <v>200000</v>
      </c>
      <c r="D46">
        <v>2065.39</v>
      </c>
      <c r="E46" s="15"/>
    </row>
    <row r="47" spans="2:13" x14ac:dyDescent="0.35">
      <c r="B47" s="1"/>
    </row>
    <row r="48" spans="2:13" x14ac:dyDescent="0.35">
      <c r="B48" t="s">
        <v>438</v>
      </c>
      <c r="C48" s="152">
        <v>150000</v>
      </c>
      <c r="D48">
        <v>1548.78</v>
      </c>
    </row>
    <row r="49" spans="1:5" x14ac:dyDescent="0.35">
      <c r="B49" t="s">
        <v>463</v>
      </c>
      <c r="C49" s="162">
        <v>200000</v>
      </c>
      <c r="D49" s="161">
        <v>2067.08</v>
      </c>
    </row>
    <row r="50" spans="1:5" x14ac:dyDescent="0.35">
      <c r="B50" t="s">
        <v>438</v>
      </c>
      <c r="C50" s="152">
        <v>50000</v>
      </c>
      <c r="D50" s="158">
        <v>512.12</v>
      </c>
    </row>
    <row r="51" spans="1:5" x14ac:dyDescent="0.35">
      <c r="C51" s="1">
        <f>SUM(C44:C50)</f>
        <v>990000</v>
      </c>
      <c r="D51" s="79">
        <f>SUM(D44:D50)</f>
        <v>10222.67</v>
      </c>
      <c r="E51" s="44"/>
    </row>
    <row r="52" spans="1:5" x14ac:dyDescent="0.35">
      <c r="B52" s="101" t="s">
        <v>465</v>
      </c>
      <c r="E52" s="74"/>
    </row>
    <row r="53" spans="1:5" x14ac:dyDescent="0.35">
      <c r="B53" s="101" t="s">
        <v>465</v>
      </c>
      <c r="C53">
        <f>PRODUCT(B56,D53/100)</f>
        <v>144024</v>
      </c>
      <c r="D53">
        <v>28.24</v>
      </c>
      <c r="E53" s="74"/>
    </row>
    <row r="54" spans="1:5" x14ac:dyDescent="0.35">
      <c r="B54" s="101" t="s">
        <v>465</v>
      </c>
      <c r="C54">
        <f>PRODUCT(C53,1/12)</f>
        <v>12002</v>
      </c>
      <c r="D54">
        <v>4</v>
      </c>
      <c r="E54" s="1"/>
    </row>
    <row r="55" spans="1:5" x14ac:dyDescent="0.35">
      <c r="B55" s="101"/>
    </row>
    <row r="56" spans="1:5" x14ac:dyDescent="0.35">
      <c r="B56">
        <v>510000</v>
      </c>
    </row>
    <row r="57" spans="1:5" x14ac:dyDescent="0.35">
      <c r="A57" t="s">
        <v>464</v>
      </c>
      <c r="B57">
        <v>4000</v>
      </c>
      <c r="C57" s="152">
        <v>100000</v>
      </c>
      <c r="D57">
        <v>1016</v>
      </c>
    </row>
    <row r="58" spans="1:5" x14ac:dyDescent="0.35">
      <c r="A58" t="s">
        <v>463</v>
      </c>
      <c r="B58">
        <f>PRODUCT(C54,D54)</f>
        <v>48008</v>
      </c>
      <c r="C58" s="152">
        <v>200000</v>
      </c>
      <c r="D58">
        <v>2036.74</v>
      </c>
    </row>
    <row r="59" spans="1:5" x14ac:dyDescent="0.35">
      <c r="A59" t="s">
        <v>465</v>
      </c>
      <c r="B59">
        <f>SUM(B56:B58)</f>
        <v>562008</v>
      </c>
      <c r="C59" s="152">
        <v>250000</v>
      </c>
      <c r="D59">
        <v>2548.02</v>
      </c>
      <c r="E59" s="2"/>
    </row>
    <row r="60" spans="1:5" x14ac:dyDescent="0.35">
      <c r="D60">
        <f>SUM(D57:D59)</f>
        <v>5600.76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2:H20"/>
  <sheetViews>
    <sheetView workbookViewId="0">
      <selection activeCell="K28" sqref="K28"/>
    </sheetView>
  </sheetViews>
  <sheetFormatPr defaultColWidth="10.6640625" defaultRowHeight="15.5" x14ac:dyDescent="0.35"/>
  <sheetData>
    <row r="2" spans="4:8" x14ac:dyDescent="0.35">
      <c r="D2" t="s">
        <v>425</v>
      </c>
      <c r="F2">
        <v>61343</v>
      </c>
    </row>
    <row r="3" spans="4:8" x14ac:dyDescent="0.35">
      <c r="F3" s="1">
        <v>-12500</v>
      </c>
    </row>
    <row r="4" spans="4:8" x14ac:dyDescent="0.35">
      <c r="F4">
        <f>SUM(F2:F3)</f>
        <v>48843</v>
      </c>
    </row>
    <row r="5" spans="4:8" x14ac:dyDescent="0.35">
      <c r="D5" t="s">
        <v>426</v>
      </c>
      <c r="F5" s="1">
        <v>37500</v>
      </c>
      <c r="G5" s="44">
        <v>0.2</v>
      </c>
      <c r="H5">
        <f>PRODUCT(F5,G5)</f>
        <v>7500</v>
      </c>
    </row>
    <row r="6" spans="4:8" x14ac:dyDescent="0.35">
      <c r="D6" t="s">
        <v>427</v>
      </c>
      <c r="E6" s="44"/>
      <c r="F6">
        <f>SUM(F4,-F5)</f>
        <v>11343</v>
      </c>
      <c r="G6" s="44">
        <v>0.4</v>
      </c>
      <c r="H6">
        <f>PRODUCT(F6,G6)</f>
        <v>4537.2</v>
      </c>
    </row>
    <row r="7" spans="4:8" x14ac:dyDescent="0.35">
      <c r="G7" t="s">
        <v>428</v>
      </c>
      <c r="H7" s="1">
        <f>SUM(H5:H6)</f>
        <v>12037.2</v>
      </c>
    </row>
    <row r="8" spans="4:8" x14ac:dyDescent="0.35">
      <c r="G8" t="s">
        <v>429</v>
      </c>
      <c r="H8" s="1">
        <v>16537</v>
      </c>
    </row>
    <row r="9" spans="4:8" x14ac:dyDescent="0.35">
      <c r="H9" s="1">
        <f>SUM(H7,-H8)</f>
        <v>-4499.7999999999993</v>
      </c>
    </row>
    <row r="13" spans="4:8" x14ac:dyDescent="0.35">
      <c r="D13" t="s">
        <v>425</v>
      </c>
      <c r="F13">
        <v>33964.120000000003</v>
      </c>
    </row>
    <row r="14" spans="4:8" x14ac:dyDescent="0.35">
      <c r="F14" s="1">
        <v>-12500</v>
      </c>
    </row>
    <row r="15" spans="4:8" x14ac:dyDescent="0.35">
      <c r="F15">
        <f>SUM(F13:F14)</f>
        <v>21464.120000000003</v>
      </c>
    </row>
    <row r="16" spans="4:8" x14ac:dyDescent="0.35">
      <c r="D16" t="s">
        <v>426</v>
      </c>
      <c r="F16" s="1">
        <v>37500</v>
      </c>
      <c r="G16" s="44">
        <v>0.2</v>
      </c>
      <c r="H16">
        <f>PRODUCT(F16,G16)</f>
        <v>7500</v>
      </c>
    </row>
    <row r="17" spans="4:8" x14ac:dyDescent="0.35">
      <c r="D17" t="s">
        <v>427</v>
      </c>
      <c r="E17" s="44"/>
      <c r="F17">
        <f>SUM(F15,-F16)</f>
        <v>-16035.879999999997</v>
      </c>
      <c r="G17" s="44">
        <v>0.4</v>
      </c>
      <c r="H17">
        <f>PRODUCT(F17,G17)</f>
        <v>-6414.351999999999</v>
      </c>
    </row>
    <row r="18" spans="4:8" x14ac:dyDescent="0.35">
      <c r="G18" t="s">
        <v>428</v>
      </c>
      <c r="H18" s="1">
        <f>SUM(H16:H17)</f>
        <v>1085.648000000001</v>
      </c>
    </row>
    <row r="19" spans="4:8" x14ac:dyDescent="0.35">
      <c r="G19" t="s">
        <v>429</v>
      </c>
      <c r="H19" s="1">
        <v>290.8</v>
      </c>
    </row>
    <row r="20" spans="4:8" x14ac:dyDescent="0.35">
      <c r="H20" s="1">
        <f>SUM(H18,-H19)</f>
        <v>794.84800000000109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1"/>
  <sheetViews>
    <sheetView workbookViewId="0">
      <selection activeCell="D21" sqref="D21"/>
    </sheetView>
  </sheetViews>
  <sheetFormatPr defaultColWidth="10.6640625" defaultRowHeight="15.5" x14ac:dyDescent="0.35"/>
  <sheetData>
    <row r="2" spans="2:5" x14ac:dyDescent="0.35">
      <c r="C2" s="154"/>
    </row>
    <row r="3" spans="2:5" x14ac:dyDescent="0.35">
      <c r="B3" t="s">
        <v>459</v>
      </c>
      <c r="C3" t="s">
        <v>460</v>
      </c>
      <c r="D3" t="s">
        <v>461</v>
      </c>
      <c r="E3" t="s">
        <v>457</v>
      </c>
    </row>
    <row r="4" spans="2:5" x14ac:dyDescent="0.35">
      <c r="B4" s="154">
        <v>1</v>
      </c>
      <c r="C4" s="154" t="s">
        <v>449</v>
      </c>
      <c r="D4" s="154">
        <v>30000</v>
      </c>
    </row>
    <row r="5" spans="2:5" x14ac:dyDescent="0.35">
      <c r="B5" s="154">
        <v>2</v>
      </c>
      <c r="C5" s="154" t="s">
        <v>450</v>
      </c>
      <c r="D5" s="154">
        <v>70000</v>
      </c>
    </row>
    <row r="6" spans="2:5" x14ac:dyDescent="0.35">
      <c r="B6" s="154">
        <v>3</v>
      </c>
      <c r="C6" s="154" t="s">
        <v>451</v>
      </c>
      <c r="D6" s="154">
        <v>50000</v>
      </c>
    </row>
    <row r="7" spans="2:5" x14ac:dyDescent="0.35">
      <c r="B7" s="154">
        <v>4</v>
      </c>
      <c r="C7" s="154" t="s">
        <v>452</v>
      </c>
      <c r="D7" s="154">
        <v>36000</v>
      </c>
    </row>
    <row r="8" spans="2:5" x14ac:dyDescent="0.35">
      <c r="B8" s="154">
        <v>5</v>
      </c>
      <c r="C8" s="154" t="s">
        <v>453</v>
      </c>
      <c r="D8" s="154">
        <v>50000</v>
      </c>
    </row>
    <row r="9" spans="2:5" x14ac:dyDescent="0.35">
      <c r="B9" s="154">
        <v>6</v>
      </c>
      <c r="C9" s="154" t="s">
        <v>454</v>
      </c>
      <c r="D9" s="154">
        <v>50000</v>
      </c>
    </row>
    <row r="10" spans="2:5" x14ac:dyDescent="0.35">
      <c r="B10" s="154">
        <v>7</v>
      </c>
      <c r="C10" s="154" t="s">
        <v>455</v>
      </c>
      <c r="D10" s="154">
        <v>35000</v>
      </c>
      <c r="E10" s="154"/>
    </row>
    <row r="11" spans="2:5" x14ac:dyDescent="0.35">
      <c r="B11" s="154">
        <v>8</v>
      </c>
      <c r="C11" s="154" t="s">
        <v>456</v>
      </c>
      <c r="D11" s="154">
        <v>15000</v>
      </c>
      <c r="E11" s="155">
        <v>44128</v>
      </c>
    </row>
    <row r="12" spans="2:5" x14ac:dyDescent="0.35">
      <c r="B12" s="154">
        <v>9</v>
      </c>
      <c r="C12" s="154" t="s">
        <v>458</v>
      </c>
      <c r="D12" s="154">
        <v>35000</v>
      </c>
      <c r="E12" s="154"/>
    </row>
    <row r="13" spans="2:5" x14ac:dyDescent="0.35">
      <c r="B13" s="154"/>
    </row>
    <row r="18" spans="2:3" x14ac:dyDescent="0.35">
      <c r="C18" s="154"/>
    </row>
    <row r="21" spans="2:3" x14ac:dyDescent="0.35">
      <c r="B21" t="s">
        <v>438</v>
      </c>
      <c r="C21" s="134">
        <v>44111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1"/>
  <sheetViews>
    <sheetView topLeftCell="A20" workbookViewId="0">
      <selection activeCell="H15" sqref="H15"/>
    </sheetView>
  </sheetViews>
  <sheetFormatPr defaultColWidth="10.6640625" defaultRowHeight="15.5" x14ac:dyDescent="0.35"/>
  <cols>
    <col min="2" max="2" width="12.5" customWidth="1"/>
    <col min="3" max="3" width="13.6640625" customWidth="1"/>
    <col min="4" max="4" width="13.1640625" customWidth="1"/>
    <col min="14" max="14" width="14" customWidth="1"/>
    <col min="16" max="17" width="10.83203125" customWidth="1"/>
    <col min="23" max="23" width="10.83203125" customWidth="1"/>
  </cols>
  <sheetData>
    <row r="1" spans="1:19" ht="16" thickBot="1" x14ac:dyDescent="0.4"/>
    <row r="2" spans="1:19" x14ac:dyDescent="0.35">
      <c r="A2" s="38">
        <v>2</v>
      </c>
      <c r="B2" s="25" t="s">
        <v>7</v>
      </c>
      <c r="C2" s="26"/>
      <c r="D2" s="26"/>
      <c r="E2" s="26"/>
      <c r="F2" s="26"/>
      <c r="G2" s="26"/>
      <c r="H2" s="26"/>
      <c r="I2" s="27" t="s">
        <v>8</v>
      </c>
      <c r="K2" t="s">
        <v>9</v>
      </c>
      <c r="L2" s="17" t="s">
        <v>28</v>
      </c>
      <c r="M2" s="1" t="s">
        <v>32</v>
      </c>
      <c r="N2" s="36" t="s">
        <v>67</v>
      </c>
    </row>
    <row r="3" spans="1:19" x14ac:dyDescent="0.35">
      <c r="A3" s="24"/>
      <c r="B3" s="28" t="s">
        <v>58</v>
      </c>
      <c r="C3" s="22">
        <v>170000</v>
      </c>
      <c r="D3" s="8">
        <f>PRODUCT(-C3, 20/100)</f>
        <v>-34000</v>
      </c>
      <c r="E3" s="8">
        <f>PRODUCT(C3, -1, 35, 1/100)</f>
        <v>-59500</v>
      </c>
      <c r="F3" s="8"/>
      <c r="G3" s="8"/>
      <c r="H3" s="8"/>
      <c r="I3" s="29"/>
      <c r="L3" s="17"/>
      <c r="M3" s="1"/>
      <c r="N3" s="1"/>
      <c r="S3">
        <v>155000</v>
      </c>
    </row>
    <row r="4" spans="1:19" x14ac:dyDescent="0.35">
      <c r="A4" s="24"/>
      <c r="B4" s="28" t="s">
        <v>57</v>
      </c>
      <c r="C4" s="11">
        <v>19500</v>
      </c>
      <c r="D4" s="8">
        <f>ROUND(C3/14.084507/20,0)</f>
        <v>604</v>
      </c>
      <c r="E4" s="8">
        <f>ROUND(C3/12/25,0)</f>
        <v>567</v>
      </c>
      <c r="F4" s="8"/>
      <c r="G4" s="8"/>
      <c r="H4" s="8"/>
      <c r="I4" s="29"/>
      <c r="J4" s="1" t="s">
        <v>62</v>
      </c>
      <c r="L4" s="17"/>
      <c r="M4" s="1"/>
      <c r="N4" s="1"/>
    </row>
    <row r="5" spans="1:19" x14ac:dyDescent="0.35">
      <c r="A5" s="24"/>
      <c r="B5" s="28" t="s">
        <v>4</v>
      </c>
      <c r="C5" s="8"/>
      <c r="D5" s="8">
        <f>SUM(C4/12,-D4)</f>
        <v>1021</v>
      </c>
      <c r="E5" s="8">
        <f>SUM(C4/12,-E4)</f>
        <v>1058</v>
      </c>
      <c r="F5" s="8"/>
      <c r="G5" s="8"/>
      <c r="H5" s="8"/>
      <c r="I5" s="29"/>
      <c r="L5" s="17"/>
      <c r="M5" s="1"/>
      <c r="N5" s="1"/>
      <c r="Q5">
        <v>10</v>
      </c>
    </row>
    <row r="6" spans="1:19" x14ac:dyDescent="0.35">
      <c r="A6" s="24"/>
      <c r="B6" s="28"/>
      <c r="C6" s="8"/>
      <c r="D6" s="8">
        <f>$D5*12</f>
        <v>12252</v>
      </c>
      <c r="E6" s="8">
        <f>$E5*12</f>
        <v>12696</v>
      </c>
      <c r="F6" s="8"/>
      <c r="G6" s="8"/>
      <c r="H6" s="8"/>
      <c r="I6" s="29"/>
      <c r="L6" s="17"/>
      <c r="M6" s="1"/>
      <c r="N6" s="1"/>
      <c r="Q6">
        <v>25</v>
      </c>
    </row>
    <row r="7" spans="1:19" x14ac:dyDescent="0.35">
      <c r="A7" s="24"/>
      <c r="B7" s="28" t="s">
        <v>59</v>
      </c>
      <c r="C7" s="8">
        <v>0</v>
      </c>
      <c r="D7" s="8">
        <f>SUM(-D3,C7)</f>
        <v>34000</v>
      </c>
      <c r="E7" s="8">
        <f>SUM(-E3,C7)</f>
        <v>59500</v>
      </c>
      <c r="F7" s="8"/>
      <c r="G7" s="8"/>
      <c r="H7" s="8"/>
      <c r="I7" s="29"/>
      <c r="L7" s="17"/>
      <c r="M7" s="1"/>
      <c r="N7" s="1"/>
      <c r="Q7">
        <v>25</v>
      </c>
    </row>
    <row r="8" spans="1:19" x14ac:dyDescent="0.35">
      <c r="A8" s="24"/>
      <c r="B8" s="28"/>
      <c r="C8" s="8" t="s">
        <v>5</v>
      </c>
      <c r="D8" s="18">
        <f>PRODUCT(D6, 100/D7)</f>
        <v>36.035294117647055</v>
      </c>
      <c r="E8" s="18">
        <f>PRODUCT(E6, 100/E7)</f>
        <v>21.337815126050423</v>
      </c>
      <c r="F8" s="8"/>
      <c r="G8" s="8"/>
      <c r="H8" s="8"/>
      <c r="I8" s="29"/>
      <c r="L8" s="17"/>
      <c r="M8" s="1"/>
      <c r="N8" s="1"/>
      <c r="Q8">
        <v>20</v>
      </c>
    </row>
    <row r="9" spans="1:19" ht="16" thickBot="1" x14ac:dyDescent="0.4">
      <c r="A9" s="24"/>
      <c r="B9" s="30"/>
      <c r="C9" s="31" t="s">
        <v>60</v>
      </c>
      <c r="D9" s="32">
        <f>PRODUCT(C4, 100/(C3+C7))</f>
        <v>11.470588235294116</v>
      </c>
      <c r="E9" s="31"/>
      <c r="F9" s="31"/>
      <c r="G9" s="31"/>
      <c r="H9" s="31"/>
      <c r="I9" s="33"/>
      <c r="L9" s="17"/>
      <c r="M9" s="1"/>
      <c r="N9" s="1"/>
      <c r="Q9">
        <f>SUM(Q5:Q8)</f>
        <v>80</v>
      </c>
    </row>
    <row r="10" spans="1:19" x14ac:dyDescent="0.35">
      <c r="B10" s="5" t="s">
        <v>10</v>
      </c>
      <c r="I10" t="s">
        <v>11</v>
      </c>
      <c r="K10" t="s">
        <v>12</v>
      </c>
      <c r="N10" t="s">
        <v>13</v>
      </c>
      <c r="O10" t="s">
        <v>14</v>
      </c>
      <c r="P10" t="s">
        <v>4</v>
      </c>
    </row>
    <row r="11" spans="1:19" x14ac:dyDescent="0.35">
      <c r="B11" t="s">
        <v>58</v>
      </c>
      <c r="C11" s="20">
        <v>88000</v>
      </c>
      <c r="D11">
        <f>PRODUCT(C11, -1, 20, 1/100)</f>
        <v>-17600</v>
      </c>
      <c r="E11">
        <f>PRODUCT(C11, -1, 25, 1/100)</f>
        <v>-22000</v>
      </c>
    </row>
    <row r="12" spans="1:19" x14ac:dyDescent="0.35">
      <c r="B12" t="s">
        <v>57</v>
      </c>
      <c r="C12" s="4">
        <v>575</v>
      </c>
    </row>
    <row r="13" spans="1:19" x14ac:dyDescent="0.35">
      <c r="B13" t="s">
        <v>4</v>
      </c>
      <c r="C13">
        <v>313</v>
      </c>
    </row>
    <row r="14" spans="1:19" x14ac:dyDescent="0.35">
      <c r="C14">
        <f>SUM(C12, -C13)</f>
        <v>262</v>
      </c>
      <c r="D14">
        <f>$C14*12</f>
        <v>3144</v>
      </c>
      <c r="E14">
        <f>$C14*12</f>
        <v>3144</v>
      </c>
    </row>
    <row r="15" spans="1:19" x14ac:dyDescent="0.35">
      <c r="B15" t="s">
        <v>59</v>
      </c>
      <c r="C15">
        <f>SUM(MAX(MIN(125000, $C$11), 0)*3%, MAX(MIN(125000, $C$11-125000), 0)*5%, MAX(MIN(675000, $C$11-250000), 0)*8%, MAX($C$11-1500000, 0)*18%)</f>
        <v>2640</v>
      </c>
      <c r="D15">
        <f>SUM(-D11,C15)</f>
        <v>20240</v>
      </c>
      <c r="E15">
        <f>SUM(-E11,C15)</f>
        <v>24640</v>
      </c>
    </row>
    <row r="16" spans="1:19" x14ac:dyDescent="0.35">
      <c r="C16" t="s">
        <v>5</v>
      </c>
      <c r="D16" s="1">
        <f>PRODUCT(D14, 100/D15)</f>
        <v>15.533596837944664</v>
      </c>
      <c r="E16" s="1">
        <f>PRODUCT(E14, 100/E15)</f>
        <v>12.759740259740258</v>
      </c>
    </row>
    <row r="17" spans="1:23" x14ac:dyDescent="0.35">
      <c r="C17" t="s">
        <v>60</v>
      </c>
      <c r="D17" s="1">
        <f>PRODUCT(C12*12, 100/C11)</f>
        <v>7.8409090909090908</v>
      </c>
    </row>
    <row r="19" spans="1:23" x14ac:dyDescent="0.35">
      <c r="B19" s="5" t="s">
        <v>15</v>
      </c>
      <c r="I19" s="16"/>
      <c r="K19" t="s">
        <v>14</v>
      </c>
      <c r="L19" t="s">
        <v>16</v>
      </c>
      <c r="N19" t="s">
        <v>17</v>
      </c>
      <c r="O19" t="s">
        <v>18</v>
      </c>
    </row>
    <row r="20" spans="1:23" x14ac:dyDescent="0.35">
      <c r="G20" t="s">
        <v>6</v>
      </c>
      <c r="I20" s="16"/>
      <c r="T20" s="6" t="s">
        <v>33</v>
      </c>
      <c r="U20" s="7" t="s">
        <v>34</v>
      </c>
    </row>
    <row r="21" spans="1:23" x14ac:dyDescent="0.35">
      <c r="B21" t="s">
        <v>3</v>
      </c>
      <c r="D21" s="4">
        <v>120000</v>
      </c>
      <c r="E21" s="2">
        <f>PRODUCT(D21, -1,20, 1/100)</f>
        <v>-24000</v>
      </c>
      <c r="F21">
        <f>SUM(D21:E21)</f>
        <v>96000</v>
      </c>
      <c r="I21" s="16"/>
      <c r="T21" s="10">
        <v>55</v>
      </c>
      <c r="U21" s="9">
        <v>110</v>
      </c>
    </row>
    <row r="22" spans="1:23" x14ac:dyDescent="0.35">
      <c r="B22" t="s">
        <v>2</v>
      </c>
      <c r="C22" s="4">
        <v>785</v>
      </c>
      <c r="D22">
        <f>PRODUCT(C22, 12)</f>
        <v>9420</v>
      </c>
      <c r="F22">
        <f>SUM(D22:E22)</f>
        <v>9420</v>
      </c>
      <c r="I22" s="16"/>
      <c r="T22" s="14">
        <v>12</v>
      </c>
      <c r="U22" s="9" t="s">
        <v>35</v>
      </c>
    </row>
    <row r="23" spans="1:23" x14ac:dyDescent="0.35">
      <c r="B23" t="s">
        <v>4</v>
      </c>
      <c r="E23" s="4">
        <v>426</v>
      </c>
      <c r="F23">
        <f>PRODUCT(E23, -12)</f>
        <v>-5112</v>
      </c>
      <c r="T23" s="12">
        <v>11</v>
      </c>
      <c r="U23" s="13">
        <v>22</v>
      </c>
    </row>
    <row r="24" spans="1:23" x14ac:dyDescent="0.35">
      <c r="A24" s="16"/>
      <c r="E24" s="2">
        <f>SUM(-E21)</f>
        <v>24000</v>
      </c>
      <c r="F24">
        <f>SUM(F22:F23)</f>
        <v>4308</v>
      </c>
      <c r="G24">
        <f>PRODUCT(F24, 100/E24)</f>
        <v>17.95</v>
      </c>
      <c r="H24" t="s">
        <v>5</v>
      </c>
    </row>
    <row r="25" spans="1:23" x14ac:dyDescent="0.35">
      <c r="A25" s="16"/>
      <c r="G25">
        <f>PRODUCT(D22, 100/D21)</f>
        <v>7.8500000000000005</v>
      </c>
    </row>
    <row r="26" spans="1:23" x14ac:dyDescent="0.35">
      <c r="A26" s="16"/>
      <c r="I26" t="s">
        <v>11</v>
      </c>
    </row>
    <row r="27" spans="1:23" x14ac:dyDescent="0.35">
      <c r="A27" s="16"/>
      <c r="P27">
        <v>2400</v>
      </c>
    </row>
    <row r="28" spans="1:23" x14ac:dyDescent="0.35">
      <c r="A28" s="16"/>
      <c r="B28" s="5" t="s">
        <v>19</v>
      </c>
      <c r="P28">
        <v>185000</v>
      </c>
      <c r="S28" s="16"/>
    </row>
    <row r="29" spans="1:23" x14ac:dyDescent="0.35">
      <c r="A29" s="16"/>
      <c r="G29" t="s">
        <v>6</v>
      </c>
      <c r="P29">
        <v>1200</v>
      </c>
      <c r="S29" s="16"/>
      <c r="W29">
        <v>350</v>
      </c>
    </row>
    <row r="30" spans="1:23" x14ac:dyDescent="0.35">
      <c r="A30" s="16"/>
      <c r="B30" t="s">
        <v>3</v>
      </c>
      <c r="D30" s="4">
        <v>235000</v>
      </c>
      <c r="E30" s="2">
        <f>PRODUCT(D30, -1,20, 1/100)</f>
        <v>-47000</v>
      </c>
      <c r="F30">
        <f>SUM(D30:E30)</f>
        <v>188000</v>
      </c>
      <c r="L30">
        <v>188000</v>
      </c>
      <c r="N30">
        <v>800</v>
      </c>
      <c r="P30">
        <v>1750</v>
      </c>
      <c r="S30" s="16" t="s">
        <v>9</v>
      </c>
      <c r="T30">
        <v>150000</v>
      </c>
      <c r="U30">
        <v>600</v>
      </c>
      <c r="W30">
        <v>350</v>
      </c>
    </row>
    <row r="31" spans="1:23" x14ac:dyDescent="0.35">
      <c r="A31" s="16"/>
      <c r="B31" t="s">
        <v>2</v>
      </c>
      <c r="C31" s="4">
        <v>1400</v>
      </c>
      <c r="D31">
        <f>PRODUCT(C31, 12)</f>
        <v>16800</v>
      </c>
      <c r="F31">
        <f>SUM(D31:E31)</f>
        <v>16800</v>
      </c>
      <c r="L31">
        <f>PRODUCT(L30, 1/5)</f>
        <v>37600</v>
      </c>
      <c r="N31" t="s">
        <v>178</v>
      </c>
      <c r="P31">
        <v>1000</v>
      </c>
      <c r="S31" t="s">
        <v>13</v>
      </c>
      <c r="T31">
        <v>160000</v>
      </c>
      <c r="U31">
        <v>900</v>
      </c>
      <c r="W31">
        <v>275</v>
      </c>
    </row>
    <row r="32" spans="1:23" x14ac:dyDescent="0.35">
      <c r="B32" t="s">
        <v>4</v>
      </c>
      <c r="E32" s="4">
        <v>834</v>
      </c>
      <c r="F32">
        <f>PRODUCT(E32, -12)</f>
        <v>-10008</v>
      </c>
      <c r="L32">
        <v>6900</v>
      </c>
      <c r="P32">
        <v>6750</v>
      </c>
      <c r="S32" s="16" t="s">
        <v>61</v>
      </c>
      <c r="T32">
        <v>180000</v>
      </c>
      <c r="U32">
        <v>1100</v>
      </c>
      <c r="W32">
        <f>SUM(W29:W31)</f>
        <v>975</v>
      </c>
    </row>
    <row r="33" spans="1:23" x14ac:dyDescent="0.35">
      <c r="E33" s="2">
        <f>SUM(-E30)</f>
        <v>47000</v>
      </c>
      <c r="F33">
        <f>SUM(F31:F32)</f>
        <v>6792</v>
      </c>
      <c r="G33">
        <f>PRODUCT(F33, 100/E33)</f>
        <v>14.451063829787234</v>
      </c>
      <c r="H33" t="s">
        <v>5</v>
      </c>
      <c r="L33">
        <f>SUM(L30:L32)</f>
        <v>232500</v>
      </c>
      <c r="P33">
        <f>SUM(P27:P32)</f>
        <v>198100</v>
      </c>
      <c r="S33" s="16"/>
    </row>
    <row r="34" spans="1:23" x14ac:dyDescent="0.35">
      <c r="G34">
        <f>PRODUCT(D31, 100/D30)</f>
        <v>7.1489361702127656</v>
      </c>
      <c r="I34" t="s">
        <v>20</v>
      </c>
      <c r="L34">
        <v>-27000</v>
      </c>
      <c r="S34" s="16"/>
    </row>
    <row r="35" spans="1:23" s="16" customFormat="1" x14ac:dyDescent="0.35">
      <c r="A35"/>
      <c r="B35"/>
      <c r="C35"/>
      <c r="D35"/>
      <c r="E35"/>
      <c r="F35"/>
      <c r="G35"/>
      <c r="H35"/>
      <c r="I35"/>
      <c r="J35"/>
      <c r="K35"/>
      <c r="L35">
        <f>SUM(L33:L34)</f>
        <v>205500</v>
      </c>
      <c r="N35"/>
      <c r="O35" s="1">
        <v>145</v>
      </c>
      <c r="P35">
        <v>180</v>
      </c>
      <c r="Q35"/>
      <c r="R35"/>
    </row>
    <row r="36" spans="1:23" s="16" customForma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>
        <v>213</v>
      </c>
      <c r="P36"/>
      <c r="Q36"/>
      <c r="R36"/>
      <c r="S36"/>
    </row>
    <row r="37" spans="1:23" s="16" customFormat="1" x14ac:dyDescent="0.35">
      <c r="A37"/>
      <c r="B37" s="5" t="s">
        <v>21</v>
      </c>
      <c r="C37"/>
      <c r="D37"/>
      <c r="E37"/>
      <c r="F37"/>
      <c r="G37"/>
      <c r="H37"/>
      <c r="I37" t="s">
        <v>20</v>
      </c>
      <c r="J37"/>
      <c r="K37"/>
      <c r="L37"/>
      <c r="M37"/>
      <c r="N37"/>
      <c r="O37">
        <v>247</v>
      </c>
      <c r="P37">
        <v>500</v>
      </c>
      <c r="Q37"/>
      <c r="R37"/>
      <c r="S37"/>
    </row>
    <row r="38" spans="1:23" s="16" customFormat="1" ht="16" thickBot="1" x14ac:dyDescent="0.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>
        <v>230</v>
      </c>
      <c r="P38">
        <v>750</v>
      </c>
      <c r="Q38"/>
      <c r="R38"/>
      <c r="S38"/>
    </row>
    <row r="39" spans="1:23" s="16" customFormat="1" x14ac:dyDescent="0.35">
      <c r="A39" s="37">
        <v>4</v>
      </c>
      <c r="B39" s="25" t="s">
        <v>22</v>
      </c>
      <c r="C39" s="26"/>
      <c r="D39" s="26"/>
      <c r="E39" s="26"/>
      <c r="F39" s="26"/>
      <c r="G39" s="26">
        <v>60</v>
      </c>
      <c r="H39" s="26"/>
      <c r="I39" s="27" t="s">
        <v>11</v>
      </c>
      <c r="J39"/>
      <c r="K39"/>
      <c r="L39"/>
      <c r="M39"/>
      <c r="N39"/>
      <c r="O39">
        <f>SUM(O36:O38)</f>
        <v>690</v>
      </c>
      <c r="P39">
        <f>SUM(P37:P38)</f>
        <v>1250</v>
      </c>
      <c r="Q39"/>
      <c r="R39"/>
      <c r="S39"/>
    </row>
    <row r="40" spans="1:23" s="16" customFormat="1" x14ac:dyDescent="0.35">
      <c r="A40"/>
      <c r="B40" s="28" t="s">
        <v>58</v>
      </c>
      <c r="C40" s="22">
        <v>39000</v>
      </c>
      <c r="D40" s="8">
        <f>PRODUCT(C40, -1, 20, 1/100)</f>
        <v>-7800</v>
      </c>
      <c r="E40" s="8">
        <f>PRODUCT(C40, -1, 25, 1/100)</f>
        <v>-9750</v>
      </c>
      <c r="F40" s="8"/>
      <c r="G40" s="8"/>
      <c r="H40" s="8"/>
      <c r="I40" s="29"/>
      <c r="J40"/>
      <c r="K40"/>
      <c r="L40"/>
      <c r="M40"/>
      <c r="N40"/>
      <c r="O40"/>
      <c r="P40"/>
      <c r="Q40"/>
      <c r="R40"/>
      <c r="S40"/>
    </row>
    <row r="41" spans="1:23" s="16" customFormat="1" x14ac:dyDescent="0.35">
      <c r="A41"/>
      <c r="B41" s="28" t="s">
        <v>57</v>
      </c>
      <c r="C41" s="11">
        <v>400</v>
      </c>
      <c r="D41" s="8">
        <f>ROUND(C40/14.084507/20,0)</f>
        <v>138</v>
      </c>
      <c r="E41" s="8">
        <f>ROUND(C40/12/25,0)</f>
        <v>130</v>
      </c>
      <c r="F41" s="8"/>
      <c r="G41" s="8"/>
      <c r="H41" s="8"/>
      <c r="I41" s="29"/>
      <c r="J41"/>
      <c r="K41"/>
      <c r="L41"/>
      <c r="M41"/>
      <c r="N41"/>
      <c r="O41"/>
      <c r="P41"/>
      <c r="Q41"/>
      <c r="R41"/>
      <c r="S41"/>
    </row>
    <row r="42" spans="1:23" x14ac:dyDescent="0.35">
      <c r="B42" s="28" t="s">
        <v>4</v>
      </c>
      <c r="C42" s="8"/>
      <c r="D42" s="8">
        <f>SUM(C41,-D41)</f>
        <v>262</v>
      </c>
      <c r="E42" s="8">
        <f>SUM(C41,-E41)</f>
        <v>270</v>
      </c>
      <c r="F42" s="8"/>
      <c r="G42" s="8"/>
      <c r="H42" s="8"/>
      <c r="I42" s="29"/>
    </row>
    <row r="43" spans="1:23" x14ac:dyDescent="0.35">
      <c r="A43" s="19"/>
      <c r="B43" s="28"/>
      <c r="C43" s="8"/>
      <c r="D43" s="8">
        <f>$D42*12</f>
        <v>3144</v>
      </c>
      <c r="E43" s="8">
        <f>$E42*12</f>
        <v>3240</v>
      </c>
      <c r="F43" s="8"/>
      <c r="G43" s="8"/>
      <c r="H43" s="8"/>
      <c r="I43" s="29"/>
    </row>
    <row r="44" spans="1:23" x14ac:dyDescent="0.35">
      <c r="B44" s="28" t="s">
        <v>59</v>
      </c>
      <c r="C44" s="8">
        <f>SUM(MAX(MIN(125000, SUM(C40)), 0)*3%, MAX(MIN(125000, SUM(C40)-125000), 0)*5%, MAX(MIN(675000, SUM(C40)-250000), 0)*8%, MAX(SUM(C40)-1500000, 0)*18%)</f>
        <v>1170</v>
      </c>
      <c r="D44" s="8">
        <f>SUM(-D40,C44)</f>
        <v>8970</v>
      </c>
      <c r="E44" s="8">
        <f>SUM(-E40,C44)</f>
        <v>10920</v>
      </c>
      <c r="F44" s="8"/>
      <c r="G44" s="8"/>
      <c r="H44" s="8"/>
      <c r="I44" s="29"/>
    </row>
    <row r="45" spans="1:23" x14ac:dyDescent="0.35">
      <c r="B45" s="28"/>
      <c r="C45" s="8" t="s">
        <v>5</v>
      </c>
      <c r="D45" s="18">
        <f>PRODUCT(D43, 100/D44)</f>
        <v>35.050167224080269</v>
      </c>
      <c r="E45" s="18">
        <f>PRODUCT(E43, 100/E44)</f>
        <v>29.670329670329672</v>
      </c>
      <c r="F45" s="8"/>
      <c r="G45" s="8"/>
      <c r="H45" s="8"/>
      <c r="I45" s="29"/>
      <c r="K45" s="1">
        <v>60</v>
      </c>
      <c r="L45" s="1">
        <v>425</v>
      </c>
      <c r="M45" s="1" t="s">
        <v>29</v>
      </c>
      <c r="N45" s="1" t="s">
        <v>23</v>
      </c>
      <c r="O45" s="1"/>
      <c r="P45" s="1"/>
      <c r="Q45" s="1"/>
      <c r="R45" s="36" t="s">
        <v>27</v>
      </c>
    </row>
    <row r="46" spans="1:23" x14ac:dyDescent="0.35">
      <c r="B46" s="28"/>
      <c r="C46" s="8" t="s">
        <v>60</v>
      </c>
      <c r="D46" s="18">
        <f>PRODUCT(C41*12, 100/(C40+C44))</f>
        <v>11.949215832710978</v>
      </c>
      <c r="E46" s="8"/>
      <c r="F46" s="8"/>
      <c r="G46" s="8"/>
      <c r="H46" s="8"/>
      <c r="I46" s="29"/>
      <c r="K46" s="1">
        <v>41</v>
      </c>
      <c r="L46" s="1">
        <v>375</v>
      </c>
      <c r="M46" s="1" t="s">
        <v>25</v>
      </c>
      <c r="N46" s="1" t="s">
        <v>24</v>
      </c>
      <c r="O46" s="1"/>
      <c r="P46" s="1" t="s">
        <v>26</v>
      </c>
      <c r="Q46" s="1" t="s">
        <v>30</v>
      </c>
      <c r="R46" s="1"/>
      <c r="V46">
        <v>375</v>
      </c>
      <c r="W46">
        <v>475</v>
      </c>
    </row>
    <row r="47" spans="1:23" x14ac:dyDescent="0.35">
      <c r="B47" s="34" t="s">
        <v>31</v>
      </c>
      <c r="C47" s="8"/>
      <c r="D47" s="8"/>
      <c r="E47" s="8"/>
      <c r="F47" s="8"/>
      <c r="G47" s="8">
        <v>41</v>
      </c>
      <c r="H47" s="8"/>
      <c r="I47" s="29"/>
      <c r="V47">
        <v>375</v>
      </c>
      <c r="W47">
        <v>475</v>
      </c>
    </row>
    <row r="48" spans="1:23" x14ac:dyDescent="0.35">
      <c r="B48" s="28" t="s">
        <v>58</v>
      </c>
      <c r="C48" s="22">
        <v>70000</v>
      </c>
      <c r="D48" s="8">
        <f>PRODUCT(C48, -1, 20, 1/100)</f>
        <v>-14000</v>
      </c>
      <c r="E48" s="8">
        <f>PRODUCT(C48, -1, 25, 1/100)</f>
        <v>-17500</v>
      </c>
      <c r="F48" s="8"/>
      <c r="G48" s="8"/>
      <c r="H48" s="8"/>
      <c r="I48" s="29"/>
      <c r="V48">
        <v>300</v>
      </c>
      <c r="W48">
        <v>400</v>
      </c>
    </row>
    <row r="49" spans="1:23" x14ac:dyDescent="0.35">
      <c r="B49" s="28" t="s">
        <v>57</v>
      </c>
      <c r="C49" s="11">
        <v>425</v>
      </c>
      <c r="D49" s="8">
        <f>ROUND(C48/14.084507/20,0)</f>
        <v>249</v>
      </c>
      <c r="E49" s="8">
        <f>ROUND(C48/12/25,0)</f>
        <v>233</v>
      </c>
      <c r="F49" s="8"/>
      <c r="G49" s="8"/>
      <c r="H49" s="8"/>
      <c r="I49" s="29"/>
      <c r="V49">
        <v>300</v>
      </c>
      <c r="W49">
        <v>400</v>
      </c>
    </row>
    <row r="50" spans="1:23" x14ac:dyDescent="0.35">
      <c r="B50" s="28" t="s">
        <v>4</v>
      </c>
      <c r="C50" s="8"/>
      <c r="D50" s="18">
        <f>SUM(C49,-D49)</f>
        <v>176</v>
      </c>
      <c r="E50" s="18">
        <f>SUM(C49,-E49)</f>
        <v>192</v>
      </c>
      <c r="F50" s="8"/>
      <c r="G50" s="8"/>
      <c r="H50" s="8"/>
      <c r="I50" s="35" t="s">
        <v>36</v>
      </c>
      <c r="K50">
        <v>27000</v>
      </c>
      <c r="R50">
        <v>1</v>
      </c>
      <c r="S50">
        <f>PRODUCT(V58, R50)</f>
        <v>9155.5555555555547</v>
      </c>
      <c r="V50">
        <f>SUM(V46:V49)</f>
        <v>1350</v>
      </c>
    </row>
    <row r="51" spans="1:23" x14ac:dyDescent="0.35">
      <c r="B51" s="28"/>
      <c r="C51" s="8"/>
      <c r="D51" s="8">
        <f>$D50*12</f>
        <v>2112</v>
      </c>
      <c r="E51" s="8">
        <f>$E50*12</f>
        <v>2304</v>
      </c>
      <c r="F51" s="8"/>
      <c r="G51" s="8"/>
      <c r="H51" s="8"/>
      <c r="I51" s="29"/>
      <c r="Q51" t="s">
        <v>80</v>
      </c>
      <c r="R51">
        <v>2</v>
      </c>
      <c r="S51">
        <f>PRODUCT(V58, R51)</f>
        <v>18311.111111111109</v>
      </c>
    </row>
    <row r="52" spans="1:23" x14ac:dyDescent="0.35">
      <c r="B52" s="28" t="s">
        <v>59</v>
      </c>
      <c r="C52" s="8">
        <f>SUM(MAX(MIN(125000, SUM(C48)), 0)*3%, MAX(MIN(125000, $C$3-125000), 0)*5%, MAX(MIN(675000, $C$3-250000), 0)*8%, MAX($C$3-1500000, 0)*18%)</f>
        <v>4350</v>
      </c>
      <c r="D52" s="8">
        <f>SUM(-D48,C52)</f>
        <v>18350</v>
      </c>
      <c r="E52" s="8">
        <f>SUM(-E48,C52)</f>
        <v>21850</v>
      </c>
      <c r="F52" s="8"/>
      <c r="G52" s="8"/>
      <c r="H52" s="8"/>
      <c r="I52" s="29"/>
      <c r="Q52" t="s">
        <v>81</v>
      </c>
      <c r="R52">
        <v>3</v>
      </c>
      <c r="S52">
        <f>PRODUCT(V58, R52)</f>
        <v>27466.666666666664</v>
      </c>
    </row>
    <row r="53" spans="1:23" x14ac:dyDescent="0.35">
      <c r="B53" s="28"/>
      <c r="C53" s="8" t="s">
        <v>5</v>
      </c>
      <c r="D53" s="18">
        <f>PRODUCT(D51, 100/D52)</f>
        <v>11.509536784741144</v>
      </c>
      <c r="E53" s="18">
        <f>PRODUCT(E51, 100/E52)</f>
        <v>10.54462242562929</v>
      </c>
      <c r="F53" s="8"/>
      <c r="G53" s="8"/>
      <c r="H53" s="8"/>
      <c r="I53" s="29"/>
      <c r="R53">
        <v>4</v>
      </c>
      <c r="S53">
        <f>PRODUCT(V58, R53)</f>
        <v>36622.222222222219</v>
      </c>
    </row>
    <row r="54" spans="1:23" ht="16" thickBot="1" x14ac:dyDescent="0.4">
      <c r="A54" s="1"/>
      <c r="B54" s="30"/>
      <c r="C54" s="31" t="s">
        <v>60</v>
      </c>
      <c r="D54" s="32">
        <f>PRODUCT(C49*12, 100/(C48+C52))</f>
        <v>6.8594485541358443</v>
      </c>
      <c r="E54" s="31"/>
      <c r="F54" s="31"/>
      <c r="G54" s="31"/>
      <c r="H54" s="31"/>
      <c r="I54" s="33"/>
    </row>
    <row r="55" spans="1:23" x14ac:dyDescent="0.35">
      <c r="K55">
        <v>6750</v>
      </c>
      <c r="L55">
        <v>2250</v>
      </c>
      <c r="V55">
        <v>70000</v>
      </c>
    </row>
    <row r="56" spans="1:23" x14ac:dyDescent="0.35">
      <c r="V56">
        <v>12400</v>
      </c>
    </row>
    <row r="57" spans="1:23" x14ac:dyDescent="0.35">
      <c r="V57">
        <f>SUM(V55:V56)</f>
        <v>82400</v>
      </c>
    </row>
    <row r="58" spans="1:23" x14ac:dyDescent="0.35">
      <c r="J58">
        <v>2017</v>
      </c>
      <c r="V58">
        <f>PRODUCT(V57, 1/9)</f>
        <v>9155.5555555555547</v>
      </c>
    </row>
    <row r="59" spans="1:23" ht="16" thickBot="1" x14ac:dyDescent="0.4">
      <c r="A59" s="23">
        <v>44169</v>
      </c>
    </row>
    <row r="60" spans="1:23" x14ac:dyDescent="0.35">
      <c r="A60" s="37">
        <v>3</v>
      </c>
      <c r="B60" s="25" t="s">
        <v>39</v>
      </c>
      <c r="C60" s="26"/>
      <c r="D60" s="26"/>
      <c r="E60" s="26"/>
      <c r="F60" s="26"/>
      <c r="G60" s="26"/>
      <c r="H60" s="26"/>
      <c r="I60" s="27" t="s">
        <v>42</v>
      </c>
      <c r="K60" s="1" t="s">
        <v>68</v>
      </c>
      <c r="N60" s="36" t="s">
        <v>52</v>
      </c>
      <c r="O60" s="1" t="s">
        <v>32</v>
      </c>
      <c r="S60" s="1" t="s">
        <v>32</v>
      </c>
    </row>
    <row r="61" spans="1:23" x14ac:dyDescent="0.35">
      <c r="B61" s="28" t="s">
        <v>58</v>
      </c>
      <c r="C61" s="22">
        <v>150000</v>
      </c>
      <c r="D61" s="8">
        <f>PRODUCT(C61, -1, 20, 1/100)</f>
        <v>-30000</v>
      </c>
      <c r="E61" s="8">
        <f>PRODUCT(C61, -1, 25, 1/100)</f>
        <v>-37500</v>
      </c>
      <c r="F61" s="8"/>
      <c r="G61" s="8"/>
      <c r="H61" s="8"/>
      <c r="I61" s="29"/>
      <c r="K61" s="1" t="s">
        <v>46</v>
      </c>
      <c r="S61" t="s">
        <v>73</v>
      </c>
    </row>
    <row r="62" spans="1:23" x14ac:dyDescent="0.35">
      <c r="B62" s="28" t="s">
        <v>65</v>
      </c>
      <c r="C62" s="11">
        <v>2000</v>
      </c>
      <c r="D62" s="8">
        <f>ROUND(C61/14.084507/20,0)</f>
        <v>533</v>
      </c>
      <c r="E62" s="8">
        <f>ROUND(C61/12/25,0)</f>
        <v>500</v>
      </c>
      <c r="F62" s="8"/>
      <c r="G62" s="8"/>
      <c r="H62" s="8"/>
      <c r="I62" s="29"/>
      <c r="K62" s="1" t="s">
        <v>55</v>
      </c>
      <c r="P62" t="s">
        <v>69</v>
      </c>
      <c r="S62" t="s">
        <v>74</v>
      </c>
    </row>
    <row r="63" spans="1:23" x14ac:dyDescent="0.35">
      <c r="B63" s="28" t="s">
        <v>4</v>
      </c>
      <c r="C63" s="8"/>
      <c r="D63" s="8">
        <f>SUM(C62,-D62)</f>
        <v>1467</v>
      </c>
      <c r="E63" s="8">
        <f>SUM(C62,-E62)</f>
        <v>1500</v>
      </c>
      <c r="F63" s="8"/>
      <c r="G63" s="8"/>
      <c r="H63" s="8"/>
      <c r="I63" s="29"/>
      <c r="P63" t="s">
        <v>70</v>
      </c>
      <c r="S63" t="s">
        <v>75</v>
      </c>
    </row>
    <row r="64" spans="1:23" x14ac:dyDescent="0.35">
      <c r="B64" s="28"/>
      <c r="C64" s="8"/>
      <c r="D64" s="8">
        <f>$D63*12</f>
        <v>17604</v>
      </c>
      <c r="E64" s="8">
        <f>$E63*12</f>
        <v>18000</v>
      </c>
      <c r="F64" s="8"/>
      <c r="G64" s="8"/>
      <c r="H64" s="8"/>
      <c r="I64" s="29"/>
      <c r="L64" s="4">
        <v>13.65</v>
      </c>
      <c r="M64" s="4">
        <v>11.21</v>
      </c>
      <c r="P64" t="s">
        <v>71</v>
      </c>
      <c r="S64" t="s">
        <v>76</v>
      </c>
    </row>
    <row r="65" spans="1:24" x14ac:dyDescent="0.35">
      <c r="B65" s="28" t="s">
        <v>59</v>
      </c>
      <c r="C65" s="42">
        <v>0</v>
      </c>
      <c r="D65" s="8">
        <f>SUM(-D61,C65)</f>
        <v>30000</v>
      </c>
      <c r="E65" s="8">
        <f>SUM(-E61,C65)</f>
        <v>37500</v>
      </c>
      <c r="F65" s="8"/>
      <c r="G65" s="8"/>
      <c r="H65" s="8"/>
      <c r="I65" s="29"/>
      <c r="P65" t="s">
        <v>72</v>
      </c>
      <c r="S65" t="s">
        <v>77</v>
      </c>
    </row>
    <row r="66" spans="1:24" x14ac:dyDescent="0.35">
      <c r="B66" s="28"/>
      <c r="C66" s="8" t="s">
        <v>5</v>
      </c>
      <c r="D66" s="18">
        <f>PRODUCT(D64, 100/D65)</f>
        <v>58.680000000000007</v>
      </c>
      <c r="E66" s="18">
        <f>PRODUCT(E64, 100/E65)</f>
        <v>48</v>
      </c>
      <c r="F66" s="8"/>
      <c r="G66" s="8"/>
      <c r="H66" s="8"/>
      <c r="I66" s="29"/>
    </row>
    <row r="67" spans="1:24" ht="16" thickBot="1" x14ac:dyDescent="0.4">
      <c r="B67" s="30"/>
      <c r="C67" s="31" t="s">
        <v>60</v>
      </c>
      <c r="D67" s="32">
        <f>PRODUCT(C62*12, 100/(C61+C65))</f>
        <v>16</v>
      </c>
      <c r="E67" s="31"/>
      <c r="F67" s="31"/>
      <c r="G67" s="31"/>
      <c r="H67" s="31"/>
      <c r="I67" s="33"/>
    </row>
    <row r="68" spans="1:24" ht="16" thickBot="1" x14ac:dyDescent="0.4"/>
    <row r="69" spans="1:24" x14ac:dyDescent="0.35">
      <c r="B69" s="25" t="s">
        <v>41</v>
      </c>
      <c r="C69" s="26"/>
      <c r="D69" s="26"/>
      <c r="E69" s="26"/>
      <c r="F69" s="26"/>
      <c r="G69" s="26"/>
      <c r="H69" s="26"/>
      <c r="I69" s="27"/>
      <c r="K69" t="s">
        <v>47</v>
      </c>
      <c r="L69" t="s">
        <v>48</v>
      </c>
      <c r="M69" t="s">
        <v>49</v>
      </c>
      <c r="P69" s="36" t="s">
        <v>51</v>
      </c>
      <c r="Q69" t="s">
        <v>61</v>
      </c>
    </row>
    <row r="70" spans="1:24" x14ac:dyDescent="0.35">
      <c r="A70" s="39">
        <v>1</v>
      </c>
      <c r="B70" s="28" t="s">
        <v>58</v>
      </c>
      <c r="C70" s="22">
        <v>155000</v>
      </c>
      <c r="D70" s="8">
        <f>PRODUCT(C70, -1, 20, 1/100)</f>
        <v>-31000</v>
      </c>
      <c r="E70" s="8">
        <f>PRODUCT(C70, -1, 25, 1/100)</f>
        <v>-38750</v>
      </c>
      <c r="F70" s="8"/>
      <c r="G70" s="18" t="s">
        <v>63</v>
      </c>
      <c r="H70" s="8"/>
      <c r="I70" s="29"/>
      <c r="Q70" t="s">
        <v>46</v>
      </c>
    </row>
    <row r="71" spans="1:24" x14ac:dyDescent="0.35">
      <c r="B71" s="28" t="s">
        <v>64</v>
      </c>
      <c r="C71" s="11">
        <v>2400</v>
      </c>
      <c r="D71" s="8">
        <f>ROUND(C70/14.084507/20,0)</f>
        <v>550</v>
      </c>
      <c r="E71" s="8">
        <f>ROUND(C70/12/25,0)</f>
        <v>517</v>
      </c>
      <c r="F71" s="8"/>
      <c r="G71" s="18" t="s">
        <v>43</v>
      </c>
      <c r="H71" s="8"/>
      <c r="I71" s="29"/>
    </row>
    <row r="72" spans="1:24" x14ac:dyDescent="0.35">
      <c r="B72" s="28" t="s">
        <v>4</v>
      </c>
      <c r="C72" s="8"/>
      <c r="D72" s="8">
        <f>SUM(C71,-D71)</f>
        <v>1850</v>
      </c>
      <c r="E72" s="8">
        <f>SUM(C71,-E71)</f>
        <v>1883</v>
      </c>
      <c r="F72" s="8"/>
      <c r="G72" s="18" t="s">
        <v>53</v>
      </c>
      <c r="H72" s="8"/>
      <c r="I72" s="29"/>
      <c r="L72" s="20">
        <v>11.87</v>
      </c>
      <c r="M72" s="20">
        <v>9.6999999999999993</v>
      </c>
    </row>
    <row r="73" spans="1:24" x14ac:dyDescent="0.35">
      <c r="B73" s="28"/>
      <c r="C73" s="8"/>
      <c r="D73" s="8">
        <f>$D72*12</f>
        <v>22200</v>
      </c>
      <c r="E73" s="8">
        <f>$E72*12</f>
        <v>22596</v>
      </c>
      <c r="F73" s="8"/>
      <c r="G73" s="18" t="s">
        <v>54</v>
      </c>
      <c r="H73" s="8"/>
      <c r="I73" s="29"/>
    </row>
    <row r="74" spans="1:24" x14ac:dyDescent="0.35">
      <c r="B74" s="28" t="s">
        <v>59</v>
      </c>
      <c r="C74" s="8">
        <f>SUM(MAX(MIN(125000, SUM(C70)), 0)*3%, MAX(MIN(125000, $C$3-125000), 0)*5%, MAX(MIN(675000, $C$3-250000), 0)*8%, MAX($C$3-1500000, 0)*18%)</f>
        <v>6000</v>
      </c>
      <c r="D74" s="8">
        <f>SUM(-D70,C74)</f>
        <v>37000</v>
      </c>
      <c r="E74" s="8">
        <f>SUM(-E70,C74)</f>
        <v>44750</v>
      </c>
      <c r="F74" s="8"/>
      <c r="G74" s="18" t="s">
        <v>56</v>
      </c>
      <c r="H74" s="8"/>
      <c r="I74" s="29"/>
      <c r="Q74" t="s">
        <v>50</v>
      </c>
    </row>
    <row r="75" spans="1:24" x14ac:dyDescent="0.35">
      <c r="B75" s="28"/>
      <c r="C75" s="8" t="s">
        <v>5</v>
      </c>
      <c r="D75" s="18">
        <f>PRODUCT(D73, 100/D74)</f>
        <v>60</v>
      </c>
      <c r="E75" s="18">
        <f>PRODUCT(E73, 100/E74)</f>
        <v>50.493854748603347</v>
      </c>
      <c r="F75" s="8"/>
      <c r="G75" s="8"/>
      <c r="H75" s="8"/>
      <c r="I75" s="29"/>
    </row>
    <row r="76" spans="1:24" ht="16" thickBot="1" x14ac:dyDescent="0.4">
      <c r="B76" s="30"/>
      <c r="C76" s="31" t="s">
        <v>60</v>
      </c>
      <c r="D76" s="32">
        <f>PRODUCT(C71*12, 100/(C70+C74))</f>
        <v>17.888198757763977</v>
      </c>
      <c r="E76" s="31"/>
      <c r="F76" s="31"/>
      <c r="G76" s="8" t="s">
        <v>45</v>
      </c>
      <c r="H76" s="8"/>
      <c r="I76" s="33"/>
      <c r="U76">
        <v>280000</v>
      </c>
    </row>
    <row r="77" spans="1:24" x14ac:dyDescent="0.35">
      <c r="B77" s="5" t="s">
        <v>40</v>
      </c>
      <c r="I77" s="8"/>
      <c r="K77">
        <v>120000</v>
      </c>
      <c r="U77">
        <v>-250000</v>
      </c>
      <c r="V77">
        <f>SUM(U76:U77)</f>
        <v>30000</v>
      </c>
      <c r="W77" s="43">
        <v>0.05</v>
      </c>
      <c r="X77">
        <f>PRODUCT(V77,W77)</f>
        <v>1500</v>
      </c>
    </row>
    <row r="78" spans="1:24" ht="21" x14ac:dyDescent="0.5">
      <c r="B78" t="s">
        <v>58</v>
      </c>
      <c r="C78" s="20">
        <v>155000</v>
      </c>
      <c r="D78">
        <f>PRODUCT(C78, -1, 20, 1/100)</f>
        <v>-31000</v>
      </c>
      <c r="E78">
        <f>PRODUCT(C78, -1, 25, 1/100)</f>
        <v>-38750</v>
      </c>
      <c r="N78" s="45" t="s">
        <v>82</v>
      </c>
      <c r="U78">
        <v>150000</v>
      </c>
      <c r="V78">
        <f>SUM(-U77,-U78)</f>
        <v>100000</v>
      </c>
      <c r="W78" s="44">
        <v>0.02</v>
      </c>
      <c r="X78">
        <f>PRODUCT(V78,W78)</f>
        <v>2000</v>
      </c>
    </row>
    <row r="79" spans="1:24" x14ac:dyDescent="0.35">
      <c r="B79" t="s">
        <v>57</v>
      </c>
      <c r="C79" s="21">
        <v>910</v>
      </c>
      <c r="J79" s="1" t="s">
        <v>57</v>
      </c>
      <c r="K79" s="1" t="s">
        <v>89</v>
      </c>
      <c r="N79" s="28" t="s">
        <v>58</v>
      </c>
      <c r="O79" s="22">
        <v>275000</v>
      </c>
      <c r="P79" s="8">
        <v>-86000</v>
      </c>
      <c r="Q79" s="8">
        <v>-125000</v>
      </c>
      <c r="R79" s="8"/>
      <c r="X79" s="1">
        <f>SUM(X77:X78)</f>
        <v>3500</v>
      </c>
    </row>
    <row r="80" spans="1:24" x14ac:dyDescent="0.35">
      <c r="B80" t="s">
        <v>4</v>
      </c>
      <c r="C80">
        <v>551</v>
      </c>
      <c r="J80">
        <v>2000</v>
      </c>
      <c r="K80">
        <v>3500</v>
      </c>
      <c r="N80" s="28" t="s">
        <v>65</v>
      </c>
      <c r="O80" s="11">
        <v>2000</v>
      </c>
      <c r="P80" s="8">
        <v>1330</v>
      </c>
      <c r="Q80" s="8">
        <v>1059</v>
      </c>
      <c r="R80" s="8"/>
    </row>
    <row r="81" spans="2:18" x14ac:dyDescent="0.35">
      <c r="C81">
        <f>SUM(C79, -C80)</f>
        <v>359</v>
      </c>
      <c r="D81">
        <f>$C81*12</f>
        <v>4308</v>
      </c>
      <c r="E81">
        <f>$C81*12</f>
        <v>4308</v>
      </c>
      <c r="I81" s="1" t="s">
        <v>88</v>
      </c>
      <c r="N81" s="28" t="s">
        <v>4</v>
      </c>
      <c r="O81" s="8"/>
      <c r="P81" s="8">
        <f>SUM(O80,-P80)</f>
        <v>670</v>
      </c>
      <c r="Q81" s="8">
        <f>SUM(O80,-Q80)</f>
        <v>941</v>
      </c>
      <c r="R81" s="8"/>
    </row>
    <row r="82" spans="2:18" x14ac:dyDescent="0.35">
      <c r="B82" t="s">
        <v>59</v>
      </c>
      <c r="C82">
        <f>SUM(MAX(MIN(125000, $C$78), 0)*3%, MAX(MIN(125000, $C$78-125000), 0)*5%, MAX(MIN(675000, $C$78-250000), 0)*8%, MAX($C$78-1500000, 0)*18%)</f>
        <v>5250</v>
      </c>
      <c r="D82">
        <f>SUM(-D78,C82)</f>
        <v>36250</v>
      </c>
      <c r="E82">
        <f>SUM(-E78,C82)</f>
        <v>44000</v>
      </c>
      <c r="G82" t="s">
        <v>44</v>
      </c>
      <c r="I82" t="s">
        <v>58</v>
      </c>
      <c r="J82">
        <v>275000</v>
      </c>
      <c r="K82" s="8">
        <v>86000</v>
      </c>
      <c r="L82" s="8">
        <v>125000</v>
      </c>
      <c r="M82" s="8"/>
      <c r="N82" s="28"/>
      <c r="O82" s="8"/>
      <c r="P82" s="8">
        <f>$P81*12</f>
        <v>8040</v>
      </c>
      <c r="Q82" s="8">
        <f>$Q81*12</f>
        <v>11292</v>
      </c>
      <c r="R82" s="8"/>
    </row>
    <row r="83" spans="2:18" x14ac:dyDescent="0.35">
      <c r="C83" t="s">
        <v>5</v>
      </c>
      <c r="D83" s="1">
        <f>PRODUCT(D81, 100/D82)</f>
        <v>11.884137931034482</v>
      </c>
      <c r="E83" s="1">
        <f>PRODUCT(E81, 100/E82)</f>
        <v>9.790909090909091</v>
      </c>
      <c r="G83" s="8"/>
      <c r="H83" s="8"/>
      <c r="I83" t="s">
        <v>4</v>
      </c>
      <c r="K83">
        <v>-1330</v>
      </c>
      <c r="L83">
        <v>-1059</v>
      </c>
      <c r="N83" s="28" t="s">
        <v>59</v>
      </c>
      <c r="O83" s="42">
        <f>SUM(X79)</f>
        <v>3500</v>
      </c>
      <c r="P83" s="8">
        <f>SUM(-P79,O83)</f>
        <v>89500</v>
      </c>
      <c r="Q83" s="8">
        <f>SUM(-Q79,O83)</f>
        <v>128500</v>
      </c>
      <c r="R83" s="8"/>
    </row>
    <row r="84" spans="2:18" x14ac:dyDescent="0.35">
      <c r="C84" t="s">
        <v>60</v>
      </c>
      <c r="D84" s="1">
        <f>PRODUCT(C79*12, 100/C78)</f>
        <v>7.0451612903225804</v>
      </c>
      <c r="I84" t="s">
        <v>90</v>
      </c>
      <c r="K84">
        <f>SUM(J80,K83)</f>
        <v>670</v>
      </c>
      <c r="L84">
        <f>SUM(J80,L83)</f>
        <v>941</v>
      </c>
      <c r="N84" s="28"/>
      <c r="O84" s="8" t="s">
        <v>5</v>
      </c>
      <c r="P84" s="18">
        <f>PRODUCT(P82, 100/P83)</f>
        <v>8.983240223463687</v>
      </c>
      <c r="Q84" s="18">
        <f>PRODUCT(Q82, 100/Q83)</f>
        <v>8.7875486381322965</v>
      </c>
      <c r="R84" s="8"/>
    </row>
    <row r="85" spans="2:18" ht="16" thickBot="1" x14ac:dyDescent="0.4">
      <c r="I85" t="s">
        <v>91</v>
      </c>
      <c r="J85" s="16"/>
      <c r="K85">
        <f>SUM(K80,K82)</f>
        <v>89500</v>
      </c>
      <c r="L85">
        <f>SUM(K80,L82)</f>
        <v>128500</v>
      </c>
      <c r="N85" s="30"/>
      <c r="O85" s="31" t="s">
        <v>60</v>
      </c>
      <c r="P85" s="32">
        <f>PRODUCT(O80*12, 100/O79)</f>
        <v>8.7272727272727266</v>
      </c>
      <c r="Q85" s="31"/>
      <c r="R85" s="31"/>
    </row>
    <row r="86" spans="2:18" x14ac:dyDescent="0.35">
      <c r="I86" t="s">
        <v>92</v>
      </c>
      <c r="K86">
        <f>PRODUCT(K84, 12, 100, 1/K85)</f>
        <v>8.983240223463687</v>
      </c>
      <c r="L86">
        <f>PRODUCT(L84, 12, 100, 1/L85)</f>
        <v>8.7875486381322947</v>
      </c>
    </row>
    <row r="87" spans="2:18" ht="16" thickBot="1" x14ac:dyDescent="0.4">
      <c r="I87" t="s">
        <v>60</v>
      </c>
      <c r="K87">
        <f>PRODUCT(J80, 12, 100/J82)</f>
        <v>8.7272727272727266</v>
      </c>
    </row>
    <row r="88" spans="2:18" x14ac:dyDescent="0.35">
      <c r="N88" s="40" t="s">
        <v>58</v>
      </c>
      <c r="O88" s="41">
        <v>230000</v>
      </c>
      <c r="P88" s="26">
        <f>PRODUCT(O88, -1, 20, 1/100)</f>
        <v>-46000</v>
      </c>
      <c r="Q88" s="27">
        <f>PRODUCT(O88, -1, 25, 1/100)</f>
        <v>-57500</v>
      </c>
    </row>
    <row r="89" spans="2:18" x14ac:dyDescent="0.35">
      <c r="N89" s="28" t="s">
        <v>66</v>
      </c>
      <c r="O89" s="11">
        <v>875</v>
      </c>
      <c r="P89" s="8">
        <f>ROUND(O88/14.084507/20,0)</f>
        <v>817</v>
      </c>
      <c r="Q89" s="29">
        <f>ROUND(O88/12/25,0)</f>
        <v>767</v>
      </c>
    </row>
    <row r="90" spans="2:18" x14ac:dyDescent="0.35">
      <c r="G90" t="s">
        <v>78</v>
      </c>
      <c r="N90" s="28" t="s">
        <v>4</v>
      </c>
      <c r="O90" s="8"/>
      <c r="P90" s="8">
        <f>SUM(O89,-P89)</f>
        <v>58</v>
      </c>
      <c r="Q90" s="29">
        <f>SUM(O89,-Q89)</f>
        <v>108</v>
      </c>
    </row>
    <row r="91" spans="2:18" x14ac:dyDescent="0.35">
      <c r="G91" t="s">
        <v>79</v>
      </c>
      <c r="M91" s="16"/>
      <c r="N91" s="28"/>
      <c r="O91" s="8"/>
      <c r="P91" s="8">
        <f>$P90*12</f>
        <v>696</v>
      </c>
      <c r="Q91" s="29">
        <f>$Q90*12</f>
        <v>1296</v>
      </c>
      <c r="R91" s="16"/>
    </row>
    <row r="92" spans="2:18" x14ac:dyDescent="0.35">
      <c r="G92" s="2">
        <v>235000</v>
      </c>
      <c r="H92" s="2">
        <v>225000</v>
      </c>
      <c r="M92" s="16"/>
      <c r="N92" s="28" t="s">
        <v>59</v>
      </c>
      <c r="O92" s="8">
        <f>SUM(MAX(MIN(125000, $O$88), 0)*3%, MAX(MIN(125000,$O$88-125000), 0)*5%, MAX(MIN(675000, $O$88-250000), 0)*8%, MAX($O$88-1500000, 0)*18%)</f>
        <v>9000</v>
      </c>
      <c r="P92" s="8">
        <f>SUM(-P88,O92)</f>
        <v>55000</v>
      </c>
      <c r="Q92" s="29">
        <f>SUM(-Q88,O92)</f>
        <v>66500</v>
      </c>
      <c r="R92" s="16"/>
    </row>
    <row r="93" spans="2:18" x14ac:dyDescent="0.35">
      <c r="M93" s="16"/>
      <c r="N93" s="28"/>
      <c r="O93" s="8" t="s">
        <v>5</v>
      </c>
      <c r="P93" s="18">
        <f>PRODUCT(P91, 100/P92)</f>
        <v>1.2654545454545454</v>
      </c>
      <c r="Q93" s="35">
        <f>PRODUCT(Q91, 100/Q92)</f>
        <v>1.948872180451128</v>
      </c>
      <c r="R93" s="16"/>
    </row>
    <row r="94" spans="2:18" ht="16" thickBot="1" x14ac:dyDescent="0.4">
      <c r="M94" s="16"/>
      <c r="N94" s="30"/>
      <c r="O94" s="31" t="s">
        <v>60</v>
      </c>
      <c r="P94" s="32">
        <f>PRODUCT(O89*12, 100/O88)</f>
        <v>4.5652173913043477</v>
      </c>
      <c r="Q94" s="33"/>
      <c r="R94" s="16"/>
    </row>
    <row r="95" spans="2:18" x14ac:dyDescent="0.35">
      <c r="M95" s="16"/>
      <c r="N95" s="16"/>
      <c r="O95" s="16"/>
      <c r="P95" s="16"/>
      <c r="Q95" s="16"/>
      <c r="R95" s="16"/>
    </row>
    <row r="96" spans="2:18" x14ac:dyDescent="0.35">
      <c r="M96" s="16"/>
      <c r="N96" s="16"/>
      <c r="O96" s="16"/>
      <c r="P96" s="16"/>
      <c r="Q96" s="16"/>
      <c r="R96" s="16"/>
    </row>
    <row r="97" spans="1:21" x14ac:dyDescent="0.35">
      <c r="M97" s="16"/>
      <c r="N97" s="16"/>
      <c r="O97" s="16"/>
      <c r="P97" s="16"/>
      <c r="Q97" s="16"/>
      <c r="R97" s="16"/>
    </row>
    <row r="100" spans="1:21" x14ac:dyDescent="0.35">
      <c r="M100" s="16"/>
      <c r="N100" s="16"/>
      <c r="O100" s="16"/>
      <c r="P100" s="16"/>
      <c r="Q100" s="16"/>
      <c r="R100" s="16"/>
    </row>
    <row r="101" spans="1:21" x14ac:dyDescent="0.35">
      <c r="U101" s="1"/>
    </row>
    <row r="105" spans="1:21" x14ac:dyDescent="0.35">
      <c r="A105" s="16"/>
      <c r="S105" s="16"/>
    </row>
    <row r="106" spans="1:21" x14ac:dyDescent="0.35">
      <c r="A106" s="16"/>
      <c r="S106" s="16"/>
    </row>
    <row r="107" spans="1:21" x14ac:dyDescent="0.35">
      <c r="A107" s="16"/>
      <c r="S107" s="16"/>
    </row>
    <row r="108" spans="1:21" x14ac:dyDescent="0.35">
      <c r="S108" s="16"/>
    </row>
    <row r="109" spans="1:21" x14ac:dyDescent="0.35">
      <c r="S109" s="16"/>
    </row>
    <row r="110" spans="1:21" x14ac:dyDescent="0.35">
      <c r="A110" s="16"/>
      <c r="S110" s="16"/>
    </row>
    <row r="111" spans="1:21" x14ac:dyDescent="0.35">
      <c r="S111" s="16"/>
    </row>
    <row r="112" spans="1:21" s="16" customForma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s="16" customForma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s="16" customForma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9" s="16" customForma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s="16" customForma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16" customForma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s="16" customForma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21" spans="1:19" s="16" customForma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</sheetData>
  <hyperlinks>
    <hyperlink ref="B2" r:id="rId1" xr:uid="{00000000-0004-0000-0100-000000000000}"/>
    <hyperlink ref="B10" r:id="rId2" xr:uid="{00000000-0004-0000-0100-000001000000}"/>
    <hyperlink ref="B19" r:id="rId3" xr:uid="{00000000-0004-0000-0100-000002000000}"/>
    <hyperlink ref="B28" r:id="rId4" xr:uid="{00000000-0004-0000-0100-000003000000}"/>
    <hyperlink ref="B37" r:id="rId5" xr:uid="{00000000-0004-0000-0100-000004000000}"/>
    <hyperlink ref="B39" r:id="rId6" xr:uid="{00000000-0004-0000-0100-000005000000}"/>
    <hyperlink ref="B60" r:id="rId7" xr:uid="{00000000-0004-0000-0100-000006000000}"/>
    <hyperlink ref="B69" r:id="rId8" xr:uid="{00000000-0004-0000-0100-000007000000}"/>
    <hyperlink ref="B77" r:id="rId9" xr:uid="{00000000-0004-0000-0100-000008000000}"/>
    <hyperlink ref="B47" r:id="rId10" xr:uid="{00000000-0004-0000-0100-000009000000}"/>
  </hyperlinks>
  <pageMargins left="0.7" right="0.7" top="0.75" bottom="0.75" header="0.3" footer="0.3"/>
  <pageSetup paperSize="9" orientation="portrait" r:id="rId1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138"/>
  <sheetViews>
    <sheetView topLeftCell="A107" workbookViewId="0">
      <selection activeCell="B127" sqref="B127"/>
    </sheetView>
  </sheetViews>
  <sheetFormatPr defaultColWidth="10.6640625" defaultRowHeight="15.5" x14ac:dyDescent="0.35"/>
  <cols>
    <col min="6" max="6" width="13.5" bestFit="1" customWidth="1"/>
    <col min="13" max="13" width="7.1640625" customWidth="1"/>
    <col min="14" max="14" width="20.33203125" customWidth="1"/>
    <col min="15" max="15" width="17" customWidth="1"/>
  </cols>
  <sheetData>
    <row r="3" spans="4:17" x14ac:dyDescent="0.35">
      <c r="K3" s="1">
        <f>SUM(K4:K42)</f>
        <v>1052.7</v>
      </c>
    </row>
    <row r="4" spans="4:17" x14ac:dyDescent="0.35">
      <c r="E4" t="s">
        <v>98</v>
      </c>
      <c r="K4">
        <v>137</v>
      </c>
    </row>
    <row r="5" spans="4:17" x14ac:dyDescent="0.35">
      <c r="D5">
        <v>1</v>
      </c>
      <c r="E5" s="47">
        <v>43861</v>
      </c>
      <c r="F5">
        <v>2400</v>
      </c>
      <c r="G5">
        <v>480</v>
      </c>
      <c r="H5" s="4">
        <f t="shared" ref="H5:H17" si="0">SUM(F5:G5)</f>
        <v>2880</v>
      </c>
      <c r="I5" s="47">
        <v>43882</v>
      </c>
      <c r="K5">
        <v>4.7</v>
      </c>
    </row>
    <row r="6" spans="4:17" ht="24" x14ac:dyDescent="0.5">
      <c r="D6">
        <v>2</v>
      </c>
      <c r="E6" s="47">
        <v>43867</v>
      </c>
      <c r="F6">
        <v>2400</v>
      </c>
      <c r="G6">
        <v>480</v>
      </c>
      <c r="H6" s="4">
        <f t="shared" si="0"/>
        <v>2880</v>
      </c>
      <c r="I6" s="47">
        <v>43882</v>
      </c>
      <c r="K6">
        <v>4.7</v>
      </c>
      <c r="N6" s="50" t="s">
        <v>83</v>
      </c>
      <c r="O6" s="50" t="s">
        <v>84</v>
      </c>
      <c r="P6" s="50" t="s">
        <v>85</v>
      </c>
      <c r="Q6" s="50" t="s">
        <v>86</v>
      </c>
    </row>
    <row r="7" spans="4:17" ht="24" x14ac:dyDescent="0.5">
      <c r="D7">
        <v>3</v>
      </c>
      <c r="E7" s="47">
        <v>43874</v>
      </c>
      <c r="F7">
        <v>2400</v>
      </c>
      <c r="G7">
        <v>480</v>
      </c>
      <c r="H7" s="4">
        <f t="shared" si="0"/>
        <v>2880</v>
      </c>
      <c r="I7" s="47">
        <v>43889</v>
      </c>
      <c r="K7">
        <v>48.99</v>
      </c>
      <c r="N7" s="50" t="s">
        <v>87</v>
      </c>
      <c r="O7" s="51">
        <v>12937.74</v>
      </c>
      <c r="P7" s="50">
        <v>294.2</v>
      </c>
      <c r="Q7" s="50">
        <v>603.44000000000005</v>
      </c>
    </row>
    <row r="8" spans="4:17" ht="24" x14ac:dyDescent="0.5">
      <c r="D8">
        <v>4</v>
      </c>
      <c r="E8" s="47">
        <v>43881</v>
      </c>
      <c r="F8">
        <v>2400</v>
      </c>
      <c r="G8">
        <v>480</v>
      </c>
      <c r="H8" s="4">
        <f t="shared" si="0"/>
        <v>2880</v>
      </c>
      <c r="I8" s="47">
        <v>43896</v>
      </c>
      <c r="K8">
        <v>4</v>
      </c>
      <c r="N8" s="52">
        <v>43585</v>
      </c>
      <c r="O8" s="53">
        <v>1068.3800000000001</v>
      </c>
      <c r="P8" s="54">
        <v>5</v>
      </c>
      <c r="Q8" s="54">
        <v>41.92</v>
      </c>
    </row>
    <row r="9" spans="4:17" ht="24" x14ac:dyDescent="0.5">
      <c r="D9">
        <v>5</v>
      </c>
      <c r="E9" s="47">
        <v>43888</v>
      </c>
      <c r="F9">
        <v>2400</v>
      </c>
      <c r="G9">
        <v>480</v>
      </c>
      <c r="H9" s="4">
        <f t="shared" si="0"/>
        <v>2880</v>
      </c>
      <c r="I9" s="47">
        <v>43903</v>
      </c>
      <c r="K9">
        <v>4.7</v>
      </c>
      <c r="N9" s="52">
        <v>43616</v>
      </c>
      <c r="O9" s="53">
        <v>1132.97</v>
      </c>
      <c r="P9" s="54">
        <v>18.2</v>
      </c>
      <c r="Q9" s="54">
        <v>49.68</v>
      </c>
    </row>
    <row r="10" spans="4:17" ht="24" x14ac:dyDescent="0.5">
      <c r="D10">
        <v>6</v>
      </c>
      <c r="E10" s="47">
        <v>43895</v>
      </c>
      <c r="F10">
        <v>2400</v>
      </c>
      <c r="G10">
        <v>480</v>
      </c>
      <c r="H10" s="135">
        <f t="shared" si="0"/>
        <v>2880</v>
      </c>
      <c r="I10" s="47">
        <v>43910</v>
      </c>
      <c r="K10">
        <v>4</v>
      </c>
      <c r="N10" s="52">
        <v>43651</v>
      </c>
      <c r="O10" s="53">
        <v>1441.43</v>
      </c>
      <c r="P10" s="54">
        <v>79.8</v>
      </c>
      <c r="Q10" s="54">
        <v>86.69</v>
      </c>
    </row>
    <row r="11" spans="4:17" ht="24" x14ac:dyDescent="0.5">
      <c r="D11">
        <v>7</v>
      </c>
      <c r="E11" s="47">
        <v>43902</v>
      </c>
      <c r="F11">
        <v>2400</v>
      </c>
      <c r="G11">
        <v>480</v>
      </c>
      <c r="H11" s="4">
        <f t="shared" si="0"/>
        <v>2880</v>
      </c>
      <c r="I11" s="47">
        <v>43917</v>
      </c>
      <c r="K11">
        <v>4.7</v>
      </c>
      <c r="N11" s="52">
        <v>43682</v>
      </c>
      <c r="O11" s="53">
        <v>1453.5</v>
      </c>
      <c r="P11" s="54">
        <v>82.2</v>
      </c>
      <c r="Q11" s="54">
        <v>88.14</v>
      </c>
    </row>
    <row r="12" spans="4:17" ht="24" x14ac:dyDescent="0.5">
      <c r="D12">
        <v>8</v>
      </c>
      <c r="E12" s="47">
        <v>43909</v>
      </c>
      <c r="F12">
        <v>2400</v>
      </c>
      <c r="G12">
        <v>480</v>
      </c>
      <c r="H12" s="4">
        <f t="shared" si="0"/>
        <v>2880</v>
      </c>
      <c r="I12" s="47">
        <v>43924</v>
      </c>
      <c r="K12">
        <v>50.2</v>
      </c>
      <c r="N12" s="52">
        <v>43713</v>
      </c>
      <c r="O12" s="53">
        <v>1453.5</v>
      </c>
      <c r="P12" s="54">
        <v>82.2</v>
      </c>
      <c r="Q12" s="54">
        <v>88.14</v>
      </c>
    </row>
    <row r="13" spans="4:17" ht="24" x14ac:dyDescent="0.5">
      <c r="D13">
        <v>9</v>
      </c>
      <c r="E13" s="47">
        <v>43917</v>
      </c>
      <c r="F13">
        <v>2400</v>
      </c>
      <c r="G13">
        <v>480</v>
      </c>
      <c r="H13" s="4">
        <f t="shared" si="0"/>
        <v>2880</v>
      </c>
      <c r="I13" s="47">
        <v>43930</v>
      </c>
      <c r="K13">
        <v>5.6</v>
      </c>
      <c r="N13" s="52">
        <v>43743</v>
      </c>
      <c r="O13" s="53">
        <v>1052.81</v>
      </c>
      <c r="P13" s="54">
        <v>2.2000000000000002</v>
      </c>
      <c r="Q13" s="54">
        <v>40.06</v>
      </c>
    </row>
    <row r="14" spans="4:17" ht="24" x14ac:dyDescent="0.5">
      <c r="D14">
        <v>10</v>
      </c>
      <c r="E14" s="47">
        <v>43924</v>
      </c>
      <c r="F14">
        <v>2400</v>
      </c>
      <c r="G14">
        <v>480</v>
      </c>
      <c r="H14" s="4">
        <f t="shared" si="0"/>
        <v>2880</v>
      </c>
      <c r="I14" s="47">
        <v>43938</v>
      </c>
      <c r="K14">
        <v>137</v>
      </c>
      <c r="N14" s="52">
        <v>43743</v>
      </c>
      <c r="O14" s="53">
        <v>1052.81</v>
      </c>
      <c r="P14" s="54">
        <v>2.2000000000000002</v>
      </c>
      <c r="Q14" s="54">
        <v>40.06</v>
      </c>
    </row>
    <row r="15" spans="4:17" ht="24" x14ac:dyDescent="0.5">
      <c r="D15">
        <v>11</v>
      </c>
      <c r="E15" s="47">
        <v>43931</v>
      </c>
      <c r="F15">
        <v>1920</v>
      </c>
      <c r="G15">
        <v>384</v>
      </c>
      <c r="H15" s="4">
        <f t="shared" si="0"/>
        <v>2304</v>
      </c>
      <c r="I15" s="47">
        <v>43945</v>
      </c>
      <c r="K15">
        <v>4.7</v>
      </c>
      <c r="N15" s="52">
        <v>43774</v>
      </c>
      <c r="O15" s="53">
        <v>1085.8800000000001</v>
      </c>
      <c r="P15" s="54">
        <v>8.6</v>
      </c>
      <c r="Q15" s="54">
        <v>44.02</v>
      </c>
    </row>
    <row r="16" spans="4:17" ht="24" x14ac:dyDescent="0.5">
      <c r="D16">
        <v>12</v>
      </c>
      <c r="E16" s="47">
        <v>43938</v>
      </c>
      <c r="F16">
        <v>1920</v>
      </c>
      <c r="G16">
        <v>384</v>
      </c>
      <c r="H16" s="4">
        <f t="shared" si="0"/>
        <v>2304</v>
      </c>
      <c r="I16" s="47">
        <v>43952</v>
      </c>
      <c r="K16">
        <v>31.54</v>
      </c>
      <c r="N16" s="52">
        <v>43804</v>
      </c>
      <c r="O16" s="53">
        <v>1302.6300000000001</v>
      </c>
      <c r="P16" s="54">
        <v>52</v>
      </c>
      <c r="Q16" s="54">
        <v>70.03</v>
      </c>
    </row>
    <row r="17" spans="2:15" x14ac:dyDescent="0.35">
      <c r="D17">
        <v>13</v>
      </c>
      <c r="E17" s="47">
        <v>43945</v>
      </c>
      <c r="F17">
        <v>2400</v>
      </c>
      <c r="G17">
        <v>480</v>
      </c>
      <c r="H17" s="4">
        <f t="shared" si="0"/>
        <v>2880</v>
      </c>
      <c r="I17" s="47">
        <v>43959</v>
      </c>
      <c r="K17">
        <v>4.7</v>
      </c>
      <c r="O17" s="46">
        <f>SUM(O8:O16)</f>
        <v>11043.91</v>
      </c>
    </row>
    <row r="18" spans="2:15" x14ac:dyDescent="0.35">
      <c r="F18">
        <f>SUM(F5:F17)</f>
        <v>30240</v>
      </c>
      <c r="H18" s="102">
        <f>SUM(H5:H17)</f>
        <v>36288</v>
      </c>
      <c r="K18">
        <v>4.7</v>
      </c>
    </row>
    <row r="19" spans="2:15" x14ac:dyDescent="0.35">
      <c r="B19" t="s">
        <v>355</v>
      </c>
      <c r="D19">
        <v>4898.88</v>
      </c>
      <c r="F19">
        <f>SUM(F18)</f>
        <v>30240</v>
      </c>
      <c r="G19">
        <f>SUM(G5:G17)</f>
        <v>6048</v>
      </c>
      <c r="H19">
        <f>SUM(H5:H10)</f>
        <v>17280</v>
      </c>
      <c r="K19">
        <v>2.4</v>
      </c>
    </row>
    <row r="20" spans="2:15" x14ac:dyDescent="0.35">
      <c r="B20" t="s">
        <v>356</v>
      </c>
      <c r="D20">
        <v>6048</v>
      </c>
      <c r="F20" s="49">
        <v>-1052.7</v>
      </c>
      <c r="K20">
        <v>4.7</v>
      </c>
    </row>
    <row r="21" spans="2:15" x14ac:dyDescent="0.35">
      <c r="B21" t="s">
        <v>357</v>
      </c>
      <c r="D21">
        <f>SUM(-D19,D20)</f>
        <v>1149.1199999999999</v>
      </c>
      <c r="F21" s="48">
        <f>SUM(F19:F20)</f>
        <v>29187.3</v>
      </c>
      <c r="G21">
        <f>SUM(F19:F20)</f>
        <v>29187.3</v>
      </c>
      <c r="K21">
        <v>5.8</v>
      </c>
    </row>
    <row r="22" spans="2:15" x14ac:dyDescent="0.35">
      <c r="D22">
        <v>400</v>
      </c>
      <c r="F22" s="1">
        <v>-3629.46</v>
      </c>
      <c r="K22">
        <v>7.4</v>
      </c>
    </row>
    <row r="23" spans="2:15" x14ac:dyDescent="0.35">
      <c r="E23">
        <v>4000</v>
      </c>
      <c r="F23">
        <f>SUM(F21:F22)</f>
        <v>25557.84</v>
      </c>
      <c r="K23">
        <v>4.7</v>
      </c>
    </row>
    <row r="24" spans="2:15" x14ac:dyDescent="0.35">
      <c r="C24">
        <v>30000</v>
      </c>
      <c r="K24">
        <v>137</v>
      </c>
    </row>
    <row r="25" spans="2:15" x14ac:dyDescent="0.35">
      <c r="C25" s="46">
        <v>-23935.84</v>
      </c>
      <c r="K25">
        <v>16.989999999999998</v>
      </c>
    </row>
    <row r="26" spans="2:15" x14ac:dyDescent="0.35">
      <c r="C26">
        <f>SUM(C24:C25)</f>
        <v>6064.16</v>
      </c>
      <c r="K26">
        <v>4</v>
      </c>
    </row>
    <row r="27" spans="2:15" x14ac:dyDescent="0.35">
      <c r="K27">
        <v>68.989999999999995</v>
      </c>
    </row>
    <row r="28" spans="2:15" x14ac:dyDescent="0.35">
      <c r="D28">
        <v>14</v>
      </c>
      <c r="E28" s="47">
        <v>43952</v>
      </c>
      <c r="F28">
        <v>2400</v>
      </c>
      <c r="G28">
        <v>480</v>
      </c>
      <c r="H28">
        <f>SUM(F28:G28)</f>
        <v>2880</v>
      </c>
      <c r="K28">
        <v>3.5</v>
      </c>
      <c r="N28">
        <f>SUM(F18,F42)</f>
        <v>62880</v>
      </c>
    </row>
    <row r="29" spans="2:15" x14ac:dyDescent="0.35">
      <c r="D29">
        <v>15</v>
      </c>
      <c r="E29" s="47">
        <v>43958</v>
      </c>
      <c r="F29">
        <v>1920</v>
      </c>
      <c r="G29">
        <v>384</v>
      </c>
      <c r="H29">
        <f t="shared" ref="H29:H40" si="1">SUM(F29:G29)</f>
        <v>2304</v>
      </c>
      <c r="K29">
        <v>4.7</v>
      </c>
      <c r="M29" s="134">
        <v>44050</v>
      </c>
      <c r="N29">
        <v>2400</v>
      </c>
      <c r="O29" t="s">
        <v>367</v>
      </c>
    </row>
    <row r="30" spans="2:15" x14ac:dyDescent="0.35">
      <c r="D30">
        <v>16</v>
      </c>
      <c r="E30" s="47">
        <v>43966</v>
      </c>
      <c r="F30">
        <v>2400</v>
      </c>
      <c r="G30">
        <v>480</v>
      </c>
      <c r="H30">
        <f t="shared" si="1"/>
        <v>2880</v>
      </c>
      <c r="K30">
        <v>5.5</v>
      </c>
      <c r="M30" s="134">
        <v>44057</v>
      </c>
      <c r="N30">
        <v>2400</v>
      </c>
      <c r="O30" t="s">
        <v>367</v>
      </c>
    </row>
    <row r="31" spans="2:15" x14ac:dyDescent="0.35">
      <c r="D31">
        <v>17</v>
      </c>
      <c r="E31" s="47">
        <v>43973</v>
      </c>
      <c r="F31">
        <v>2400</v>
      </c>
      <c r="G31">
        <v>480</v>
      </c>
      <c r="H31">
        <f t="shared" si="1"/>
        <v>2880</v>
      </c>
      <c r="K31">
        <v>1</v>
      </c>
      <c r="M31" s="134">
        <v>44064</v>
      </c>
      <c r="N31">
        <v>2400</v>
      </c>
      <c r="O31" t="s">
        <v>367</v>
      </c>
    </row>
    <row r="32" spans="2:15" x14ac:dyDescent="0.35">
      <c r="D32">
        <v>18</v>
      </c>
      <c r="E32" s="47">
        <v>43980</v>
      </c>
      <c r="F32">
        <v>1920</v>
      </c>
      <c r="G32">
        <v>384</v>
      </c>
      <c r="H32">
        <f t="shared" si="1"/>
        <v>2304</v>
      </c>
      <c r="K32">
        <v>60</v>
      </c>
      <c r="M32" s="134">
        <v>44071</v>
      </c>
      <c r="N32">
        <v>2400</v>
      </c>
      <c r="O32" t="s">
        <v>367</v>
      </c>
    </row>
    <row r="33" spans="4:15" x14ac:dyDescent="0.35">
      <c r="D33">
        <v>19</v>
      </c>
      <c r="E33" s="47">
        <v>43987</v>
      </c>
      <c r="F33">
        <v>2400</v>
      </c>
      <c r="G33">
        <v>480</v>
      </c>
      <c r="H33">
        <f t="shared" si="1"/>
        <v>2880</v>
      </c>
      <c r="K33">
        <v>137</v>
      </c>
      <c r="M33" s="134">
        <v>44078</v>
      </c>
      <c r="N33">
        <v>2400</v>
      </c>
      <c r="O33" t="s">
        <v>367</v>
      </c>
    </row>
    <row r="34" spans="4:15" x14ac:dyDescent="0.35">
      <c r="D34">
        <v>20</v>
      </c>
      <c r="E34" s="47">
        <v>43994</v>
      </c>
      <c r="F34">
        <v>2400</v>
      </c>
      <c r="G34">
        <v>480</v>
      </c>
      <c r="H34">
        <f t="shared" si="1"/>
        <v>2880</v>
      </c>
      <c r="K34">
        <v>4.7</v>
      </c>
      <c r="M34" s="134">
        <v>44085</v>
      </c>
      <c r="N34">
        <v>2400</v>
      </c>
      <c r="O34" t="s">
        <v>367</v>
      </c>
    </row>
    <row r="35" spans="4:15" x14ac:dyDescent="0.35">
      <c r="D35">
        <v>21</v>
      </c>
      <c r="E35" s="47">
        <v>44001</v>
      </c>
      <c r="F35">
        <v>2400</v>
      </c>
      <c r="G35">
        <v>480</v>
      </c>
      <c r="H35">
        <f t="shared" si="1"/>
        <v>2880</v>
      </c>
      <c r="K35">
        <v>2.4</v>
      </c>
      <c r="M35" s="134">
        <v>44092</v>
      </c>
      <c r="N35">
        <v>2400</v>
      </c>
      <c r="O35" t="s">
        <v>367</v>
      </c>
    </row>
    <row r="36" spans="4:15" x14ac:dyDescent="0.35">
      <c r="D36">
        <v>22</v>
      </c>
      <c r="E36" s="47">
        <v>44008</v>
      </c>
      <c r="F36">
        <v>2400</v>
      </c>
      <c r="G36">
        <v>480</v>
      </c>
      <c r="H36">
        <f t="shared" si="1"/>
        <v>2880</v>
      </c>
      <c r="K36">
        <v>4.3</v>
      </c>
      <c r="M36" s="134"/>
      <c r="N36">
        <f>SUM(N28:N35)</f>
        <v>79680</v>
      </c>
    </row>
    <row r="37" spans="4:15" x14ac:dyDescent="0.35">
      <c r="D37">
        <v>23</v>
      </c>
      <c r="E37" s="47">
        <v>44015</v>
      </c>
      <c r="F37">
        <v>2400</v>
      </c>
      <c r="G37">
        <v>480</v>
      </c>
      <c r="H37">
        <f t="shared" si="1"/>
        <v>2880</v>
      </c>
      <c r="K37">
        <v>10</v>
      </c>
      <c r="M37" s="134"/>
    </row>
    <row r="38" spans="4:15" x14ac:dyDescent="0.35">
      <c r="D38">
        <v>24</v>
      </c>
      <c r="E38" s="47">
        <v>44022</v>
      </c>
      <c r="F38">
        <v>2400</v>
      </c>
      <c r="G38">
        <v>480</v>
      </c>
      <c r="H38">
        <f t="shared" si="1"/>
        <v>2880</v>
      </c>
      <c r="K38">
        <v>2.4</v>
      </c>
      <c r="M38" s="134"/>
    </row>
    <row r="39" spans="4:15" x14ac:dyDescent="0.35">
      <c r="D39">
        <v>25</v>
      </c>
      <c r="E39" s="47">
        <v>44029</v>
      </c>
      <c r="F39">
        <v>2400</v>
      </c>
      <c r="G39">
        <v>480</v>
      </c>
      <c r="H39">
        <f t="shared" si="1"/>
        <v>2880</v>
      </c>
      <c r="K39">
        <v>25.02</v>
      </c>
      <c r="M39" s="134"/>
    </row>
    <row r="40" spans="4:15" x14ac:dyDescent="0.35">
      <c r="D40">
        <v>26</v>
      </c>
      <c r="E40" s="47">
        <v>44036</v>
      </c>
      <c r="F40">
        <v>2400</v>
      </c>
      <c r="G40">
        <v>480</v>
      </c>
      <c r="H40">
        <f t="shared" si="1"/>
        <v>2880</v>
      </c>
      <c r="K40">
        <v>31.98</v>
      </c>
    </row>
    <row r="41" spans="4:15" x14ac:dyDescent="0.35">
      <c r="D41">
        <v>27</v>
      </c>
      <c r="E41" s="47">
        <v>44043</v>
      </c>
      <c r="F41">
        <v>2400</v>
      </c>
      <c r="G41">
        <v>480</v>
      </c>
      <c r="H41">
        <f>SUM(F41:G41)</f>
        <v>2880</v>
      </c>
      <c r="K41">
        <v>45</v>
      </c>
    </row>
    <row r="42" spans="4:15" x14ac:dyDescent="0.35">
      <c r="F42">
        <f>SUM(F28:F41)</f>
        <v>32640</v>
      </c>
      <c r="G42">
        <f>SUM(G28:G41)</f>
        <v>6528</v>
      </c>
      <c r="H42">
        <f>SUM(H28:H41)</f>
        <v>39168</v>
      </c>
      <c r="I42" t="s">
        <v>364</v>
      </c>
      <c r="K42">
        <v>11.99</v>
      </c>
    </row>
    <row r="43" spans="4:15" x14ac:dyDescent="0.35">
      <c r="H43" s="142">
        <f>PRODUCT(H42,0.135)</f>
        <v>5287.68</v>
      </c>
      <c r="I43" t="s">
        <v>365</v>
      </c>
    </row>
    <row r="44" spans="4:15" x14ac:dyDescent="0.35">
      <c r="H44">
        <f>SUM(G42,-H43)</f>
        <v>1240.3199999999997</v>
      </c>
      <c r="I44" t="s">
        <v>366</v>
      </c>
    </row>
    <row r="50" spans="4:16" x14ac:dyDescent="0.35">
      <c r="D50" t="s">
        <v>459</v>
      </c>
      <c r="E50" t="s">
        <v>83</v>
      </c>
      <c r="F50" t="s">
        <v>506</v>
      </c>
      <c r="G50" t="s">
        <v>461</v>
      </c>
      <c r="H50" t="s">
        <v>178</v>
      </c>
      <c r="I50" t="s">
        <v>87</v>
      </c>
      <c r="K50" t="s">
        <v>459</v>
      </c>
      <c r="L50" t="s">
        <v>83</v>
      </c>
      <c r="M50" t="s">
        <v>506</v>
      </c>
      <c r="N50" t="s">
        <v>461</v>
      </c>
      <c r="O50" t="s">
        <v>178</v>
      </c>
      <c r="P50" t="s">
        <v>87</v>
      </c>
    </row>
    <row r="51" spans="4:16" x14ac:dyDescent="0.35">
      <c r="D51">
        <v>1</v>
      </c>
      <c r="E51" s="47">
        <v>44049</v>
      </c>
      <c r="F51" t="s">
        <v>507</v>
      </c>
      <c r="G51">
        <v>583.33000000000004</v>
      </c>
      <c r="H51">
        <v>0</v>
      </c>
      <c r="I51">
        <v>583.33000000000004</v>
      </c>
    </row>
    <row r="52" spans="4:16" x14ac:dyDescent="0.35">
      <c r="D52">
        <v>2</v>
      </c>
      <c r="E52" s="47">
        <v>44049</v>
      </c>
      <c r="F52" t="s">
        <v>508</v>
      </c>
      <c r="G52">
        <v>1416.67</v>
      </c>
      <c r="H52">
        <v>0</v>
      </c>
      <c r="I52">
        <v>1416.67</v>
      </c>
    </row>
    <row r="53" spans="4:16" x14ac:dyDescent="0.35">
      <c r="D53">
        <v>3</v>
      </c>
      <c r="E53" s="47">
        <v>44050</v>
      </c>
      <c r="F53" t="s">
        <v>509</v>
      </c>
      <c r="G53">
        <v>2400</v>
      </c>
      <c r="H53">
        <v>480</v>
      </c>
      <c r="I53">
        <v>2880</v>
      </c>
    </row>
    <row r="54" spans="4:16" x14ac:dyDescent="0.35">
      <c r="D54">
        <v>4</v>
      </c>
      <c r="E54" s="47">
        <v>44057</v>
      </c>
      <c r="F54" t="s">
        <v>510</v>
      </c>
      <c r="G54">
        <v>2400</v>
      </c>
      <c r="H54">
        <v>480</v>
      </c>
      <c r="I54">
        <v>2880</v>
      </c>
    </row>
    <row r="55" spans="4:16" x14ac:dyDescent="0.35">
      <c r="D55">
        <v>5</v>
      </c>
      <c r="E55" s="47">
        <v>44064</v>
      </c>
      <c r="F55" t="s">
        <v>511</v>
      </c>
      <c r="G55">
        <v>2400</v>
      </c>
      <c r="H55">
        <v>480</v>
      </c>
      <c r="I55">
        <v>2880</v>
      </c>
    </row>
    <row r="56" spans="4:16" x14ac:dyDescent="0.35">
      <c r="D56">
        <v>6</v>
      </c>
      <c r="E56" s="47">
        <v>44071</v>
      </c>
      <c r="F56" t="s">
        <v>512</v>
      </c>
      <c r="G56">
        <v>2400</v>
      </c>
      <c r="H56">
        <v>480</v>
      </c>
      <c r="I56">
        <v>2880</v>
      </c>
    </row>
    <row r="57" spans="4:16" x14ac:dyDescent="0.35">
      <c r="D57">
        <v>7</v>
      </c>
      <c r="E57" s="47">
        <v>44077</v>
      </c>
      <c r="F57" t="s">
        <v>513</v>
      </c>
      <c r="G57">
        <v>1416.67</v>
      </c>
      <c r="H57">
        <v>0</v>
      </c>
      <c r="I57">
        <v>1416.67</v>
      </c>
    </row>
    <row r="58" spans="4:16" x14ac:dyDescent="0.35">
      <c r="D58">
        <v>8</v>
      </c>
      <c r="E58" s="47">
        <v>44077</v>
      </c>
      <c r="F58" t="s">
        <v>514</v>
      </c>
      <c r="G58">
        <v>583.33000000000004</v>
      </c>
      <c r="H58">
        <v>0</v>
      </c>
      <c r="I58">
        <v>583.33000000000004</v>
      </c>
    </row>
    <row r="59" spans="4:16" x14ac:dyDescent="0.35">
      <c r="D59">
        <v>9</v>
      </c>
      <c r="E59" s="47">
        <v>44078</v>
      </c>
      <c r="F59" t="s">
        <v>515</v>
      </c>
      <c r="G59">
        <v>1920</v>
      </c>
      <c r="H59">
        <v>384</v>
      </c>
      <c r="I59">
        <v>2304</v>
      </c>
    </row>
    <row r="60" spans="4:16" x14ac:dyDescent="0.35">
      <c r="D60">
        <v>10</v>
      </c>
      <c r="E60" s="47">
        <v>44085</v>
      </c>
      <c r="F60" t="s">
        <v>516</v>
      </c>
      <c r="G60">
        <v>2400</v>
      </c>
      <c r="H60">
        <v>480</v>
      </c>
      <c r="I60">
        <v>2880</v>
      </c>
    </row>
    <row r="61" spans="4:16" x14ac:dyDescent="0.35">
      <c r="D61">
        <v>11</v>
      </c>
      <c r="E61" s="47">
        <v>44092</v>
      </c>
      <c r="F61" t="s">
        <v>517</v>
      </c>
      <c r="G61">
        <v>2400</v>
      </c>
      <c r="H61">
        <v>480</v>
      </c>
      <c r="I61">
        <v>2880</v>
      </c>
    </row>
    <row r="62" spans="4:16" x14ac:dyDescent="0.35">
      <c r="D62">
        <v>12</v>
      </c>
      <c r="E62" s="47">
        <v>44099</v>
      </c>
      <c r="F62" t="s">
        <v>518</v>
      </c>
      <c r="G62">
        <v>2400</v>
      </c>
      <c r="H62">
        <v>480</v>
      </c>
      <c r="I62">
        <v>2880</v>
      </c>
    </row>
    <row r="63" spans="4:16" x14ac:dyDescent="0.35">
      <c r="D63">
        <v>13</v>
      </c>
      <c r="E63" s="47">
        <v>44106</v>
      </c>
      <c r="F63" t="s">
        <v>519</v>
      </c>
      <c r="G63">
        <v>2400</v>
      </c>
      <c r="H63">
        <v>480</v>
      </c>
      <c r="I63">
        <v>2880</v>
      </c>
    </row>
    <row r="64" spans="4:16" x14ac:dyDescent="0.35">
      <c r="D64">
        <v>14</v>
      </c>
      <c r="E64" s="47">
        <v>44106</v>
      </c>
      <c r="F64" t="s">
        <v>520</v>
      </c>
      <c r="G64">
        <v>583.33000000000004</v>
      </c>
      <c r="H64">
        <v>0</v>
      </c>
      <c r="I64">
        <v>583.33000000000004</v>
      </c>
    </row>
    <row r="65" spans="2:9" x14ac:dyDescent="0.35">
      <c r="D65">
        <v>15</v>
      </c>
      <c r="E65" s="47">
        <v>44106</v>
      </c>
      <c r="F65" t="s">
        <v>521</v>
      </c>
      <c r="G65">
        <v>1416.67</v>
      </c>
      <c r="H65">
        <v>0</v>
      </c>
      <c r="I65">
        <v>1416.67</v>
      </c>
    </row>
    <row r="66" spans="2:9" x14ac:dyDescent="0.35">
      <c r="D66">
        <v>16</v>
      </c>
      <c r="E66" s="47">
        <v>44113</v>
      </c>
      <c r="F66" t="s">
        <v>522</v>
      </c>
      <c r="G66">
        <v>2400</v>
      </c>
      <c r="H66">
        <v>480</v>
      </c>
      <c r="I66">
        <v>2880</v>
      </c>
    </row>
    <row r="67" spans="2:9" x14ac:dyDescent="0.35">
      <c r="D67">
        <v>17</v>
      </c>
      <c r="E67" s="47">
        <v>44120</v>
      </c>
      <c r="F67" t="s">
        <v>523</v>
      </c>
      <c r="G67">
        <v>2400</v>
      </c>
      <c r="H67">
        <v>480</v>
      </c>
      <c r="I67">
        <v>2880</v>
      </c>
    </row>
    <row r="68" spans="2:9" x14ac:dyDescent="0.35">
      <c r="D68">
        <v>18</v>
      </c>
      <c r="E68" s="47">
        <v>44127</v>
      </c>
      <c r="F68" t="s">
        <v>524</v>
      </c>
      <c r="G68">
        <v>2400</v>
      </c>
      <c r="H68">
        <v>480</v>
      </c>
      <c r="I68">
        <v>2880</v>
      </c>
    </row>
    <row r="69" spans="2:9" x14ac:dyDescent="0.35">
      <c r="D69">
        <v>19</v>
      </c>
      <c r="E69" s="47">
        <v>44132</v>
      </c>
      <c r="F69" t="s">
        <v>525</v>
      </c>
      <c r="G69">
        <v>1555</v>
      </c>
      <c r="H69">
        <v>0</v>
      </c>
      <c r="I69">
        <v>1555</v>
      </c>
    </row>
    <row r="70" spans="2:9" x14ac:dyDescent="0.35">
      <c r="D70">
        <v>20</v>
      </c>
      <c r="E70" s="47">
        <v>44134</v>
      </c>
      <c r="F70" t="s">
        <v>526</v>
      </c>
      <c r="G70">
        <v>2400</v>
      </c>
      <c r="H70">
        <v>480</v>
      </c>
      <c r="I70">
        <v>2880</v>
      </c>
    </row>
    <row r="71" spans="2:9" x14ac:dyDescent="0.35">
      <c r="G71">
        <f>SUM(G51:G70)</f>
        <v>38275</v>
      </c>
      <c r="H71">
        <f>SUM(H51:H70)</f>
        <v>6144</v>
      </c>
      <c r="I71">
        <f>SUM(I53:I70)</f>
        <v>42419</v>
      </c>
    </row>
    <row r="72" spans="2:9" x14ac:dyDescent="0.35">
      <c r="H72" t="s">
        <v>527</v>
      </c>
      <c r="I72">
        <v>4587.84</v>
      </c>
    </row>
    <row r="80" spans="2:9" x14ac:dyDescent="0.35">
      <c r="B80" s="47">
        <v>43952</v>
      </c>
      <c r="C80">
        <v>2400</v>
      </c>
      <c r="D80">
        <v>480</v>
      </c>
      <c r="E80">
        <f>SUM(C80:D80)</f>
        <v>2880</v>
      </c>
    </row>
    <row r="81" spans="2:5" x14ac:dyDescent="0.35">
      <c r="B81" s="47">
        <v>43958</v>
      </c>
      <c r="C81">
        <v>1920</v>
      </c>
      <c r="D81">
        <v>384</v>
      </c>
      <c r="E81">
        <f t="shared" ref="E81:E92" si="2">SUM(C81:D81)</f>
        <v>2304</v>
      </c>
    </row>
    <row r="82" spans="2:5" x14ac:dyDescent="0.35">
      <c r="B82" s="47">
        <v>43966</v>
      </c>
      <c r="C82">
        <v>2400</v>
      </c>
      <c r="D82">
        <v>480</v>
      </c>
      <c r="E82">
        <f t="shared" si="2"/>
        <v>2880</v>
      </c>
    </row>
    <row r="83" spans="2:5" x14ac:dyDescent="0.35">
      <c r="B83" s="47">
        <v>43973</v>
      </c>
      <c r="C83">
        <v>2400</v>
      </c>
      <c r="D83">
        <v>480</v>
      </c>
      <c r="E83">
        <f t="shared" si="2"/>
        <v>2880</v>
      </c>
    </row>
    <row r="84" spans="2:5" x14ac:dyDescent="0.35">
      <c r="B84" s="47">
        <v>43980</v>
      </c>
      <c r="C84">
        <v>1920</v>
      </c>
      <c r="D84">
        <v>384</v>
      </c>
      <c r="E84">
        <f t="shared" si="2"/>
        <v>2304</v>
      </c>
    </row>
    <row r="85" spans="2:5" x14ac:dyDescent="0.35">
      <c r="B85" s="47">
        <v>43987</v>
      </c>
      <c r="C85">
        <v>2400</v>
      </c>
      <c r="D85">
        <v>480</v>
      </c>
      <c r="E85">
        <f t="shared" si="2"/>
        <v>2880</v>
      </c>
    </row>
    <row r="86" spans="2:5" x14ac:dyDescent="0.35">
      <c r="B86" s="47">
        <v>43994</v>
      </c>
      <c r="C86">
        <v>2400</v>
      </c>
      <c r="D86">
        <v>480</v>
      </c>
      <c r="E86">
        <f t="shared" si="2"/>
        <v>2880</v>
      </c>
    </row>
    <row r="87" spans="2:5" x14ac:dyDescent="0.35">
      <c r="B87" s="47">
        <v>44001</v>
      </c>
      <c r="C87">
        <v>2400</v>
      </c>
      <c r="D87">
        <v>480</v>
      </c>
      <c r="E87">
        <f t="shared" si="2"/>
        <v>2880</v>
      </c>
    </row>
    <row r="88" spans="2:5" x14ac:dyDescent="0.35">
      <c r="B88" s="47">
        <v>44008</v>
      </c>
      <c r="C88">
        <v>2400</v>
      </c>
      <c r="D88">
        <v>480</v>
      </c>
      <c r="E88">
        <f t="shared" si="2"/>
        <v>2880</v>
      </c>
    </row>
    <row r="89" spans="2:5" x14ac:dyDescent="0.35">
      <c r="B89" s="47">
        <v>44015</v>
      </c>
      <c r="C89">
        <v>2400</v>
      </c>
      <c r="D89">
        <v>480</v>
      </c>
      <c r="E89">
        <f t="shared" si="2"/>
        <v>2880</v>
      </c>
    </row>
    <row r="90" spans="2:5" x14ac:dyDescent="0.35">
      <c r="B90" s="47">
        <v>44022</v>
      </c>
      <c r="C90">
        <v>2400</v>
      </c>
      <c r="D90">
        <v>480</v>
      </c>
      <c r="E90">
        <f t="shared" si="2"/>
        <v>2880</v>
      </c>
    </row>
    <row r="91" spans="2:5" x14ac:dyDescent="0.35">
      <c r="B91" s="47">
        <v>44029</v>
      </c>
      <c r="C91">
        <v>2400</v>
      </c>
      <c r="D91">
        <v>480</v>
      </c>
      <c r="E91">
        <f t="shared" si="2"/>
        <v>2880</v>
      </c>
    </row>
    <row r="92" spans="2:5" x14ac:dyDescent="0.35">
      <c r="B92" s="47">
        <v>44036</v>
      </c>
      <c r="C92">
        <v>2400</v>
      </c>
      <c r="D92">
        <v>480</v>
      </c>
      <c r="E92">
        <f t="shared" si="2"/>
        <v>2880</v>
      </c>
    </row>
    <row r="93" spans="2:5" x14ac:dyDescent="0.35">
      <c r="B93" s="47">
        <v>44043</v>
      </c>
      <c r="C93">
        <v>2400</v>
      </c>
      <c r="D93">
        <v>480</v>
      </c>
      <c r="E93">
        <f>SUM(C93:D93)</f>
        <v>2880</v>
      </c>
    </row>
    <row r="94" spans="2:5" x14ac:dyDescent="0.35">
      <c r="B94" s="47">
        <v>44049</v>
      </c>
      <c r="C94">
        <v>583.33000000000004</v>
      </c>
      <c r="D94">
        <v>0</v>
      </c>
      <c r="E94">
        <f t="shared" ref="E94:E113" si="3">SUM(C94:D94)</f>
        <v>583.33000000000004</v>
      </c>
    </row>
    <row r="95" spans="2:5" x14ac:dyDescent="0.35">
      <c r="B95" s="47">
        <v>44049</v>
      </c>
      <c r="C95">
        <v>1416.67</v>
      </c>
      <c r="D95">
        <v>0</v>
      </c>
      <c r="E95">
        <f t="shared" si="3"/>
        <v>1416.67</v>
      </c>
    </row>
    <row r="96" spans="2:5" x14ac:dyDescent="0.35">
      <c r="B96" s="47">
        <v>44050</v>
      </c>
      <c r="C96">
        <v>2400</v>
      </c>
      <c r="D96">
        <v>480</v>
      </c>
      <c r="E96">
        <f t="shared" si="3"/>
        <v>2880</v>
      </c>
    </row>
    <row r="97" spans="2:5" x14ac:dyDescent="0.35">
      <c r="B97" s="47">
        <v>44057</v>
      </c>
      <c r="C97">
        <v>2400</v>
      </c>
      <c r="D97">
        <v>480</v>
      </c>
      <c r="E97">
        <f t="shared" si="3"/>
        <v>2880</v>
      </c>
    </row>
    <row r="98" spans="2:5" x14ac:dyDescent="0.35">
      <c r="B98" s="47">
        <v>44064</v>
      </c>
      <c r="C98">
        <v>2400</v>
      </c>
      <c r="D98">
        <v>480</v>
      </c>
      <c r="E98">
        <f t="shared" si="3"/>
        <v>2880</v>
      </c>
    </row>
    <row r="99" spans="2:5" x14ac:dyDescent="0.35">
      <c r="B99" s="47">
        <v>44071</v>
      </c>
      <c r="C99">
        <v>2400</v>
      </c>
      <c r="D99">
        <v>480</v>
      </c>
      <c r="E99">
        <f t="shared" si="3"/>
        <v>2880</v>
      </c>
    </row>
    <row r="100" spans="2:5" x14ac:dyDescent="0.35">
      <c r="B100" s="47">
        <v>44077</v>
      </c>
      <c r="C100">
        <v>1416.67</v>
      </c>
      <c r="D100">
        <v>0</v>
      </c>
      <c r="E100">
        <f t="shared" si="3"/>
        <v>1416.67</v>
      </c>
    </row>
    <row r="101" spans="2:5" x14ac:dyDescent="0.35">
      <c r="B101" s="47">
        <v>44077</v>
      </c>
      <c r="C101">
        <v>583.33000000000004</v>
      </c>
      <c r="D101">
        <v>0</v>
      </c>
      <c r="E101">
        <f t="shared" si="3"/>
        <v>583.33000000000004</v>
      </c>
    </row>
    <row r="102" spans="2:5" x14ac:dyDescent="0.35">
      <c r="B102" s="47">
        <v>44078</v>
      </c>
      <c r="C102">
        <v>1920</v>
      </c>
      <c r="D102">
        <v>384</v>
      </c>
      <c r="E102">
        <f t="shared" si="3"/>
        <v>2304</v>
      </c>
    </row>
    <row r="103" spans="2:5" x14ac:dyDescent="0.35">
      <c r="B103" s="47">
        <v>44085</v>
      </c>
      <c r="C103">
        <v>2400</v>
      </c>
      <c r="D103">
        <v>480</v>
      </c>
      <c r="E103">
        <f t="shared" si="3"/>
        <v>2880</v>
      </c>
    </row>
    <row r="104" spans="2:5" x14ac:dyDescent="0.35">
      <c r="B104" s="47">
        <v>44092</v>
      </c>
      <c r="C104">
        <v>2400</v>
      </c>
      <c r="D104">
        <v>480</v>
      </c>
      <c r="E104">
        <f t="shared" si="3"/>
        <v>2880</v>
      </c>
    </row>
    <row r="105" spans="2:5" x14ac:dyDescent="0.35">
      <c r="B105" s="47">
        <v>44099</v>
      </c>
      <c r="C105">
        <v>2400</v>
      </c>
      <c r="D105">
        <v>480</v>
      </c>
      <c r="E105">
        <f t="shared" si="3"/>
        <v>2880</v>
      </c>
    </row>
    <row r="106" spans="2:5" x14ac:dyDescent="0.35">
      <c r="B106" s="47">
        <v>44106</v>
      </c>
      <c r="C106">
        <v>2400</v>
      </c>
      <c r="D106">
        <v>480</v>
      </c>
      <c r="E106">
        <f t="shared" si="3"/>
        <v>2880</v>
      </c>
    </row>
    <row r="107" spans="2:5" x14ac:dyDescent="0.35">
      <c r="B107" s="47">
        <v>44106</v>
      </c>
      <c r="C107">
        <v>583.33000000000004</v>
      </c>
      <c r="D107">
        <v>0</v>
      </c>
      <c r="E107">
        <f t="shared" si="3"/>
        <v>583.33000000000004</v>
      </c>
    </row>
    <row r="108" spans="2:5" x14ac:dyDescent="0.35">
      <c r="B108" s="47">
        <v>44106</v>
      </c>
      <c r="C108">
        <v>1416.67</v>
      </c>
      <c r="D108">
        <v>0</v>
      </c>
      <c r="E108">
        <f t="shared" si="3"/>
        <v>1416.67</v>
      </c>
    </row>
    <row r="109" spans="2:5" x14ac:dyDescent="0.35">
      <c r="B109" s="47">
        <v>44113</v>
      </c>
      <c r="C109">
        <v>2400</v>
      </c>
      <c r="D109">
        <v>480</v>
      </c>
      <c r="E109">
        <f t="shared" si="3"/>
        <v>2880</v>
      </c>
    </row>
    <row r="110" spans="2:5" x14ac:dyDescent="0.35">
      <c r="B110" s="47">
        <v>44120</v>
      </c>
      <c r="C110">
        <v>2400</v>
      </c>
      <c r="D110">
        <v>480</v>
      </c>
      <c r="E110">
        <f t="shared" si="3"/>
        <v>2880</v>
      </c>
    </row>
    <row r="111" spans="2:5" x14ac:dyDescent="0.35">
      <c r="B111" s="47">
        <v>44127</v>
      </c>
      <c r="C111">
        <v>2400</v>
      </c>
      <c r="D111">
        <v>480</v>
      </c>
      <c r="E111">
        <f t="shared" si="3"/>
        <v>2880</v>
      </c>
    </row>
    <row r="112" spans="2:5" x14ac:dyDescent="0.35">
      <c r="B112" s="47">
        <v>44132</v>
      </c>
      <c r="C112">
        <v>1555</v>
      </c>
      <c r="D112">
        <v>0</v>
      </c>
      <c r="E112">
        <f t="shared" si="3"/>
        <v>1555</v>
      </c>
    </row>
    <row r="113" spans="1:5" x14ac:dyDescent="0.35">
      <c r="B113" s="47">
        <v>44134</v>
      </c>
      <c r="C113">
        <v>2400</v>
      </c>
      <c r="D113">
        <v>480</v>
      </c>
      <c r="E113">
        <f t="shared" si="3"/>
        <v>2880</v>
      </c>
    </row>
    <row r="114" spans="1:5" x14ac:dyDescent="0.35">
      <c r="A114" t="s">
        <v>98</v>
      </c>
      <c r="B114" s="47">
        <v>44137</v>
      </c>
      <c r="C114">
        <v>583.33000000000004</v>
      </c>
      <c r="D114">
        <v>0</v>
      </c>
      <c r="E114">
        <f t="shared" ref="E114:E115" si="4">SUM(C114:D114)</f>
        <v>583.33000000000004</v>
      </c>
    </row>
    <row r="115" spans="1:5" x14ac:dyDescent="0.35">
      <c r="B115" s="47">
        <v>44137</v>
      </c>
      <c r="C115">
        <v>1416.67</v>
      </c>
      <c r="D115">
        <v>0</v>
      </c>
      <c r="E115">
        <f t="shared" si="4"/>
        <v>1416.67</v>
      </c>
    </row>
    <row r="116" spans="1:5" x14ac:dyDescent="0.35">
      <c r="B116" s="47">
        <v>44141</v>
      </c>
      <c r="C116">
        <v>2400</v>
      </c>
      <c r="D116">
        <v>480</v>
      </c>
      <c r="E116">
        <f t="shared" ref="E116:E128" si="5">SUM(C116:D116)</f>
        <v>2880</v>
      </c>
    </row>
    <row r="117" spans="1:5" x14ac:dyDescent="0.35">
      <c r="B117" s="47">
        <v>44148</v>
      </c>
      <c r="C117">
        <v>2400</v>
      </c>
      <c r="D117">
        <v>480</v>
      </c>
      <c r="E117">
        <f t="shared" si="5"/>
        <v>2880</v>
      </c>
    </row>
    <row r="118" spans="1:5" x14ac:dyDescent="0.35">
      <c r="B118" s="47">
        <v>44155</v>
      </c>
      <c r="C118">
        <v>2400</v>
      </c>
      <c r="D118">
        <v>480</v>
      </c>
      <c r="E118">
        <f t="shared" si="5"/>
        <v>2880</v>
      </c>
    </row>
    <row r="119" spans="1:5" x14ac:dyDescent="0.35">
      <c r="B119" s="47">
        <v>44160</v>
      </c>
      <c r="C119">
        <v>1666</v>
      </c>
      <c r="D119">
        <v>0</v>
      </c>
      <c r="E119">
        <f t="shared" si="5"/>
        <v>1666</v>
      </c>
    </row>
    <row r="120" spans="1:5" x14ac:dyDescent="0.35">
      <c r="B120" s="47">
        <v>44162</v>
      </c>
      <c r="C120">
        <v>2400</v>
      </c>
      <c r="D120">
        <v>480</v>
      </c>
      <c r="E120">
        <f t="shared" si="5"/>
        <v>2880</v>
      </c>
    </row>
    <row r="121" spans="1:5" x14ac:dyDescent="0.35">
      <c r="B121" s="47">
        <v>44167</v>
      </c>
      <c r="C121">
        <v>583.33000000000004</v>
      </c>
      <c r="D121">
        <v>0</v>
      </c>
      <c r="E121">
        <f t="shared" si="5"/>
        <v>583.33000000000004</v>
      </c>
    </row>
    <row r="122" spans="1:5" x14ac:dyDescent="0.35">
      <c r="B122" s="47">
        <v>44167</v>
      </c>
      <c r="C122">
        <v>1416.67</v>
      </c>
      <c r="D122">
        <v>0</v>
      </c>
      <c r="E122">
        <f t="shared" si="5"/>
        <v>1416.67</v>
      </c>
    </row>
    <row r="123" spans="1:5" x14ac:dyDescent="0.35">
      <c r="B123" s="47">
        <v>44169</v>
      </c>
      <c r="C123">
        <v>2400</v>
      </c>
      <c r="D123">
        <v>480</v>
      </c>
      <c r="E123">
        <f t="shared" si="5"/>
        <v>2880</v>
      </c>
    </row>
    <row r="124" spans="1:5" x14ac:dyDescent="0.35">
      <c r="B124" s="47">
        <v>44176</v>
      </c>
      <c r="C124">
        <v>2400</v>
      </c>
      <c r="D124">
        <v>480</v>
      </c>
      <c r="E124">
        <f t="shared" si="5"/>
        <v>2880</v>
      </c>
    </row>
    <row r="125" spans="1:5" x14ac:dyDescent="0.35">
      <c r="B125" s="47">
        <v>44183</v>
      </c>
      <c r="C125">
        <v>2400</v>
      </c>
      <c r="D125">
        <v>480</v>
      </c>
      <c r="E125">
        <f t="shared" si="5"/>
        <v>2880</v>
      </c>
    </row>
    <row r="126" spans="1:5" x14ac:dyDescent="0.35">
      <c r="B126" s="47">
        <v>44190</v>
      </c>
      <c r="C126">
        <v>1666</v>
      </c>
      <c r="D126">
        <v>0</v>
      </c>
      <c r="E126">
        <f t="shared" ref="E126" si="6">SUM(C126:D126)</f>
        <v>1666</v>
      </c>
    </row>
    <row r="127" spans="1:5" x14ac:dyDescent="0.35">
      <c r="B127" s="47">
        <v>44190</v>
      </c>
      <c r="C127">
        <v>1920</v>
      </c>
      <c r="D127">
        <v>384</v>
      </c>
      <c r="E127">
        <f t="shared" si="5"/>
        <v>2304</v>
      </c>
    </row>
    <row r="128" spans="1:5" x14ac:dyDescent="0.35">
      <c r="B128" s="47">
        <v>44196</v>
      </c>
      <c r="C128">
        <v>1440</v>
      </c>
      <c r="D128">
        <v>288</v>
      </c>
      <c r="E128">
        <f t="shared" si="5"/>
        <v>1728</v>
      </c>
    </row>
    <row r="138" spans="3:5" x14ac:dyDescent="0.35">
      <c r="C138">
        <f>SUM(C80:C137)</f>
        <v>98407</v>
      </c>
      <c r="D138">
        <f>SUM(D80:D137)</f>
        <v>16704</v>
      </c>
      <c r="E138">
        <f>SUM(E80:E137)</f>
        <v>115111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abSelected="1" topLeftCell="A26" workbookViewId="0">
      <selection activeCell="B35" sqref="B35"/>
    </sheetView>
  </sheetViews>
  <sheetFormatPr defaultColWidth="10.6640625" defaultRowHeight="15.5" x14ac:dyDescent="0.35"/>
  <cols>
    <col min="1" max="1" width="14.6640625" customWidth="1"/>
    <col min="2" max="2" width="15.33203125" customWidth="1"/>
    <col min="3" max="3" width="12.5" bestFit="1" customWidth="1"/>
    <col min="4" max="4" width="13.33203125" customWidth="1"/>
    <col min="5" max="5" width="12.5" bestFit="1" customWidth="1"/>
    <col min="7" max="7" width="12.83203125" bestFit="1" customWidth="1"/>
    <col min="8" max="8" width="12" customWidth="1"/>
    <col min="9" max="9" width="16.5" customWidth="1"/>
  </cols>
  <sheetData>
    <row r="1" spans="1:17" s="151" customFormat="1" ht="21" x14ac:dyDescent="0.5">
      <c r="A1" s="45" t="s">
        <v>407</v>
      </c>
      <c r="B1" s="151" t="s">
        <v>408</v>
      </c>
      <c r="C1" s="151" t="s">
        <v>409</v>
      </c>
      <c r="D1" s="151" t="s">
        <v>410</v>
      </c>
      <c r="E1" s="151" t="s">
        <v>411</v>
      </c>
      <c r="F1" s="151" t="s">
        <v>417</v>
      </c>
      <c r="G1" s="151" t="s">
        <v>418</v>
      </c>
      <c r="H1" s="151" t="s">
        <v>419</v>
      </c>
      <c r="I1" s="151" t="s">
        <v>420</v>
      </c>
      <c r="J1"/>
      <c r="K1"/>
      <c r="L1"/>
      <c r="M1"/>
      <c r="N1"/>
      <c r="O1"/>
      <c r="P1" s="45" t="s">
        <v>401</v>
      </c>
    </row>
    <row r="2" spans="1:17" x14ac:dyDescent="0.35">
      <c r="A2" s="152" t="s">
        <v>97</v>
      </c>
      <c r="B2">
        <v>15925.62</v>
      </c>
      <c r="C2" s="44">
        <v>0</v>
      </c>
      <c r="D2" t="s">
        <v>414</v>
      </c>
      <c r="E2" t="s">
        <v>399</v>
      </c>
      <c r="F2" s="152">
        <v>145.4</v>
      </c>
      <c r="G2" t="s">
        <v>0</v>
      </c>
      <c r="H2" t="s">
        <v>383</v>
      </c>
      <c r="J2">
        <v>2500</v>
      </c>
      <c r="K2">
        <v>2500</v>
      </c>
      <c r="L2">
        <f>SUM(B2,-K2)</f>
        <v>13425.62</v>
      </c>
      <c r="M2" s="43">
        <v>0</v>
      </c>
      <c r="N2" s="101">
        <f>PRODUCT(L2,M2)</f>
        <v>0</v>
      </c>
      <c r="O2" s="101">
        <f>PRODUCT(B2,M2)</f>
        <v>0</v>
      </c>
      <c r="P2" s="101">
        <f>SUM(N2,-O2)</f>
        <v>0</v>
      </c>
    </row>
    <row r="3" spans="1:17" x14ac:dyDescent="0.35">
      <c r="A3" s="152" t="s">
        <v>412</v>
      </c>
      <c r="B3" s="46">
        <v>10275</v>
      </c>
      <c r="C3" s="44">
        <v>0</v>
      </c>
      <c r="D3" t="s">
        <v>414</v>
      </c>
      <c r="E3" t="s">
        <v>399</v>
      </c>
      <c r="F3" s="4">
        <v>103.79</v>
      </c>
      <c r="G3" t="s">
        <v>94</v>
      </c>
      <c r="H3" t="s">
        <v>385</v>
      </c>
      <c r="I3">
        <v>343</v>
      </c>
      <c r="J3">
        <v>2500</v>
      </c>
      <c r="K3">
        <v>2500</v>
      </c>
      <c r="L3">
        <f>SUM(B3,-K3)</f>
        <v>7775</v>
      </c>
      <c r="M3" s="43">
        <v>0</v>
      </c>
      <c r="N3" s="101">
        <f>PRODUCT(L3,M3)</f>
        <v>0</v>
      </c>
      <c r="O3" s="101">
        <f>PRODUCT(B3,M3)</f>
        <v>0</v>
      </c>
      <c r="P3" s="101">
        <f>SUM(N3,-O3)</f>
        <v>0</v>
      </c>
    </row>
    <row r="4" spans="1:17" x14ac:dyDescent="0.35">
      <c r="A4" s="152" t="s">
        <v>96</v>
      </c>
      <c r="B4" s="119">
        <v>8480.17</v>
      </c>
      <c r="C4" s="44">
        <v>0</v>
      </c>
      <c r="D4" t="s">
        <v>415</v>
      </c>
      <c r="E4" t="s">
        <v>421</v>
      </c>
      <c r="F4" s="152">
        <v>212</v>
      </c>
      <c r="G4" t="s">
        <v>0</v>
      </c>
      <c r="H4" t="s">
        <v>384</v>
      </c>
      <c r="J4">
        <v>2500</v>
      </c>
      <c r="K4">
        <v>2500</v>
      </c>
      <c r="L4">
        <f>SUM(B4,-K4)</f>
        <v>5980.17</v>
      </c>
      <c r="M4" s="43">
        <v>0</v>
      </c>
      <c r="N4" s="101">
        <f>PRODUCT(L4,M4)</f>
        <v>0</v>
      </c>
      <c r="O4" s="101">
        <f>PRODUCT(B4,M4)</f>
        <v>0</v>
      </c>
      <c r="P4" s="101">
        <f>SUM(N4,-O4)</f>
        <v>0</v>
      </c>
    </row>
    <row r="5" spans="1:17" x14ac:dyDescent="0.35">
      <c r="A5" s="152" t="s">
        <v>413</v>
      </c>
      <c r="B5">
        <v>4468.03</v>
      </c>
      <c r="C5" s="44">
        <v>0</v>
      </c>
      <c r="D5" t="s">
        <v>415</v>
      </c>
      <c r="F5" s="4">
        <v>111.7</v>
      </c>
      <c r="G5" t="s">
        <v>93</v>
      </c>
      <c r="H5" t="s">
        <v>384</v>
      </c>
      <c r="J5">
        <v>2500</v>
      </c>
      <c r="K5">
        <v>2500</v>
      </c>
      <c r="L5">
        <f>SUM(B5,-K5)</f>
        <v>1968.0299999999997</v>
      </c>
      <c r="M5" s="43">
        <v>0</v>
      </c>
      <c r="N5" s="101">
        <f>PRODUCT(L5,M5)</f>
        <v>0</v>
      </c>
      <c r="O5" s="101">
        <f>PRODUCT(B5,M5)</f>
        <v>0</v>
      </c>
      <c r="P5" s="101">
        <f>SUM(N5,-O5)</f>
        <v>0</v>
      </c>
    </row>
    <row r="6" spans="1:17" x14ac:dyDescent="0.35">
      <c r="A6" s="152" t="s">
        <v>94</v>
      </c>
      <c r="B6">
        <v>15000</v>
      </c>
      <c r="C6" s="44">
        <v>0</v>
      </c>
      <c r="D6" t="s">
        <v>416</v>
      </c>
      <c r="F6" s="75">
        <v>0</v>
      </c>
      <c r="J6">
        <v>2500</v>
      </c>
      <c r="K6">
        <v>2500</v>
      </c>
      <c r="L6">
        <f>SUM(B6,-K6)</f>
        <v>12500</v>
      </c>
      <c r="M6" s="43">
        <v>0</v>
      </c>
      <c r="N6" s="101">
        <f>PRODUCT(L6,M6)</f>
        <v>0</v>
      </c>
      <c r="O6" s="101">
        <f>PRODUCT(B6,M6)</f>
        <v>0</v>
      </c>
      <c r="P6" s="101">
        <f>SUM(N6,-O6)</f>
        <v>0</v>
      </c>
    </row>
    <row r="7" spans="1:17" ht="18.5" x14ac:dyDescent="0.45">
      <c r="B7" s="168">
        <f>SUM(B2:B6)</f>
        <v>54148.82</v>
      </c>
      <c r="M7" s="43"/>
      <c r="N7" s="101"/>
      <c r="O7" s="101"/>
      <c r="P7" s="101"/>
    </row>
    <row r="8" spans="1:17" x14ac:dyDescent="0.35">
      <c r="A8" s="152" t="s">
        <v>4</v>
      </c>
      <c r="B8">
        <v>235000</v>
      </c>
      <c r="C8" s="43">
        <v>1.7500000000000002E-2</v>
      </c>
      <c r="E8" s="152">
        <v>1214.43</v>
      </c>
      <c r="G8" t="s">
        <v>0</v>
      </c>
      <c r="H8" t="s">
        <v>528</v>
      </c>
      <c r="M8" s="43"/>
      <c r="N8" s="101"/>
      <c r="O8" s="101"/>
      <c r="P8" s="101"/>
    </row>
    <row r="9" spans="1:17" x14ac:dyDescent="0.35">
      <c r="A9" s="4" t="s">
        <v>0</v>
      </c>
      <c r="B9">
        <v>25000</v>
      </c>
      <c r="C9" s="43">
        <v>6.0999999999999999E-2</v>
      </c>
      <c r="E9" s="152">
        <v>490</v>
      </c>
      <c r="G9" t="s">
        <v>0</v>
      </c>
      <c r="H9" t="s">
        <v>492</v>
      </c>
      <c r="J9">
        <v>2500</v>
      </c>
      <c r="K9">
        <v>2500</v>
      </c>
      <c r="L9">
        <f t="shared" ref="L9:L10" si="0">SUM(B9,-K9)</f>
        <v>22500</v>
      </c>
      <c r="M9" s="43">
        <v>7.0000000000000007E-2</v>
      </c>
      <c r="N9" s="101">
        <f t="shared" ref="N9:N10" si="1">PRODUCT(L9,M9)</f>
        <v>1575.0000000000002</v>
      </c>
      <c r="O9" s="101">
        <f t="shared" ref="O9:O10" si="2">PRODUCT(B9,M9)</f>
        <v>1750.0000000000002</v>
      </c>
      <c r="P9" s="101">
        <f t="shared" ref="P9:P10" si="3">SUM(N9,-O9)</f>
        <v>-175</v>
      </c>
    </row>
    <row r="10" spans="1:17" x14ac:dyDescent="0.35">
      <c r="A10" s="4" t="s">
        <v>135</v>
      </c>
      <c r="B10">
        <v>15000</v>
      </c>
      <c r="C10" s="43">
        <v>6.0999999999999999E-2</v>
      </c>
      <c r="F10" s="4">
        <v>352.14</v>
      </c>
      <c r="G10" t="s">
        <v>93</v>
      </c>
      <c r="H10" t="s">
        <v>493</v>
      </c>
      <c r="J10">
        <v>2500</v>
      </c>
      <c r="K10">
        <v>2500</v>
      </c>
      <c r="L10">
        <f t="shared" si="0"/>
        <v>12500</v>
      </c>
      <c r="M10" s="43">
        <v>7.0000000000000007E-2</v>
      </c>
      <c r="N10" s="101">
        <f t="shared" si="1"/>
        <v>875.00000000000011</v>
      </c>
      <c r="O10" s="101">
        <f t="shared" si="2"/>
        <v>1050</v>
      </c>
      <c r="P10" s="101">
        <f t="shared" si="3"/>
        <v>-174.99999999999989</v>
      </c>
    </row>
    <row r="11" spans="1:17" ht="21" x14ac:dyDescent="0.5">
      <c r="B11" s="168">
        <f>SUM(B8:B10)</f>
        <v>275000</v>
      </c>
      <c r="C11" s="45"/>
      <c r="M11" s="43"/>
      <c r="N11" s="101"/>
      <c r="O11" s="101"/>
      <c r="P11" s="101"/>
    </row>
    <row r="12" spans="1:17" x14ac:dyDescent="0.35">
      <c r="J12" t="s">
        <v>498</v>
      </c>
      <c r="K12" t="s">
        <v>499</v>
      </c>
      <c r="L12" t="s">
        <v>500</v>
      </c>
      <c r="M12" s="43" t="s">
        <v>501</v>
      </c>
      <c r="N12" s="101" t="s">
        <v>502</v>
      </c>
      <c r="O12" s="101" t="s">
        <v>503</v>
      </c>
      <c r="P12" s="101" t="s">
        <v>504</v>
      </c>
    </row>
    <row r="13" spans="1:17" x14ac:dyDescent="0.35">
      <c r="A13" s="117" t="s">
        <v>494</v>
      </c>
      <c r="B13">
        <v>5000</v>
      </c>
      <c r="C13" s="43">
        <v>0.20599999999999999</v>
      </c>
      <c r="D13" t="s">
        <v>495</v>
      </c>
      <c r="F13" s="117">
        <v>251.77</v>
      </c>
      <c r="G13" t="s">
        <v>529</v>
      </c>
      <c r="H13" t="s">
        <v>431</v>
      </c>
      <c r="J13">
        <v>2500</v>
      </c>
      <c r="K13">
        <v>2500</v>
      </c>
      <c r="L13">
        <f>SUM(B13,-K13)</f>
        <v>2500</v>
      </c>
      <c r="M13" s="43">
        <v>0.20599999999999999</v>
      </c>
      <c r="N13" s="101">
        <f>PRODUCT(L13,M13)</f>
        <v>515</v>
      </c>
      <c r="O13" s="101">
        <f>PRODUCT(B13,M13)</f>
        <v>1030</v>
      </c>
      <c r="P13" s="170">
        <f>SUM(N13,-O13)</f>
        <v>-515</v>
      </c>
    </row>
    <row r="14" spans="1:17" x14ac:dyDescent="0.35">
      <c r="A14" s="117" t="s">
        <v>136</v>
      </c>
      <c r="B14">
        <v>9205</v>
      </c>
      <c r="C14" s="44">
        <v>0.36</v>
      </c>
      <c r="F14" s="173">
        <v>276.14999999999998</v>
      </c>
      <c r="H14" t="s">
        <v>383</v>
      </c>
      <c r="J14">
        <v>2500</v>
      </c>
      <c r="K14">
        <v>2500</v>
      </c>
      <c r="L14">
        <f>SUM(B14,-K14)</f>
        <v>6705</v>
      </c>
      <c r="M14" s="43">
        <v>0.36</v>
      </c>
      <c r="N14" s="101">
        <f>PRODUCT(L14,M14)</f>
        <v>2413.7999999999997</v>
      </c>
      <c r="O14" s="101">
        <f>PRODUCT(B14,M14)</f>
        <v>3313.7999999999997</v>
      </c>
      <c r="P14" s="169">
        <f>SUM(N14,-O14)</f>
        <v>-900</v>
      </c>
    </row>
    <row r="15" spans="1:17" x14ac:dyDescent="0.35">
      <c r="A15" s="117" t="s">
        <v>422</v>
      </c>
      <c r="B15">
        <v>70000</v>
      </c>
      <c r="C15" s="163">
        <v>0.114</v>
      </c>
      <c r="F15" s="117">
        <f>PRODUCT(B15,0.95,1/100)</f>
        <v>665</v>
      </c>
      <c r="G15" t="s">
        <v>94</v>
      </c>
      <c r="H15" t="s">
        <v>539</v>
      </c>
      <c r="J15">
        <v>2500</v>
      </c>
      <c r="K15">
        <f>SUM(J15,-100)</f>
        <v>2400</v>
      </c>
      <c r="L15">
        <f>SUM(B15,-K15)</f>
        <v>67600</v>
      </c>
      <c r="M15" s="43">
        <v>0.114</v>
      </c>
      <c r="N15" s="101">
        <f>PRODUCT(L15,M15)</f>
        <v>7706.4000000000005</v>
      </c>
      <c r="O15" s="101">
        <f>PRODUCT(B15,M15)</f>
        <v>7980</v>
      </c>
      <c r="P15" s="157">
        <f>SUM(N15,-O15)</f>
        <v>-273.59999999999945</v>
      </c>
      <c r="Q15" t="s">
        <v>497</v>
      </c>
    </row>
    <row r="16" spans="1:17" x14ac:dyDescent="0.35">
      <c r="A16" s="117" t="s">
        <v>95</v>
      </c>
      <c r="B16" s="46">
        <v>2065.5500000000002</v>
      </c>
      <c r="C16" s="44">
        <v>0.36</v>
      </c>
      <c r="J16">
        <v>2500</v>
      </c>
      <c r="K16">
        <v>2500</v>
      </c>
      <c r="L16">
        <f>SUM(B16,-K16)</f>
        <v>-434.44999999999982</v>
      </c>
      <c r="M16" s="43">
        <v>0.36</v>
      </c>
      <c r="N16" s="101">
        <f>PRODUCT(L16,M16)</f>
        <v>-156.40199999999993</v>
      </c>
      <c r="O16" s="101">
        <f>PRODUCT(B16,M16)</f>
        <v>743.59800000000007</v>
      </c>
      <c r="P16" s="169">
        <f>SUM(N16,-O16)</f>
        <v>-900</v>
      </c>
    </row>
    <row r="17" spans="1:18" ht="18.5" x14ac:dyDescent="0.45">
      <c r="B17" s="168">
        <f>SUM(B12:B16)</f>
        <v>86270.55</v>
      </c>
      <c r="E17" s="77"/>
      <c r="F17">
        <f>SUM(F2:F16)</f>
        <v>2117.9499999999998</v>
      </c>
    </row>
    <row r="18" spans="1:18" ht="21" x14ac:dyDescent="0.5">
      <c r="B18" s="167">
        <f>SUM(B17,B11,B7)</f>
        <v>415419.37</v>
      </c>
      <c r="D18" s="4"/>
      <c r="E18" s="45"/>
    </row>
    <row r="19" spans="1:18" ht="18.5" x14ac:dyDescent="0.45">
      <c r="E19" s="77"/>
    </row>
    <row r="20" spans="1:18" ht="17.5" x14ac:dyDescent="0.35">
      <c r="A20" t="s">
        <v>438</v>
      </c>
      <c r="B20">
        <v>9900</v>
      </c>
      <c r="C20" s="134">
        <v>44119</v>
      </c>
      <c r="D20">
        <v>8.1</v>
      </c>
      <c r="E20">
        <v>8000</v>
      </c>
      <c r="F20" s="44"/>
      <c r="J20" s="118">
        <v>30388</v>
      </c>
      <c r="P20">
        <v>0</v>
      </c>
      <c r="Q20" t="s">
        <v>397</v>
      </c>
      <c r="R20" t="s">
        <v>398</v>
      </c>
    </row>
    <row r="21" spans="1:18" ht="17.5" x14ac:dyDescent="0.35">
      <c r="A21" t="s">
        <v>496</v>
      </c>
      <c r="B21">
        <v>2000</v>
      </c>
      <c r="C21" s="134"/>
      <c r="F21" s="44"/>
      <c r="J21" s="118"/>
    </row>
    <row r="28" spans="1:18" x14ac:dyDescent="0.35">
      <c r="C28" s="46">
        <f>SUM(B14,B58,B16)</f>
        <v>16270.55</v>
      </c>
      <c r="R28">
        <f>SUM(R53:R58)</f>
        <v>3400</v>
      </c>
    </row>
    <row r="29" spans="1:18" ht="23.5" x14ac:dyDescent="0.55000000000000004">
      <c r="A29" t="s">
        <v>538</v>
      </c>
      <c r="B29">
        <v>364</v>
      </c>
      <c r="C29" t="s">
        <v>275</v>
      </c>
      <c r="P29" s="81">
        <f>SUM(O4:O56)</f>
        <v>21762.148000000001</v>
      </c>
      <c r="Q29">
        <v>24000</v>
      </c>
    </row>
    <row r="30" spans="1:18" x14ac:dyDescent="0.35">
      <c r="A30" t="s">
        <v>534</v>
      </c>
      <c r="B30">
        <v>1334</v>
      </c>
      <c r="C30" t="s">
        <v>275</v>
      </c>
      <c r="E30">
        <v>338.52</v>
      </c>
      <c r="Q30">
        <v>32800</v>
      </c>
    </row>
    <row r="31" spans="1:18" x14ac:dyDescent="0.35">
      <c r="A31" t="s">
        <v>535</v>
      </c>
      <c r="B31">
        <v>1666</v>
      </c>
      <c r="C31" s="134" t="s">
        <v>275</v>
      </c>
      <c r="E31">
        <v>1875</v>
      </c>
      <c r="J31" t="s">
        <v>189</v>
      </c>
      <c r="K31" t="s">
        <v>190</v>
      </c>
      <c r="L31" t="s">
        <v>191</v>
      </c>
      <c r="N31" t="s">
        <v>199</v>
      </c>
      <c r="O31" t="s">
        <v>200</v>
      </c>
      <c r="P31" s="1">
        <v>1300</v>
      </c>
      <c r="Q31" s="1">
        <f>SUM(Q29:Q30)</f>
        <v>56800</v>
      </c>
    </row>
    <row r="32" spans="1:18" x14ac:dyDescent="0.35">
      <c r="A32" t="s">
        <v>532</v>
      </c>
      <c r="B32">
        <v>480</v>
      </c>
      <c r="C32" t="s">
        <v>275</v>
      </c>
      <c r="J32" t="s">
        <v>195</v>
      </c>
      <c r="L32" t="s">
        <v>193</v>
      </c>
      <c r="N32" t="s">
        <v>198</v>
      </c>
      <c r="P32">
        <f>SUM(P29:P31)</f>
        <v>23062.148000000001</v>
      </c>
      <c r="Q32" s="1">
        <f>SUM(Q29:Q30)</f>
        <v>56800</v>
      </c>
    </row>
    <row r="33" spans="1:12" x14ac:dyDescent="0.35">
      <c r="A33" t="s">
        <v>537</v>
      </c>
      <c r="B33">
        <v>2880</v>
      </c>
      <c r="C33" t="s">
        <v>275</v>
      </c>
      <c r="J33" t="s">
        <v>192</v>
      </c>
      <c r="L33" t="s">
        <v>196</v>
      </c>
    </row>
    <row r="34" spans="1:12" x14ac:dyDescent="0.35">
      <c r="J34" t="s">
        <v>194</v>
      </c>
      <c r="L34" t="s">
        <v>197</v>
      </c>
    </row>
    <row r="35" spans="1:12" x14ac:dyDescent="0.35">
      <c r="A35" t="s">
        <v>536</v>
      </c>
      <c r="B35">
        <v>2000</v>
      </c>
    </row>
    <row r="36" spans="1:12" x14ac:dyDescent="0.35">
      <c r="A36" t="s">
        <v>533</v>
      </c>
      <c r="B36">
        <v>1267</v>
      </c>
      <c r="F36" t="s">
        <v>274</v>
      </c>
      <c r="G36">
        <v>10600</v>
      </c>
      <c r="H36">
        <v>110.24</v>
      </c>
    </row>
    <row r="37" spans="1:12" x14ac:dyDescent="0.35">
      <c r="A37" t="s">
        <v>531</v>
      </c>
      <c r="B37">
        <v>1440</v>
      </c>
      <c r="H37">
        <v>105.9</v>
      </c>
    </row>
    <row r="38" spans="1:12" x14ac:dyDescent="0.35">
      <c r="B38">
        <v>2880</v>
      </c>
      <c r="C38" s="134">
        <v>44171</v>
      </c>
      <c r="H38">
        <v>106.97</v>
      </c>
      <c r="L38">
        <v>119235354</v>
      </c>
    </row>
    <row r="39" spans="1:12" x14ac:dyDescent="0.35">
      <c r="B39" s="49">
        <f>SUM(B35:B38)</f>
        <v>7587</v>
      </c>
      <c r="H39">
        <v>108.05</v>
      </c>
    </row>
    <row r="40" spans="1:12" x14ac:dyDescent="0.35">
      <c r="C40" s="134"/>
      <c r="H40">
        <v>109.94</v>
      </c>
    </row>
    <row r="41" spans="1:12" x14ac:dyDescent="0.35">
      <c r="C41" s="134"/>
      <c r="H41" s="1">
        <f>SUM(H36:H40)</f>
        <v>541.1</v>
      </c>
      <c r="I41" t="s">
        <v>275</v>
      </c>
    </row>
    <row r="43" spans="1:12" x14ac:dyDescent="0.35">
      <c r="B43">
        <v>2880</v>
      </c>
      <c r="C43" s="134">
        <v>44178</v>
      </c>
    </row>
    <row r="44" spans="1:12" x14ac:dyDescent="0.35">
      <c r="B44">
        <v>2880</v>
      </c>
      <c r="C44" s="134">
        <v>44185</v>
      </c>
    </row>
    <row r="45" spans="1:12" x14ac:dyDescent="0.35">
      <c r="B45">
        <v>2304</v>
      </c>
      <c r="C45" s="134">
        <v>44192</v>
      </c>
    </row>
    <row r="46" spans="1:12" x14ac:dyDescent="0.35">
      <c r="B46">
        <v>1728</v>
      </c>
      <c r="C46" s="134">
        <v>44196</v>
      </c>
    </row>
    <row r="47" spans="1:12" x14ac:dyDescent="0.35">
      <c r="B47" s="1">
        <f>SUM(B41:B46)</f>
        <v>9792</v>
      </c>
      <c r="C47" s="134"/>
    </row>
    <row r="53" spans="1:23" ht="21" x14ac:dyDescent="0.5">
      <c r="A53" s="1" t="s">
        <v>325</v>
      </c>
      <c r="S53" s="151"/>
      <c r="T53" s="151"/>
      <c r="U53" s="151"/>
      <c r="V53" s="151"/>
      <c r="W53" s="151"/>
    </row>
    <row r="54" spans="1:23" x14ac:dyDescent="0.35">
      <c r="A54" s="102" t="s">
        <v>95</v>
      </c>
      <c r="B54" s="130">
        <v>3992.23</v>
      </c>
      <c r="C54" t="s">
        <v>275</v>
      </c>
      <c r="D54" t="s">
        <v>139</v>
      </c>
      <c r="F54" t="s">
        <v>138</v>
      </c>
      <c r="G54" t="s">
        <v>142</v>
      </c>
      <c r="H54" t="s">
        <v>140</v>
      </c>
      <c r="I54" t="s">
        <v>179</v>
      </c>
      <c r="L54" s="4">
        <v>0</v>
      </c>
      <c r="M54" t="s">
        <v>0</v>
      </c>
      <c r="N54" t="s">
        <v>141</v>
      </c>
    </row>
    <row r="55" spans="1:23" x14ac:dyDescent="0.35">
      <c r="A55" s="117" t="s">
        <v>400</v>
      </c>
      <c r="B55" s="1">
        <v>8500</v>
      </c>
      <c r="C55">
        <v>69.349999999999994</v>
      </c>
      <c r="D55" t="s">
        <v>23</v>
      </c>
      <c r="E55" t="s">
        <v>430</v>
      </c>
      <c r="F55">
        <v>1002</v>
      </c>
      <c r="G55" t="s">
        <v>94</v>
      </c>
      <c r="H55" t="s">
        <v>431</v>
      </c>
      <c r="J55">
        <v>2500</v>
      </c>
      <c r="K55">
        <v>2500</v>
      </c>
      <c r="L55">
        <f>SUM(B55,-K55)</f>
        <v>6000</v>
      </c>
      <c r="M55" s="43">
        <v>0.69350000000000001</v>
      </c>
      <c r="N55" s="101">
        <f>PRODUCT(L55,M55)</f>
        <v>4161</v>
      </c>
      <c r="O55" s="101">
        <f>PRODUCT(B55,M55)</f>
        <v>5894.75</v>
      </c>
      <c r="P55" s="101">
        <f>SUM(N55,-O55)</f>
        <v>-1733.75</v>
      </c>
      <c r="Q55">
        <v>100</v>
      </c>
      <c r="R55">
        <v>3000</v>
      </c>
    </row>
    <row r="56" spans="1:23" x14ac:dyDescent="0.35">
      <c r="A56" s="166" t="s">
        <v>182</v>
      </c>
      <c r="B56">
        <v>13000</v>
      </c>
      <c r="Q56">
        <v>30</v>
      </c>
    </row>
    <row r="57" spans="1:23" ht="26" x14ac:dyDescent="0.6">
      <c r="A57" t="s">
        <v>438</v>
      </c>
      <c r="B57">
        <v>200</v>
      </c>
      <c r="C57" s="134">
        <v>44111</v>
      </c>
      <c r="E57" s="87"/>
      <c r="F57" s="55"/>
      <c r="Q57">
        <v>50</v>
      </c>
      <c r="R57">
        <v>400</v>
      </c>
    </row>
    <row r="58" spans="1:23" x14ac:dyDescent="0.35">
      <c r="A58" s="117" t="s">
        <v>137</v>
      </c>
      <c r="B58">
        <v>5000</v>
      </c>
      <c r="C58" s="175">
        <v>0.4</v>
      </c>
      <c r="J58">
        <v>2500</v>
      </c>
      <c r="K58">
        <v>2500</v>
      </c>
      <c r="L58">
        <f>SUM(B58,-K58)</f>
        <v>2500</v>
      </c>
      <c r="M58" s="43">
        <v>0.4</v>
      </c>
      <c r="N58" s="101">
        <f>PRODUCT(L58,M58)</f>
        <v>1000</v>
      </c>
      <c r="O58" s="101">
        <f>PRODUCT(B58,M58)</f>
        <v>2000</v>
      </c>
      <c r="P58" s="169">
        <f>SUM(N58,-O58)</f>
        <v>-1000</v>
      </c>
      <c r="Q58">
        <f>SUM(Q53:Q57)</f>
        <v>180</v>
      </c>
    </row>
  </sheetData>
  <phoneticPr fontId="4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R67"/>
  <sheetViews>
    <sheetView topLeftCell="C40" workbookViewId="0">
      <selection activeCell="I24" sqref="I24"/>
    </sheetView>
  </sheetViews>
  <sheetFormatPr defaultColWidth="10.6640625" defaultRowHeight="15.5" x14ac:dyDescent="0.35"/>
  <cols>
    <col min="2" max="2" width="28.83203125" customWidth="1"/>
    <col min="10" max="10" width="22.6640625" customWidth="1"/>
    <col min="16" max="16" width="11.5" bestFit="1" customWidth="1"/>
  </cols>
  <sheetData>
    <row r="4" spans="2:15" x14ac:dyDescent="0.35">
      <c r="B4" s="57" t="s">
        <v>99</v>
      </c>
      <c r="C4" s="57" t="s">
        <v>100</v>
      </c>
      <c r="H4" s="64" t="s">
        <v>126</v>
      </c>
      <c r="O4">
        <v>720</v>
      </c>
    </row>
    <row r="5" spans="2:15" x14ac:dyDescent="0.35">
      <c r="B5" s="58" t="s">
        <v>101</v>
      </c>
      <c r="C5" s="58" t="s">
        <v>102</v>
      </c>
      <c r="H5" s="64" t="s">
        <v>127</v>
      </c>
      <c r="O5">
        <v>1000</v>
      </c>
    </row>
    <row r="6" spans="2:15" x14ac:dyDescent="0.35">
      <c r="B6" s="57" t="s">
        <v>103</v>
      </c>
      <c r="C6" s="57" t="s">
        <v>104</v>
      </c>
      <c r="H6" s="64" t="s">
        <v>128</v>
      </c>
    </row>
    <row r="7" spans="2:15" x14ac:dyDescent="0.35">
      <c r="B7" s="58" t="s">
        <v>105</v>
      </c>
      <c r="C7" s="59" t="s">
        <v>106</v>
      </c>
      <c r="H7" s="73" t="s">
        <v>129</v>
      </c>
      <c r="O7">
        <v>995</v>
      </c>
    </row>
    <row r="8" spans="2:15" x14ac:dyDescent="0.35">
      <c r="B8" s="57" t="s">
        <v>107</v>
      </c>
      <c r="C8" s="60" t="s">
        <v>108</v>
      </c>
      <c r="H8" s="64" t="s">
        <v>130</v>
      </c>
      <c r="O8">
        <v>35</v>
      </c>
    </row>
    <row r="9" spans="2:15" x14ac:dyDescent="0.35">
      <c r="B9" s="58" t="s">
        <v>109</v>
      </c>
      <c r="C9" s="61">
        <v>275000</v>
      </c>
      <c r="H9" s="64" t="s">
        <v>131</v>
      </c>
      <c r="O9">
        <v>295</v>
      </c>
    </row>
    <row r="10" spans="2:15" x14ac:dyDescent="0.35">
      <c r="B10" s="57" t="s">
        <v>110</v>
      </c>
      <c r="C10" s="62">
        <v>80000</v>
      </c>
      <c r="H10" s="68" t="s">
        <v>132</v>
      </c>
      <c r="O10">
        <v>120</v>
      </c>
    </row>
    <row r="11" spans="2:15" x14ac:dyDescent="0.35">
      <c r="B11" s="58" t="s">
        <v>111</v>
      </c>
      <c r="C11" s="63">
        <v>0.28999999999999998</v>
      </c>
      <c r="H11" s="70" t="s">
        <v>133</v>
      </c>
    </row>
    <row r="12" spans="2:15" x14ac:dyDescent="0.35">
      <c r="B12" s="57" t="s">
        <v>112</v>
      </c>
      <c r="C12" s="60" t="s">
        <v>113</v>
      </c>
      <c r="H12" s="64" t="s">
        <v>134</v>
      </c>
      <c r="O12">
        <f>SUM(O4:O11)</f>
        <v>3165</v>
      </c>
    </row>
    <row r="13" spans="2:15" x14ac:dyDescent="0.35">
      <c r="B13" s="58" t="s">
        <v>114</v>
      </c>
      <c r="C13" s="72">
        <v>0.95</v>
      </c>
    </row>
    <row r="14" spans="2:15" x14ac:dyDescent="0.35">
      <c r="B14" s="57" t="s">
        <v>115</v>
      </c>
      <c r="C14" s="62">
        <v>775</v>
      </c>
    </row>
    <row r="15" spans="2:15" x14ac:dyDescent="0.35">
      <c r="B15" s="58" t="s">
        <v>116</v>
      </c>
      <c r="C15" s="71" t="s">
        <v>117</v>
      </c>
    </row>
    <row r="16" spans="2:15" x14ac:dyDescent="0.35">
      <c r="B16" s="57" t="s">
        <v>118</v>
      </c>
      <c r="C16" s="65">
        <v>0.02</v>
      </c>
    </row>
    <row r="17" spans="2:17" x14ac:dyDescent="0.35">
      <c r="B17" s="58" t="s">
        <v>119</v>
      </c>
      <c r="C17" s="66" t="s">
        <v>120</v>
      </c>
    </row>
    <row r="18" spans="2:17" x14ac:dyDescent="0.35">
      <c r="B18" s="57" t="s">
        <v>121</v>
      </c>
      <c r="C18" s="67" t="s">
        <v>120</v>
      </c>
    </row>
    <row r="19" spans="2:17" x14ac:dyDescent="0.35">
      <c r="B19" s="58" t="s">
        <v>122</v>
      </c>
      <c r="C19" s="61">
        <v>150</v>
      </c>
    </row>
    <row r="20" spans="2:17" x14ac:dyDescent="0.35">
      <c r="B20" s="57" t="s">
        <v>123</v>
      </c>
      <c r="C20" s="62">
        <v>30</v>
      </c>
      <c r="M20" s="112">
        <f>PRODUCT(M38,64.88/100)</f>
        <v>194639.99999999997</v>
      </c>
      <c r="N20" s="112">
        <f>PRODUCT(N38,64.88/100)</f>
        <v>162199.99999999997</v>
      </c>
    </row>
    <row r="21" spans="2:17" x14ac:dyDescent="0.35">
      <c r="B21" s="58" t="s">
        <v>124</v>
      </c>
      <c r="C21" s="69">
        <v>495</v>
      </c>
      <c r="E21">
        <v>500</v>
      </c>
      <c r="I21" s="176"/>
      <c r="J21" s="177">
        <v>175000</v>
      </c>
      <c r="K21" s="179">
        <f>SUM(K23:K26)</f>
        <v>4976</v>
      </c>
      <c r="L21" s="176"/>
    </row>
    <row r="22" spans="2:17" x14ac:dyDescent="0.35">
      <c r="B22" s="57" t="s">
        <v>125</v>
      </c>
      <c r="C22" s="62">
        <v>1500</v>
      </c>
      <c r="H22" s="103" t="s">
        <v>233</v>
      </c>
      <c r="I22" s="176"/>
      <c r="J22" s="178"/>
      <c r="K22" s="176"/>
      <c r="L22" s="176"/>
      <c r="M22">
        <v>175000</v>
      </c>
      <c r="N22">
        <v>146000</v>
      </c>
    </row>
    <row r="23" spans="2:17" x14ac:dyDescent="0.35">
      <c r="H23" s="60"/>
      <c r="I23" s="104" t="s">
        <v>234</v>
      </c>
      <c r="J23" s="60"/>
      <c r="K23" s="113">
        <v>3431</v>
      </c>
      <c r="L23" s="60"/>
      <c r="M23" s="60">
        <f>PRODUCT(M20,1.96/100)</f>
        <v>3814.9439999999995</v>
      </c>
      <c r="N23" s="60">
        <f>PRODUCT(N20,1.96/100)</f>
        <v>3179.1199999999994</v>
      </c>
      <c r="P23" s="48">
        <v>3814</v>
      </c>
      <c r="Q23" s="44">
        <v>0.02</v>
      </c>
    </row>
    <row r="24" spans="2:17" ht="19.5" x14ac:dyDescent="0.45">
      <c r="H24" s="60"/>
      <c r="I24" s="104" t="s">
        <v>235</v>
      </c>
      <c r="J24" s="60"/>
      <c r="K24" s="113">
        <v>1250</v>
      </c>
      <c r="L24" s="60"/>
      <c r="M24" s="60">
        <v>1250</v>
      </c>
      <c r="N24" s="60">
        <v>1250</v>
      </c>
      <c r="P24" s="115">
        <v>1000</v>
      </c>
    </row>
    <row r="25" spans="2:17" x14ac:dyDescent="0.35">
      <c r="C25" s="55">
        <f>SUM(C22,C21,C20,C19,C14)</f>
        <v>2950</v>
      </c>
      <c r="D25">
        <v>1720</v>
      </c>
      <c r="H25" s="60"/>
      <c r="I25" s="104" t="s">
        <v>236</v>
      </c>
      <c r="J25" s="60"/>
      <c r="K25" s="113">
        <v>295</v>
      </c>
      <c r="L25" s="60"/>
      <c r="M25" s="60">
        <v>295</v>
      </c>
      <c r="N25" s="60">
        <v>295</v>
      </c>
      <c r="P25" s="107">
        <v>295</v>
      </c>
    </row>
    <row r="26" spans="2:17" x14ac:dyDescent="0.35">
      <c r="H26" s="60"/>
      <c r="I26" s="104" t="s">
        <v>237</v>
      </c>
      <c r="J26" s="60"/>
      <c r="K26" s="104" t="s">
        <v>260</v>
      </c>
      <c r="L26" s="60"/>
      <c r="M26" s="60"/>
      <c r="N26" s="60"/>
      <c r="P26">
        <v>995</v>
      </c>
    </row>
    <row r="27" spans="2:17" x14ac:dyDescent="0.35">
      <c r="H27" s="60"/>
      <c r="I27" s="105" t="s">
        <v>238</v>
      </c>
      <c r="J27" s="60"/>
      <c r="K27" s="114">
        <v>170024</v>
      </c>
      <c r="L27" s="60"/>
      <c r="M27" s="110">
        <f>SUM(M22,-M23,-M24,-M25,-M26)</f>
        <v>169640.05600000001</v>
      </c>
      <c r="N27" s="110">
        <f>SUM(N22,-N23,-N24,-N25,-N26)</f>
        <v>141275.88</v>
      </c>
      <c r="P27">
        <v>35</v>
      </c>
      <c r="Q27" t="s">
        <v>259</v>
      </c>
    </row>
    <row r="28" spans="2:17" ht="18.5" x14ac:dyDescent="0.45">
      <c r="H28" s="60"/>
      <c r="I28" s="60"/>
      <c r="J28" s="60"/>
      <c r="K28" s="60"/>
      <c r="L28" s="60"/>
      <c r="M28" s="60"/>
      <c r="N28" s="60"/>
      <c r="P28" s="77">
        <f>SUM(P23:P27)</f>
        <v>6139</v>
      </c>
    </row>
    <row r="29" spans="2:17" x14ac:dyDescent="0.35">
      <c r="H29" s="60"/>
      <c r="I29" s="104" t="s">
        <v>239</v>
      </c>
      <c r="J29" s="60"/>
      <c r="K29" s="106">
        <v>8.8999999999999999E-3</v>
      </c>
      <c r="L29" s="60"/>
      <c r="M29" s="60">
        <v>0.93</v>
      </c>
      <c r="N29" s="60">
        <v>0.93</v>
      </c>
      <c r="P29" s="43">
        <v>8.5000000000000006E-3</v>
      </c>
    </row>
    <row r="30" spans="2:17" x14ac:dyDescent="0.35">
      <c r="H30" s="60"/>
      <c r="I30" s="104" t="s">
        <v>240</v>
      </c>
      <c r="J30" s="60"/>
      <c r="K30" s="104" t="s">
        <v>241</v>
      </c>
      <c r="L30" s="60"/>
      <c r="M30" s="60"/>
      <c r="N30" s="60"/>
    </row>
    <row r="31" spans="2:17" x14ac:dyDescent="0.35">
      <c r="H31" s="60"/>
      <c r="I31" s="104" t="s">
        <v>242</v>
      </c>
      <c r="J31" s="60"/>
      <c r="K31" s="104" t="s">
        <v>243</v>
      </c>
      <c r="L31" s="60"/>
      <c r="M31" s="60"/>
      <c r="N31" s="60"/>
    </row>
    <row r="32" spans="2:17" x14ac:dyDescent="0.35">
      <c r="H32" s="60"/>
      <c r="I32" s="104" t="s">
        <v>244</v>
      </c>
      <c r="J32" s="60"/>
      <c r="K32" s="104" t="s">
        <v>245</v>
      </c>
      <c r="L32" s="60"/>
      <c r="M32" s="60">
        <f>PRODUCT(M22,M29/100,12)</f>
        <v>19530.000000000004</v>
      </c>
      <c r="N32" s="60">
        <f>PRODUCT(N22,N29/100,12)</f>
        <v>16293.600000000002</v>
      </c>
    </row>
    <row r="33" spans="8:18" x14ac:dyDescent="0.35">
      <c r="H33" s="60"/>
      <c r="I33" s="104" t="s">
        <v>246</v>
      </c>
      <c r="J33" s="60"/>
      <c r="K33" s="104" t="s">
        <v>247</v>
      </c>
      <c r="L33" s="60"/>
      <c r="M33" s="60"/>
      <c r="N33" s="60"/>
    </row>
    <row r="34" spans="8:18" x14ac:dyDescent="0.35">
      <c r="H34" s="60"/>
      <c r="I34" s="105" t="s">
        <v>248</v>
      </c>
      <c r="J34" s="60"/>
      <c r="K34" s="105" t="s">
        <v>249</v>
      </c>
      <c r="L34" s="60"/>
      <c r="M34" s="111">
        <f>SUM(M22,M32)</f>
        <v>194530</v>
      </c>
      <c r="N34" s="111">
        <f>SUM(N22,N32)</f>
        <v>162293.6</v>
      </c>
    </row>
    <row r="35" spans="8:18" x14ac:dyDescent="0.35">
      <c r="H35" s="60"/>
      <c r="I35" s="104" t="s">
        <v>250</v>
      </c>
      <c r="J35" s="60"/>
      <c r="K35" s="104" t="s">
        <v>251</v>
      </c>
      <c r="L35" s="60"/>
      <c r="M35" s="60"/>
      <c r="N35" s="60"/>
    </row>
    <row r="36" spans="8:18" x14ac:dyDescent="0.35">
      <c r="H36" s="60"/>
      <c r="I36" s="60"/>
      <c r="J36" s="60"/>
      <c r="K36" s="60"/>
    </row>
    <row r="37" spans="8:18" x14ac:dyDescent="0.35">
      <c r="H37" s="60"/>
      <c r="I37" s="60"/>
      <c r="J37" s="60"/>
      <c r="K37" s="60"/>
      <c r="L37" s="60"/>
      <c r="M37" s="60"/>
      <c r="N37" s="60"/>
    </row>
    <row r="38" spans="8:18" x14ac:dyDescent="0.35">
      <c r="H38" s="60"/>
      <c r="I38" s="104" t="s">
        <v>252</v>
      </c>
      <c r="J38" s="60"/>
      <c r="K38" s="104" t="s">
        <v>253</v>
      </c>
      <c r="L38" s="60"/>
      <c r="M38" s="109">
        <v>300000</v>
      </c>
      <c r="N38" s="109">
        <v>250000</v>
      </c>
      <c r="P38">
        <v>120</v>
      </c>
      <c r="Q38" t="s">
        <v>258</v>
      </c>
    </row>
    <row r="39" spans="8:18" x14ac:dyDescent="0.35">
      <c r="H39" s="60"/>
      <c r="I39" s="104" t="s">
        <v>254</v>
      </c>
      <c r="J39" s="60"/>
      <c r="K39" s="104" t="s">
        <v>255</v>
      </c>
      <c r="L39" s="60"/>
      <c r="M39" s="108">
        <f>SUM(M38,-M27)</f>
        <v>130359.94399999999</v>
      </c>
      <c r="N39" s="108">
        <f>SUM(N38,-N27)</f>
        <v>108724.12</v>
      </c>
    </row>
    <row r="40" spans="8:18" x14ac:dyDescent="0.35">
      <c r="H40" s="60"/>
      <c r="I40" s="104" t="s">
        <v>256</v>
      </c>
      <c r="J40" s="60"/>
      <c r="K40" s="106">
        <v>0.64880000000000004</v>
      </c>
      <c r="L40" s="60"/>
      <c r="M40">
        <v>-55000</v>
      </c>
      <c r="N40">
        <v>-55000</v>
      </c>
    </row>
    <row r="41" spans="8:18" ht="19.5" x14ac:dyDescent="0.45">
      <c r="H41" s="60"/>
      <c r="I41" s="104" t="s">
        <v>257</v>
      </c>
      <c r="J41" s="60"/>
      <c r="K41" s="104" t="s">
        <v>120</v>
      </c>
      <c r="M41" s="2">
        <f>SUM(M39:M40)</f>
        <v>75359.943999999989</v>
      </c>
      <c r="N41" s="2">
        <f>SUM(N39:N40)</f>
        <v>53724.119999999995</v>
      </c>
      <c r="P41" s="115">
        <v>720</v>
      </c>
    </row>
    <row r="42" spans="8:18" x14ac:dyDescent="0.35">
      <c r="M42">
        <v>-10000</v>
      </c>
      <c r="N42">
        <v>-10000</v>
      </c>
    </row>
    <row r="43" spans="8:18" x14ac:dyDescent="0.35">
      <c r="M43" s="2">
        <f>SUM(M41:M42)</f>
        <v>65359.943999999989</v>
      </c>
      <c r="N43" s="2">
        <f>SUM(N41:N42)</f>
        <v>43724.119999999995</v>
      </c>
    </row>
    <row r="48" spans="8:18" x14ac:dyDescent="0.35">
      <c r="N48" s="93" t="s">
        <v>201</v>
      </c>
      <c r="R48" s="94" t="s">
        <v>202</v>
      </c>
    </row>
    <row r="49" spans="6:18" ht="20" x14ac:dyDescent="0.4">
      <c r="F49" s="116" t="s">
        <v>261</v>
      </c>
      <c r="N49" s="95" t="s">
        <v>203</v>
      </c>
      <c r="R49" s="96" t="s">
        <v>204</v>
      </c>
    </row>
    <row r="50" spans="6:18" x14ac:dyDescent="0.35">
      <c r="N50" s="93" t="s">
        <v>205</v>
      </c>
      <c r="R50" s="97">
        <v>145000</v>
      </c>
    </row>
    <row r="51" spans="6:18" x14ac:dyDescent="0.35">
      <c r="F51" s="116" t="s">
        <v>262</v>
      </c>
      <c r="N51" s="93" t="s">
        <v>206</v>
      </c>
      <c r="R51" s="94" t="s">
        <v>207</v>
      </c>
    </row>
    <row r="52" spans="6:18" x14ac:dyDescent="0.35">
      <c r="N52" s="93" t="s">
        <v>208</v>
      </c>
      <c r="R52" s="94" t="s">
        <v>209</v>
      </c>
    </row>
    <row r="53" spans="6:18" x14ac:dyDescent="0.35">
      <c r="F53" s="116" t="s">
        <v>263</v>
      </c>
      <c r="N53" s="93" t="s">
        <v>210</v>
      </c>
      <c r="R53" s="97">
        <v>950</v>
      </c>
    </row>
    <row r="54" spans="6:18" x14ac:dyDescent="0.35">
      <c r="N54" s="93" t="s">
        <v>211</v>
      </c>
      <c r="R54" s="97">
        <v>875</v>
      </c>
    </row>
    <row r="55" spans="6:18" x14ac:dyDescent="0.35">
      <c r="F55" s="116" t="s">
        <v>264</v>
      </c>
      <c r="N55" s="93" t="s">
        <v>212</v>
      </c>
      <c r="R55" s="94" t="s">
        <v>213</v>
      </c>
    </row>
    <row r="56" spans="6:18" x14ac:dyDescent="0.35">
      <c r="N56" s="93" t="s">
        <v>214</v>
      </c>
      <c r="R56" s="94" t="s">
        <v>215</v>
      </c>
    </row>
    <row r="57" spans="6:18" x14ac:dyDescent="0.35">
      <c r="F57" s="116" t="s">
        <v>265</v>
      </c>
      <c r="N57" s="93" t="s">
        <v>216</v>
      </c>
      <c r="R57" s="97">
        <v>995</v>
      </c>
    </row>
    <row r="58" spans="6:18" x14ac:dyDescent="0.35">
      <c r="N58" s="93" t="s">
        <v>217</v>
      </c>
      <c r="R58" s="94" t="s">
        <v>218</v>
      </c>
    </row>
    <row r="59" spans="6:18" x14ac:dyDescent="0.35">
      <c r="F59" s="116" t="s">
        <v>266</v>
      </c>
      <c r="N59" s="95" t="s">
        <v>219</v>
      </c>
      <c r="R59" s="98" t="s">
        <v>220</v>
      </c>
    </row>
    <row r="60" spans="6:18" x14ac:dyDescent="0.35">
      <c r="N60" s="93" t="s">
        <v>221</v>
      </c>
      <c r="R60" s="99">
        <v>528.49</v>
      </c>
    </row>
    <row r="61" spans="6:18" x14ac:dyDescent="0.35">
      <c r="F61" s="116" t="s">
        <v>267</v>
      </c>
      <c r="N61" s="95" t="s">
        <v>222</v>
      </c>
      <c r="R61" s="94" t="s">
        <v>223</v>
      </c>
    </row>
    <row r="63" spans="6:18" x14ac:dyDescent="0.35">
      <c r="F63" s="116" t="s">
        <v>268</v>
      </c>
    </row>
    <row r="65" spans="6:6" x14ac:dyDescent="0.35">
      <c r="F65" s="116" t="s">
        <v>269</v>
      </c>
    </row>
    <row r="67" spans="6:6" x14ac:dyDescent="0.35">
      <c r="F67" s="116" t="s">
        <v>270</v>
      </c>
    </row>
  </sheetData>
  <mergeCells count="4">
    <mergeCell ref="I21:I22"/>
    <mergeCell ref="J21:J22"/>
    <mergeCell ref="K21:K22"/>
    <mergeCell ref="L21:L22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0"/>
  <sheetViews>
    <sheetView workbookViewId="0">
      <selection activeCell="E3" sqref="E3"/>
    </sheetView>
  </sheetViews>
  <sheetFormatPr defaultColWidth="10.6640625" defaultRowHeight="15.5" x14ac:dyDescent="0.35"/>
  <sheetData>
    <row r="3" spans="1:13" x14ac:dyDescent="0.35">
      <c r="B3" s="80" t="s">
        <v>143</v>
      </c>
      <c r="E3" t="s">
        <v>145</v>
      </c>
      <c r="F3" t="s">
        <v>35</v>
      </c>
      <c r="H3">
        <v>2</v>
      </c>
      <c r="J3">
        <v>50</v>
      </c>
      <c r="K3">
        <v>50</v>
      </c>
    </row>
    <row r="4" spans="1:13" x14ac:dyDescent="0.35">
      <c r="F4" t="s">
        <v>146</v>
      </c>
      <c r="H4">
        <v>1</v>
      </c>
      <c r="L4" t="s">
        <v>169</v>
      </c>
      <c r="M4" t="s">
        <v>168</v>
      </c>
    </row>
    <row r="5" spans="1:13" x14ac:dyDescent="0.35">
      <c r="B5" t="s">
        <v>165</v>
      </c>
      <c r="C5">
        <v>900000</v>
      </c>
      <c r="D5" t="s">
        <v>144</v>
      </c>
      <c r="F5" t="s">
        <v>147</v>
      </c>
    </row>
    <row r="6" spans="1:13" x14ac:dyDescent="0.35">
      <c r="A6" t="s">
        <v>157</v>
      </c>
      <c r="B6" t="s">
        <v>151</v>
      </c>
      <c r="E6" t="s">
        <v>148</v>
      </c>
      <c r="F6" s="2">
        <v>3500</v>
      </c>
      <c r="G6" t="s">
        <v>149</v>
      </c>
      <c r="K6" t="s">
        <v>170</v>
      </c>
      <c r="M6" t="s">
        <v>171</v>
      </c>
    </row>
    <row r="7" spans="1:13" x14ac:dyDescent="0.35">
      <c r="A7" t="s">
        <v>161</v>
      </c>
      <c r="B7" t="s">
        <v>152</v>
      </c>
      <c r="C7" t="s">
        <v>158</v>
      </c>
      <c r="E7" t="s">
        <v>150</v>
      </c>
      <c r="K7" s="44">
        <v>0.52</v>
      </c>
    </row>
    <row r="8" spans="1:13" x14ac:dyDescent="0.35">
      <c r="C8" t="s">
        <v>159</v>
      </c>
    </row>
    <row r="9" spans="1:13" x14ac:dyDescent="0.35">
      <c r="A9" t="s">
        <v>154</v>
      </c>
      <c r="B9" t="s">
        <v>153</v>
      </c>
      <c r="C9" t="s">
        <v>160</v>
      </c>
      <c r="I9" t="s">
        <v>172</v>
      </c>
    </row>
    <row r="10" spans="1:13" x14ac:dyDescent="0.35">
      <c r="A10">
        <v>100</v>
      </c>
      <c r="B10" t="s">
        <v>152</v>
      </c>
      <c r="F10" t="s">
        <v>81</v>
      </c>
      <c r="J10" t="s">
        <v>173</v>
      </c>
    </row>
    <row r="11" spans="1:13" x14ac:dyDescent="0.35">
      <c r="B11" t="s">
        <v>155</v>
      </c>
      <c r="J11" t="s">
        <v>174</v>
      </c>
    </row>
    <row r="12" spans="1:13" x14ac:dyDescent="0.35">
      <c r="J12" t="s">
        <v>175</v>
      </c>
      <c r="K12">
        <v>22</v>
      </c>
    </row>
    <row r="13" spans="1:13" x14ac:dyDescent="0.35">
      <c r="A13" t="s">
        <v>162</v>
      </c>
      <c r="B13" t="s">
        <v>156</v>
      </c>
      <c r="F13" t="s">
        <v>176</v>
      </c>
      <c r="J13">
        <v>25</v>
      </c>
    </row>
    <row r="14" spans="1:13" x14ac:dyDescent="0.35">
      <c r="B14" t="s">
        <v>152</v>
      </c>
    </row>
    <row r="15" spans="1:13" x14ac:dyDescent="0.35">
      <c r="B15" t="s">
        <v>163</v>
      </c>
    </row>
    <row r="16" spans="1:13" x14ac:dyDescent="0.35">
      <c r="B16" t="s">
        <v>164</v>
      </c>
    </row>
    <row r="20" spans="2:4" x14ac:dyDescent="0.35">
      <c r="B20" t="s">
        <v>166</v>
      </c>
      <c r="C20" t="s">
        <v>165</v>
      </c>
      <c r="D20" t="s">
        <v>167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5"/>
  <sheetViews>
    <sheetView workbookViewId="0">
      <selection activeCell="F24" sqref="F24"/>
    </sheetView>
  </sheetViews>
  <sheetFormatPr defaultColWidth="10.6640625" defaultRowHeight="15.5" x14ac:dyDescent="0.35"/>
  <cols>
    <col min="3" max="3" width="21.33203125" customWidth="1"/>
    <col min="5" max="5" width="9.6640625" customWidth="1"/>
    <col min="6" max="6" width="36.5" customWidth="1"/>
    <col min="7" max="7" width="7" customWidth="1"/>
  </cols>
  <sheetData>
    <row r="2" spans="2:8" x14ac:dyDescent="0.35">
      <c r="C2" s="86" t="s">
        <v>180</v>
      </c>
      <c r="F2" s="86" t="s">
        <v>184</v>
      </c>
    </row>
    <row r="3" spans="2:8" x14ac:dyDescent="0.35">
      <c r="B3">
        <v>1</v>
      </c>
      <c r="C3" t="s">
        <v>38</v>
      </c>
      <c r="D3" s="55">
        <v>15</v>
      </c>
      <c r="F3" t="s">
        <v>185</v>
      </c>
      <c r="G3" s="55">
        <v>24</v>
      </c>
    </row>
    <row r="4" spans="2:8" x14ac:dyDescent="0.35">
      <c r="B4">
        <v>2</v>
      </c>
      <c r="C4" t="s">
        <v>181</v>
      </c>
      <c r="D4" s="55">
        <v>15</v>
      </c>
      <c r="F4" t="s">
        <v>186</v>
      </c>
      <c r="G4" s="55">
        <v>10</v>
      </c>
    </row>
    <row r="5" spans="2:8" x14ac:dyDescent="0.35">
      <c r="B5">
        <v>3</v>
      </c>
      <c r="C5" t="s">
        <v>182</v>
      </c>
      <c r="D5" s="55">
        <v>10</v>
      </c>
      <c r="F5" t="s">
        <v>187</v>
      </c>
      <c r="G5" s="55">
        <v>10</v>
      </c>
    </row>
    <row r="6" spans="2:8" x14ac:dyDescent="0.35">
      <c r="B6">
        <v>4</v>
      </c>
      <c r="C6" t="s">
        <v>183</v>
      </c>
      <c r="D6" s="55">
        <v>10</v>
      </c>
      <c r="F6" t="s">
        <v>272</v>
      </c>
      <c r="G6" s="55">
        <v>6</v>
      </c>
    </row>
    <row r="7" spans="2:8" x14ac:dyDescent="0.35">
      <c r="B7">
        <v>5</v>
      </c>
      <c r="C7" t="s">
        <v>188</v>
      </c>
      <c r="D7" s="55">
        <v>10</v>
      </c>
      <c r="F7" t="s">
        <v>281</v>
      </c>
      <c r="G7" s="55">
        <v>60</v>
      </c>
    </row>
    <row r="8" spans="2:8" x14ac:dyDescent="0.35">
      <c r="B8">
        <v>6</v>
      </c>
      <c r="C8" t="s">
        <v>271</v>
      </c>
      <c r="D8" s="55">
        <v>10</v>
      </c>
      <c r="F8" t="s">
        <v>353</v>
      </c>
      <c r="G8" s="55">
        <v>9</v>
      </c>
    </row>
    <row r="9" spans="2:8" x14ac:dyDescent="0.35">
      <c r="B9">
        <v>7</v>
      </c>
      <c r="C9" t="s">
        <v>273</v>
      </c>
      <c r="D9" s="55">
        <v>10</v>
      </c>
      <c r="G9" s="84">
        <f>SUM(G3:G8)</f>
        <v>119</v>
      </c>
    </row>
    <row r="10" spans="2:8" x14ac:dyDescent="0.35">
      <c r="B10">
        <v>8</v>
      </c>
      <c r="C10" t="s">
        <v>279</v>
      </c>
      <c r="D10" s="55">
        <v>10</v>
      </c>
    </row>
    <row r="11" spans="2:8" ht="18.5" x14ac:dyDescent="0.45">
      <c r="B11">
        <v>9</v>
      </c>
      <c r="C11" t="s">
        <v>280</v>
      </c>
      <c r="D11" s="55">
        <v>10</v>
      </c>
      <c r="F11" s="1" t="s">
        <v>380</v>
      </c>
      <c r="G11" s="85">
        <f>SUM(D25,-G9)</f>
        <v>111</v>
      </c>
      <c r="H11" s="1" t="s">
        <v>378</v>
      </c>
    </row>
    <row r="12" spans="2:8" x14ac:dyDescent="0.35">
      <c r="B12">
        <v>10</v>
      </c>
      <c r="C12" t="s">
        <v>282</v>
      </c>
      <c r="D12" s="55">
        <v>10</v>
      </c>
    </row>
    <row r="13" spans="2:8" x14ac:dyDescent="0.35">
      <c r="B13">
        <v>11</v>
      </c>
      <c r="C13" t="s">
        <v>283</v>
      </c>
      <c r="D13" s="55">
        <v>10</v>
      </c>
      <c r="F13" s="86" t="s">
        <v>327</v>
      </c>
    </row>
    <row r="14" spans="2:8" x14ac:dyDescent="0.35">
      <c r="B14">
        <v>12</v>
      </c>
      <c r="C14" t="s">
        <v>284</v>
      </c>
      <c r="D14" s="55">
        <v>10</v>
      </c>
      <c r="F14" t="s">
        <v>326</v>
      </c>
      <c r="G14" s="119">
        <v>9.6</v>
      </c>
    </row>
    <row r="15" spans="2:8" x14ac:dyDescent="0.35">
      <c r="B15">
        <v>13</v>
      </c>
      <c r="C15" t="s">
        <v>302</v>
      </c>
      <c r="D15" s="55">
        <v>10</v>
      </c>
      <c r="F15" t="s">
        <v>328</v>
      </c>
      <c r="G15" s="55">
        <v>11</v>
      </c>
    </row>
    <row r="16" spans="2:8" x14ac:dyDescent="0.35">
      <c r="B16">
        <v>14</v>
      </c>
      <c r="C16" t="s">
        <v>303</v>
      </c>
      <c r="D16" s="55">
        <v>10</v>
      </c>
      <c r="F16" t="s">
        <v>377</v>
      </c>
    </row>
    <row r="17" spans="2:7" ht="18.5" x14ac:dyDescent="0.45">
      <c r="B17">
        <v>15</v>
      </c>
      <c r="C17" t="s">
        <v>304</v>
      </c>
      <c r="D17" s="55">
        <v>10</v>
      </c>
      <c r="F17" s="1"/>
      <c r="G17" s="85"/>
    </row>
    <row r="18" spans="2:7" x14ac:dyDescent="0.35">
      <c r="B18">
        <v>16</v>
      </c>
      <c r="C18" t="s">
        <v>317</v>
      </c>
      <c r="D18" s="55">
        <v>10</v>
      </c>
    </row>
    <row r="19" spans="2:7" x14ac:dyDescent="0.35">
      <c r="B19">
        <v>17</v>
      </c>
      <c r="C19" t="s">
        <v>318</v>
      </c>
      <c r="D19" s="55">
        <v>10</v>
      </c>
      <c r="F19" t="s">
        <v>381</v>
      </c>
    </row>
    <row r="20" spans="2:7" x14ac:dyDescent="0.35">
      <c r="B20">
        <v>18</v>
      </c>
      <c r="C20" t="s">
        <v>324</v>
      </c>
      <c r="D20" s="55">
        <v>10</v>
      </c>
      <c r="F20" t="s">
        <v>382</v>
      </c>
    </row>
    <row r="21" spans="2:7" x14ac:dyDescent="0.35">
      <c r="B21">
        <v>19</v>
      </c>
      <c r="C21" t="s">
        <v>346</v>
      </c>
      <c r="D21" s="55">
        <v>10</v>
      </c>
      <c r="E21" s="134" t="s">
        <v>379</v>
      </c>
    </row>
    <row r="22" spans="2:7" x14ac:dyDescent="0.35">
      <c r="B22">
        <v>20</v>
      </c>
      <c r="C22" t="s">
        <v>351</v>
      </c>
      <c r="D22" s="55">
        <v>10</v>
      </c>
      <c r="E22" t="s">
        <v>354</v>
      </c>
    </row>
    <row r="23" spans="2:7" x14ac:dyDescent="0.35">
      <c r="B23">
        <v>21</v>
      </c>
      <c r="C23" t="s">
        <v>350</v>
      </c>
      <c r="D23" s="55">
        <v>10</v>
      </c>
      <c r="E23" t="s">
        <v>354</v>
      </c>
    </row>
    <row r="24" spans="2:7" x14ac:dyDescent="0.35">
      <c r="B24">
        <v>22</v>
      </c>
      <c r="C24" t="s">
        <v>352</v>
      </c>
      <c r="D24" s="55">
        <v>10</v>
      </c>
      <c r="E24" t="s">
        <v>354</v>
      </c>
    </row>
    <row r="25" spans="2:7" ht="18.5" x14ac:dyDescent="0.45">
      <c r="D25" s="85">
        <f>SUM(D3:D24)</f>
        <v>230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60"/>
  <sheetViews>
    <sheetView topLeftCell="A19" workbookViewId="0">
      <selection activeCell="J40" sqref="J40"/>
    </sheetView>
  </sheetViews>
  <sheetFormatPr defaultColWidth="10.6640625" defaultRowHeight="15.5" x14ac:dyDescent="0.35"/>
  <cols>
    <col min="2" max="2" width="38.6640625" customWidth="1"/>
    <col min="3" max="3" width="31.83203125" customWidth="1"/>
    <col min="7" max="7" width="23.83203125" customWidth="1"/>
    <col min="8" max="8" width="17.33203125" customWidth="1"/>
    <col min="11" max="11" width="16.83203125" customWidth="1"/>
  </cols>
  <sheetData>
    <row r="2" spans="2:9" x14ac:dyDescent="0.35">
      <c r="D2" s="6" t="s">
        <v>58</v>
      </c>
      <c r="E2" s="88">
        <v>145000</v>
      </c>
      <c r="F2" s="89">
        <f>PRODUCT(E2, -1, 20, 1/100)</f>
        <v>-29000</v>
      </c>
      <c r="G2" s="7">
        <f>PRODUCT(E2, -1, 35, 1/100)</f>
        <v>-50750</v>
      </c>
      <c r="H2" s="7">
        <f>PRODUCT(E2, -1, 55, 1/100)</f>
        <v>-79750</v>
      </c>
    </row>
    <row r="3" spans="2:9" x14ac:dyDescent="0.35">
      <c r="D3" s="10" t="s">
        <v>57</v>
      </c>
      <c r="E3" s="11">
        <v>2000</v>
      </c>
      <c r="F3" s="8">
        <f>ROUND(E2/14.084507/20,0)</f>
        <v>515</v>
      </c>
      <c r="G3" s="9">
        <f>ROUND(E2/12/25,0)</f>
        <v>483</v>
      </c>
      <c r="H3" s="9">
        <v>530</v>
      </c>
    </row>
    <row r="4" spans="2:9" x14ac:dyDescent="0.35">
      <c r="D4" s="10" t="s">
        <v>4</v>
      </c>
      <c r="E4" s="8"/>
      <c r="F4" s="8">
        <f>SUM(E3,-F3)</f>
        <v>1485</v>
      </c>
      <c r="G4" s="9">
        <f>SUM(E3,-G3)</f>
        <v>1517</v>
      </c>
      <c r="H4" s="8">
        <f>SUM(E3,-H3)</f>
        <v>1470</v>
      </c>
    </row>
    <row r="5" spans="2:9" x14ac:dyDescent="0.35">
      <c r="D5" s="10"/>
      <c r="E5" s="8"/>
      <c r="F5" s="8">
        <f>$F4*12</f>
        <v>17820</v>
      </c>
      <c r="G5" s="9">
        <f>$G4*12</f>
        <v>18204</v>
      </c>
      <c r="H5" s="9">
        <f>$H4*12</f>
        <v>17640</v>
      </c>
    </row>
    <row r="6" spans="2:9" x14ac:dyDescent="0.35">
      <c r="D6" s="10"/>
      <c r="E6" s="8"/>
      <c r="F6" s="8">
        <f>SUM(-F2)</f>
        <v>29000</v>
      </c>
      <c r="G6" s="9">
        <f>SUM(-G2)</f>
        <v>50750</v>
      </c>
      <c r="H6" s="9">
        <f>SUM(-H2)</f>
        <v>79750</v>
      </c>
    </row>
    <row r="7" spans="2:9" x14ac:dyDescent="0.35">
      <c r="D7" s="10"/>
      <c r="E7" s="8" t="s">
        <v>5</v>
      </c>
      <c r="F7" s="18">
        <f>PRODUCT(F5, 100/F6)</f>
        <v>61.448275862068968</v>
      </c>
      <c r="G7" s="90">
        <f>PRODUCT(G5, 100/G6)</f>
        <v>35.869950738916252</v>
      </c>
      <c r="H7" s="90">
        <f>PRODUCT(H5, 100/H6)</f>
        <v>22.119122257053291</v>
      </c>
    </row>
    <row r="8" spans="2:9" x14ac:dyDescent="0.35">
      <c r="D8" s="12"/>
      <c r="E8" s="91" t="s">
        <v>60</v>
      </c>
      <c r="F8" s="92">
        <f>PRODUCT(E3*12, 100/(E2+E6))</f>
        <v>16.551724137931032</v>
      </c>
      <c r="G8" s="13"/>
    </row>
    <row r="10" spans="2:9" ht="17" x14ac:dyDescent="0.35">
      <c r="B10" s="100" t="s">
        <v>224</v>
      </c>
    </row>
    <row r="11" spans="2:9" x14ac:dyDescent="0.35">
      <c r="F11" t="s">
        <v>277</v>
      </c>
      <c r="G11" t="s">
        <v>231</v>
      </c>
      <c r="H11" t="s">
        <v>276</v>
      </c>
    </row>
    <row r="12" spans="2:9" x14ac:dyDescent="0.35">
      <c r="B12" s="93" t="s">
        <v>201</v>
      </c>
      <c r="C12" s="94" t="s">
        <v>202</v>
      </c>
      <c r="F12" s="97">
        <v>94250</v>
      </c>
      <c r="H12" s="55">
        <v>87000</v>
      </c>
      <c r="I12" s="64" t="s">
        <v>225</v>
      </c>
    </row>
    <row r="13" spans="2:9" ht="20" x14ac:dyDescent="0.4">
      <c r="B13" s="95" t="s">
        <v>203</v>
      </c>
      <c r="C13" s="96" t="s">
        <v>204</v>
      </c>
      <c r="E13" s="2"/>
      <c r="I13" s="64" t="s">
        <v>226</v>
      </c>
    </row>
    <row r="14" spans="2:9" x14ac:dyDescent="0.35">
      <c r="B14" s="93" t="s">
        <v>205</v>
      </c>
      <c r="C14" s="97">
        <v>145000</v>
      </c>
      <c r="I14" s="64" t="s">
        <v>227</v>
      </c>
    </row>
    <row r="15" spans="2:9" x14ac:dyDescent="0.35">
      <c r="B15" s="93" t="s">
        <v>206</v>
      </c>
      <c r="C15" s="94" t="s">
        <v>207</v>
      </c>
      <c r="I15" s="64" t="s">
        <v>228</v>
      </c>
    </row>
    <row r="16" spans="2:9" x14ac:dyDescent="0.35">
      <c r="B16" s="93" t="s">
        <v>208</v>
      </c>
      <c r="C16" s="94" t="s">
        <v>209</v>
      </c>
      <c r="E16">
        <v>1196.25</v>
      </c>
      <c r="F16">
        <v>1413.75</v>
      </c>
      <c r="G16" s="101">
        <v>2900</v>
      </c>
      <c r="I16" s="64" t="s">
        <v>229</v>
      </c>
    </row>
    <row r="17" spans="2:9" x14ac:dyDescent="0.35">
      <c r="B17" s="93" t="s">
        <v>210</v>
      </c>
      <c r="C17" s="97">
        <v>950</v>
      </c>
      <c r="E17">
        <v>950</v>
      </c>
      <c r="F17">
        <v>950</v>
      </c>
      <c r="G17">
        <v>1000</v>
      </c>
      <c r="I17" s="64" t="s">
        <v>230</v>
      </c>
    </row>
    <row r="18" spans="2:9" x14ac:dyDescent="0.35">
      <c r="B18" s="93" t="s">
        <v>211</v>
      </c>
      <c r="C18" s="97">
        <v>875</v>
      </c>
      <c r="E18">
        <v>875</v>
      </c>
      <c r="F18">
        <v>875</v>
      </c>
      <c r="G18">
        <v>720</v>
      </c>
      <c r="I18" s="64" t="s">
        <v>132</v>
      </c>
    </row>
    <row r="19" spans="2:9" x14ac:dyDescent="0.35">
      <c r="B19" s="93" t="s">
        <v>212</v>
      </c>
      <c r="C19" s="94" t="s">
        <v>213</v>
      </c>
    </row>
    <row r="20" spans="2:9" x14ac:dyDescent="0.35">
      <c r="B20" s="93" t="s">
        <v>214</v>
      </c>
      <c r="C20" s="94" t="s">
        <v>215</v>
      </c>
    </row>
    <row r="21" spans="2:9" x14ac:dyDescent="0.35">
      <c r="B21" s="93" t="s">
        <v>216</v>
      </c>
      <c r="C21" s="97">
        <v>995</v>
      </c>
      <c r="E21">
        <v>995</v>
      </c>
      <c r="F21">
        <v>995</v>
      </c>
      <c r="G21">
        <v>995</v>
      </c>
      <c r="H21">
        <v>3500</v>
      </c>
    </row>
    <row r="22" spans="2:9" x14ac:dyDescent="0.35">
      <c r="B22" s="93" t="s">
        <v>217</v>
      </c>
      <c r="C22" s="94" t="s">
        <v>218</v>
      </c>
      <c r="G22">
        <v>35</v>
      </c>
    </row>
    <row r="23" spans="2:9" x14ac:dyDescent="0.35">
      <c r="B23" s="95" t="s">
        <v>219</v>
      </c>
      <c r="C23" s="98" t="s">
        <v>220</v>
      </c>
      <c r="G23">
        <v>295</v>
      </c>
    </row>
    <row r="24" spans="2:9" x14ac:dyDescent="0.35">
      <c r="B24" s="93" t="s">
        <v>221</v>
      </c>
      <c r="C24" s="99">
        <v>528.49</v>
      </c>
      <c r="E24">
        <f>SUM(E16:E23)</f>
        <v>4016.25</v>
      </c>
      <c r="F24">
        <f>SUM(F16:F23)</f>
        <v>4233.75</v>
      </c>
      <c r="G24" s="101">
        <f>SUM(G16:G23)</f>
        <v>5945</v>
      </c>
    </row>
    <row r="25" spans="2:9" x14ac:dyDescent="0.35">
      <c r="B25" s="95" t="s">
        <v>222</v>
      </c>
      <c r="C25" s="94" t="s">
        <v>223</v>
      </c>
    </row>
    <row r="26" spans="2:9" x14ac:dyDescent="0.35">
      <c r="F26" s="43">
        <v>6.4399999999999999E-2</v>
      </c>
      <c r="H26" s="43">
        <v>7.9899999999999999E-2</v>
      </c>
    </row>
    <row r="27" spans="2:9" x14ac:dyDescent="0.35">
      <c r="F27" t="s">
        <v>278</v>
      </c>
    </row>
    <row r="28" spans="2:9" x14ac:dyDescent="0.35">
      <c r="B28" s="123" t="s">
        <v>38</v>
      </c>
      <c r="C28" s="120"/>
      <c r="D28" s="120"/>
      <c r="E28" s="120"/>
      <c r="F28" s="120"/>
      <c r="G28" s="120"/>
      <c r="H28" s="120"/>
      <c r="I28" s="120"/>
    </row>
    <row r="29" spans="2:9" x14ac:dyDescent="0.35">
      <c r="B29" s="120"/>
      <c r="C29" s="120" t="s">
        <v>288</v>
      </c>
      <c r="D29" s="120" t="s">
        <v>289</v>
      </c>
      <c r="E29" s="120" t="s">
        <v>290</v>
      </c>
      <c r="F29" s="120" t="s">
        <v>87</v>
      </c>
      <c r="G29" s="123" t="s">
        <v>291</v>
      </c>
      <c r="H29" s="120" t="s">
        <v>292</v>
      </c>
      <c r="I29" s="120"/>
    </row>
    <row r="30" spans="2:9" x14ac:dyDescent="0.35">
      <c r="B30" s="120" t="s">
        <v>287</v>
      </c>
      <c r="C30" s="120"/>
      <c r="D30" s="121">
        <v>15000</v>
      </c>
      <c r="E30" s="124">
        <v>12536.53</v>
      </c>
      <c r="F30" s="121">
        <f>SUM(D30:E30)</f>
        <v>27536.53</v>
      </c>
      <c r="G30" s="121">
        <v>13600</v>
      </c>
      <c r="H30" s="122">
        <f>SUM(F30:G30)</f>
        <v>41136.53</v>
      </c>
      <c r="I30" s="120"/>
    </row>
    <row r="31" spans="2:9" x14ac:dyDescent="0.35">
      <c r="B31" s="123" t="s">
        <v>285</v>
      </c>
      <c r="C31" s="124">
        <v>9713.69</v>
      </c>
      <c r="D31" s="124">
        <v>28000</v>
      </c>
      <c r="E31" s="120"/>
      <c r="F31" s="124">
        <f>SUM(C31:E31)</f>
        <v>37713.69</v>
      </c>
      <c r="G31" s="124">
        <v>7375</v>
      </c>
      <c r="H31" s="125">
        <f>SUM(F31:G31)</f>
        <v>45088.69</v>
      </c>
      <c r="I31" s="120"/>
    </row>
    <row r="32" spans="2:9" x14ac:dyDescent="0.35">
      <c r="B32" s="123" t="s">
        <v>286</v>
      </c>
      <c r="C32" s="124">
        <v>61343.85</v>
      </c>
      <c r="D32" s="120"/>
      <c r="E32" s="120"/>
      <c r="F32" s="124">
        <f>SUM(C32:E32)</f>
        <v>61343.85</v>
      </c>
      <c r="G32" s="120">
        <v>0</v>
      </c>
      <c r="H32" s="125">
        <f>SUM(F32:G32)</f>
        <v>61343.85</v>
      </c>
      <c r="I32" s="120"/>
    </row>
    <row r="33" spans="2:9" x14ac:dyDescent="0.35">
      <c r="B33" s="120"/>
      <c r="C33" s="120"/>
      <c r="D33" s="120"/>
      <c r="E33" s="120"/>
      <c r="F33" s="120"/>
      <c r="G33" s="120"/>
      <c r="H33" s="120"/>
      <c r="I33" s="120"/>
    </row>
    <row r="34" spans="2:9" x14ac:dyDescent="0.35">
      <c r="B34" s="123" t="s">
        <v>1</v>
      </c>
      <c r="C34" s="120"/>
      <c r="D34" s="120"/>
      <c r="E34" s="120"/>
      <c r="F34" s="120"/>
      <c r="G34" s="120"/>
      <c r="H34" s="120"/>
      <c r="I34" s="120"/>
    </row>
    <row r="35" spans="2:9" x14ac:dyDescent="0.35">
      <c r="B35" s="120"/>
      <c r="C35" s="120" t="s">
        <v>293</v>
      </c>
      <c r="D35" s="120" t="s">
        <v>289</v>
      </c>
      <c r="E35" s="120"/>
      <c r="F35" s="120"/>
      <c r="G35" s="123" t="s">
        <v>291</v>
      </c>
      <c r="H35" s="120"/>
      <c r="I35" s="120"/>
    </row>
    <row r="36" spans="2:9" x14ac:dyDescent="0.35">
      <c r="B36" s="120" t="s">
        <v>287</v>
      </c>
      <c r="C36" s="120">
        <v>6209</v>
      </c>
      <c r="D36" s="120">
        <v>0</v>
      </c>
      <c r="E36" s="120"/>
      <c r="F36" s="120">
        <f>SUM(C36:E36)</f>
        <v>6209</v>
      </c>
      <c r="G36" s="121">
        <v>13600</v>
      </c>
      <c r="H36" s="126">
        <f>SUM(F36:G36)</f>
        <v>19809</v>
      </c>
      <c r="I36" s="122">
        <f>SUM(H30,H36)</f>
        <v>60945.53</v>
      </c>
    </row>
    <row r="37" spans="2:9" x14ac:dyDescent="0.35">
      <c r="B37" s="123" t="s">
        <v>285</v>
      </c>
      <c r="C37" s="124">
        <v>2388.38</v>
      </c>
      <c r="D37" s="120">
        <v>14000</v>
      </c>
      <c r="E37" s="120"/>
      <c r="F37" s="124">
        <f>SUM(C37:E37)</f>
        <v>16388.38</v>
      </c>
      <c r="G37" s="124">
        <v>7375</v>
      </c>
      <c r="H37" s="127">
        <f>SUM(F37:G37)</f>
        <v>23763.38</v>
      </c>
      <c r="I37" s="125">
        <f>SUM(H31,H37)</f>
        <v>68852.070000000007</v>
      </c>
    </row>
    <row r="38" spans="2:9" x14ac:dyDescent="0.35">
      <c r="B38" s="123" t="s">
        <v>286</v>
      </c>
      <c r="C38" s="124">
        <v>13964.12</v>
      </c>
      <c r="D38" s="120"/>
      <c r="E38" s="120"/>
      <c r="F38" s="124">
        <f>SUM(C38:E38)</f>
        <v>13964.12</v>
      </c>
      <c r="G38" s="120">
        <v>21500</v>
      </c>
      <c r="H38" s="125">
        <f>SUM(F38:G38)</f>
        <v>35464.120000000003</v>
      </c>
      <c r="I38" s="125">
        <f>SUM(H32,H38)</f>
        <v>96807.97</v>
      </c>
    </row>
    <row r="43" spans="2:9" x14ac:dyDescent="0.35">
      <c r="C43" s="123" t="s">
        <v>306</v>
      </c>
      <c r="D43" s="123" t="s">
        <v>307</v>
      </c>
      <c r="E43" s="123" t="s">
        <v>308</v>
      </c>
      <c r="F43" s="123" t="s">
        <v>57</v>
      </c>
      <c r="G43" s="123" t="s">
        <v>310</v>
      </c>
      <c r="H43" s="120" t="s">
        <v>311</v>
      </c>
      <c r="I43" s="8"/>
    </row>
    <row r="44" spans="2:9" x14ac:dyDescent="0.35">
      <c r="B44" t="s">
        <v>312</v>
      </c>
      <c r="C44" s="120" t="s">
        <v>305</v>
      </c>
      <c r="D44" s="129">
        <v>45280</v>
      </c>
      <c r="E44" s="129">
        <v>47107</v>
      </c>
      <c r="F44" s="121">
        <v>17000</v>
      </c>
      <c r="G44" s="120">
        <v>15</v>
      </c>
      <c r="H44" s="123"/>
      <c r="I44" s="8"/>
    </row>
    <row r="45" spans="2:9" x14ac:dyDescent="0.35">
      <c r="B45" t="s">
        <v>313</v>
      </c>
      <c r="C45" s="128" t="s">
        <v>309</v>
      </c>
      <c r="D45" s="129">
        <v>45594</v>
      </c>
      <c r="E45" s="129">
        <v>47055</v>
      </c>
      <c r="F45" s="121">
        <v>7000</v>
      </c>
      <c r="G45" s="120">
        <v>25</v>
      </c>
      <c r="H45" s="123"/>
      <c r="I45" s="8"/>
    </row>
    <row r="46" spans="2:9" ht="18.5" x14ac:dyDescent="0.45">
      <c r="B46" t="s">
        <v>314</v>
      </c>
      <c r="C46" s="171" t="s">
        <v>505</v>
      </c>
      <c r="D46" s="129">
        <v>45791</v>
      </c>
      <c r="E46" s="129">
        <v>11091</v>
      </c>
      <c r="F46" s="120">
        <v>20000</v>
      </c>
      <c r="G46" s="120"/>
      <c r="H46" s="172"/>
    </row>
    <row r="47" spans="2:9" x14ac:dyDescent="0.35">
      <c r="B47" t="s">
        <v>315</v>
      </c>
    </row>
    <row r="48" spans="2:9" x14ac:dyDescent="0.35">
      <c r="B48" t="s">
        <v>316</v>
      </c>
    </row>
    <row r="51" spans="2:8" x14ac:dyDescent="0.35">
      <c r="B51" s="104" t="s">
        <v>323</v>
      </c>
    </row>
    <row r="52" spans="2:8" x14ac:dyDescent="0.35">
      <c r="B52" s="136"/>
      <c r="C52" s="137" t="s">
        <v>298</v>
      </c>
      <c r="D52" s="137" t="s">
        <v>299</v>
      </c>
      <c r="E52" s="137" t="s">
        <v>199</v>
      </c>
      <c r="F52" s="137" t="s">
        <v>300</v>
      </c>
      <c r="G52" s="137" t="s">
        <v>198</v>
      </c>
      <c r="H52" s="137" t="s">
        <v>301</v>
      </c>
    </row>
    <row r="53" spans="2:8" x14ac:dyDescent="0.35">
      <c r="B53" s="137" t="s">
        <v>294</v>
      </c>
      <c r="C53" s="138">
        <v>27537</v>
      </c>
      <c r="D53" s="136"/>
      <c r="E53" s="137">
        <v>37713</v>
      </c>
      <c r="F53" s="136"/>
      <c r="G53" s="137">
        <v>61343</v>
      </c>
      <c r="H53" s="136"/>
    </row>
    <row r="54" spans="2:8" x14ac:dyDescent="0.35">
      <c r="B54" s="137" t="s">
        <v>295</v>
      </c>
      <c r="C54" s="138">
        <v>13600</v>
      </c>
      <c r="D54" s="136"/>
      <c r="E54" s="137">
        <v>7375</v>
      </c>
      <c r="F54" s="136"/>
      <c r="G54" s="137">
        <v>0</v>
      </c>
      <c r="H54" s="136"/>
    </row>
    <row r="55" spans="2:8" x14ac:dyDescent="0.35">
      <c r="B55" s="136"/>
      <c r="C55" s="136"/>
      <c r="D55" s="139">
        <v>41137</v>
      </c>
      <c r="E55" s="136"/>
      <c r="F55" s="139">
        <v>45088</v>
      </c>
      <c r="G55" s="136"/>
      <c r="H55" s="139">
        <v>61343</v>
      </c>
    </row>
    <row r="56" spans="2:8" x14ac:dyDescent="0.35">
      <c r="B56" s="137" t="s">
        <v>296</v>
      </c>
      <c r="C56" s="137">
        <v>6209</v>
      </c>
      <c r="D56" s="136"/>
      <c r="E56" s="137">
        <v>16388</v>
      </c>
      <c r="F56" s="136"/>
      <c r="G56" s="137">
        <v>13964</v>
      </c>
      <c r="H56" s="136"/>
    </row>
    <row r="57" spans="2:8" x14ac:dyDescent="0.35">
      <c r="B57" s="137" t="s">
        <v>297</v>
      </c>
      <c r="C57" s="138">
        <v>13600</v>
      </c>
      <c r="D57" s="136"/>
      <c r="E57" s="137">
        <v>7375</v>
      </c>
      <c r="F57" s="136"/>
      <c r="G57" s="137">
        <v>21500</v>
      </c>
      <c r="H57" s="136"/>
    </row>
    <row r="58" spans="2:8" x14ac:dyDescent="0.35">
      <c r="B58" s="136"/>
      <c r="C58" s="136"/>
      <c r="D58" s="140">
        <v>19809</v>
      </c>
      <c r="E58" s="136"/>
      <c r="F58" s="140">
        <v>23763</v>
      </c>
      <c r="G58" s="136"/>
      <c r="H58" s="140">
        <v>35464</v>
      </c>
    </row>
    <row r="59" spans="2:8" x14ac:dyDescent="0.35">
      <c r="B59" s="131"/>
      <c r="C59" s="131"/>
      <c r="D59" s="131"/>
      <c r="E59" s="131"/>
      <c r="F59" s="131"/>
      <c r="G59" s="131"/>
      <c r="H59" s="131"/>
    </row>
    <row r="60" spans="2:8" ht="17.5" x14ac:dyDescent="0.35">
      <c r="B60" s="59" t="s">
        <v>292</v>
      </c>
      <c r="C60" s="131"/>
      <c r="D60" s="132">
        <v>60946</v>
      </c>
      <c r="E60" s="131"/>
      <c r="F60" s="132">
        <v>68851</v>
      </c>
      <c r="G60" s="131"/>
      <c r="H60" s="132">
        <v>96807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P27"/>
  <sheetViews>
    <sheetView workbookViewId="0">
      <selection activeCell="D3" sqref="D3"/>
    </sheetView>
  </sheetViews>
  <sheetFormatPr defaultColWidth="10.6640625" defaultRowHeight="15.5" x14ac:dyDescent="0.35"/>
  <cols>
    <col min="5" max="5" width="24" customWidth="1"/>
  </cols>
  <sheetData>
    <row r="3" spans="3:9" x14ac:dyDescent="0.35">
      <c r="C3" s="2">
        <v>25000</v>
      </c>
      <c r="D3" t="s">
        <v>320</v>
      </c>
      <c r="F3" t="s">
        <v>319</v>
      </c>
    </row>
    <row r="4" spans="3:9" x14ac:dyDescent="0.35">
      <c r="C4" s="2">
        <v>50000</v>
      </c>
      <c r="D4" t="s">
        <v>321</v>
      </c>
      <c r="E4" t="s">
        <v>322</v>
      </c>
    </row>
    <row r="10" spans="3:9" x14ac:dyDescent="0.35">
      <c r="C10" s="5" t="s">
        <v>329</v>
      </c>
      <c r="I10" s="133" t="s">
        <v>336</v>
      </c>
    </row>
    <row r="11" spans="3:9" x14ac:dyDescent="0.35">
      <c r="C11" s="5" t="s">
        <v>330</v>
      </c>
      <c r="I11" s="133" t="s">
        <v>337</v>
      </c>
    </row>
    <row r="12" spans="3:9" x14ac:dyDescent="0.35">
      <c r="C12" s="5" t="s">
        <v>331</v>
      </c>
      <c r="I12" s="133" t="s">
        <v>338</v>
      </c>
    </row>
    <row r="13" spans="3:9" x14ac:dyDescent="0.35">
      <c r="C13" s="5" t="s">
        <v>332</v>
      </c>
      <c r="I13" s="133" t="s">
        <v>339</v>
      </c>
    </row>
    <row r="14" spans="3:9" x14ac:dyDescent="0.35">
      <c r="C14" s="5" t="s">
        <v>333</v>
      </c>
      <c r="I14" s="133" t="s">
        <v>340</v>
      </c>
    </row>
    <row r="15" spans="3:9" x14ac:dyDescent="0.35">
      <c r="C15" s="5" t="s">
        <v>334</v>
      </c>
      <c r="I15" s="133" t="s">
        <v>341</v>
      </c>
    </row>
    <row r="16" spans="3:9" x14ac:dyDescent="0.35">
      <c r="C16" s="5" t="s">
        <v>335</v>
      </c>
      <c r="I16" s="133" t="s">
        <v>342</v>
      </c>
    </row>
    <row r="17" spans="9:16" x14ac:dyDescent="0.35">
      <c r="I17" s="133" t="s">
        <v>343</v>
      </c>
    </row>
    <row r="18" spans="9:16" x14ac:dyDescent="0.35">
      <c r="I18" s="133" t="s">
        <v>344</v>
      </c>
    </row>
    <row r="19" spans="9:16" x14ac:dyDescent="0.35">
      <c r="I19" s="133" t="s">
        <v>345</v>
      </c>
      <c r="P19">
        <v>120</v>
      </c>
    </row>
    <row r="21" spans="9:16" x14ac:dyDescent="0.35">
      <c r="I21" s="133" t="s">
        <v>358</v>
      </c>
      <c r="P21">
        <v>720</v>
      </c>
    </row>
    <row r="22" spans="9:16" x14ac:dyDescent="0.35">
      <c r="I22" s="133" t="s">
        <v>359</v>
      </c>
      <c r="K22">
        <v>1500</v>
      </c>
      <c r="P22">
        <v>1000</v>
      </c>
    </row>
    <row r="23" spans="9:16" x14ac:dyDescent="0.35">
      <c r="I23" s="133" t="s">
        <v>237</v>
      </c>
      <c r="K23">
        <v>2000</v>
      </c>
      <c r="L23" t="s">
        <v>98</v>
      </c>
      <c r="P23">
        <v>995</v>
      </c>
    </row>
    <row r="24" spans="9:16" x14ac:dyDescent="0.35">
      <c r="I24" s="133" t="s">
        <v>360</v>
      </c>
      <c r="P24">
        <v>295</v>
      </c>
    </row>
    <row r="25" spans="9:16" x14ac:dyDescent="0.35">
      <c r="I25" s="133" t="s">
        <v>361</v>
      </c>
      <c r="K25">
        <v>350</v>
      </c>
    </row>
    <row r="26" spans="9:16" x14ac:dyDescent="0.35">
      <c r="I26" s="133" t="s">
        <v>362</v>
      </c>
      <c r="K26">
        <v>1450</v>
      </c>
    </row>
    <row r="27" spans="9:16" x14ac:dyDescent="0.35">
      <c r="I27" s="133" t="s">
        <v>363</v>
      </c>
      <c r="K27">
        <v>2000</v>
      </c>
    </row>
  </sheetData>
  <hyperlinks>
    <hyperlink ref="C10" r:id="rId1" xr:uid="{00000000-0004-0000-0800-000000000000}"/>
    <hyperlink ref="C11" r:id="rId2" xr:uid="{00000000-0004-0000-0800-000001000000}"/>
    <hyperlink ref="C12" r:id="rId3" xr:uid="{00000000-0004-0000-0800-000002000000}"/>
    <hyperlink ref="C13" r:id="rId4" xr:uid="{00000000-0004-0000-0800-000003000000}"/>
    <hyperlink ref="C14" r:id="rId5" xr:uid="{00000000-0004-0000-0800-000004000000}"/>
    <hyperlink ref="C15" r:id="rId6" xr:uid="{00000000-0004-0000-0800-000005000000}"/>
    <hyperlink ref="C16" r:id="rId7" xr:uid="{00000000-0004-0000-0800-000006000000}"/>
  </hyperlinks>
  <pageMargins left="0.75" right="0.75" top="1" bottom="1" header="0.5" footer="0.5"/>
  <pageSetup paperSize="9" orientation="portrait"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Active Loans</vt:lpstr>
      <vt:lpstr>Sheet8</vt:lpstr>
      <vt:lpstr>Palani</vt:lpstr>
      <vt:lpstr>Cricket</vt:lpstr>
      <vt:lpstr>Sheet6</vt:lpstr>
      <vt:lpstr>Lending</vt:lpstr>
      <vt:lpstr>Sheet5</vt:lpstr>
      <vt:lpstr>Sheet3</vt:lpstr>
      <vt:lpstr>Tax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Manoharan, Shibu</cp:lastModifiedBy>
  <dcterms:created xsi:type="dcterms:W3CDTF">2019-12-25T13:32:06Z</dcterms:created>
  <dcterms:modified xsi:type="dcterms:W3CDTF">2020-12-04T01:01:39Z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f0749-435c-47bb-bc94-a4b9e551edbc_Enabled">
    <vt:lpwstr>True</vt:lpwstr>
  </property>
  <property fmtid="{D5CDD505-2E9C-101B-9397-08002B2CF9AE}" pid="3" name="MSIP_Label_fadf0749-435c-47bb-bc94-a4b9e551edbc_SiteId">
    <vt:lpwstr>53b7cac7-14be-46d4-be43-f2ad9244d901</vt:lpwstr>
  </property>
  <property fmtid="{D5CDD505-2E9C-101B-9397-08002B2CF9AE}" pid="4" name="MSIP_Label_fadf0749-435c-47bb-bc94-a4b9e551edbc_Owner">
    <vt:lpwstr>shibu.manoharan@contractor.axaxl.com</vt:lpwstr>
  </property>
  <property fmtid="{D5CDD505-2E9C-101B-9397-08002B2CF9AE}" pid="5" name="MSIP_Label_fadf0749-435c-47bb-bc94-a4b9e551edbc_SetDate">
    <vt:lpwstr>2020-12-04T00:42:34.6542438Z</vt:lpwstr>
  </property>
  <property fmtid="{D5CDD505-2E9C-101B-9397-08002B2CF9AE}" pid="6" name="MSIP_Label_fadf0749-435c-47bb-bc94-a4b9e551edbc_Name">
    <vt:lpwstr>Unsecured Content</vt:lpwstr>
  </property>
  <property fmtid="{D5CDD505-2E9C-101B-9397-08002B2CF9AE}" pid="7" name="MSIP_Label_fadf0749-435c-47bb-bc94-a4b9e551edbc_Application">
    <vt:lpwstr>Microsoft Azure Information Protection</vt:lpwstr>
  </property>
  <property fmtid="{D5CDD505-2E9C-101B-9397-08002B2CF9AE}" pid="8" name="MSIP_Label_fadf0749-435c-47bb-bc94-a4b9e551edbc_ActionId">
    <vt:lpwstr>9e25d2a8-7f45-4fbf-a234-ba391c84d18c</vt:lpwstr>
  </property>
  <property fmtid="{D5CDD505-2E9C-101B-9397-08002B2CF9AE}" pid="9" name="MSIP_Label_fadf0749-435c-47bb-bc94-a4b9e551edbc_Extended_MSFT_Method">
    <vt:lpwstr>Automatic</vt:lpwstr>
  </property>
  <property fmtid="{D5CDD505-2E9C-101B-9397-08002B2CF9AE}" pid="10" name="Sensitivity">
    <vt:lpwstr>Unsecured Content</vt:lpwstr>
  </property>
</Properties>
</file>