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c0d619dc0dfa08/Desktop/"/>
    </mc:Choice>
  </mc:AlternateContent>
  <xr:revisionPtr revIDLastSave="161" documentId="13_ncr:1_{D4A7FFC0-F061-460F-AFB9-F9444B66092D}" xr6:coauthVersionLast="47" xr6:coauthVersionMax="47" xr10:uidLastSave="{76C9125F-D838-4E19-8C89-13247A4CF1D6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94" i="1" l="1"/>
  <c r="J1439" i="1"/>
  <c r="J1440" i="1"/>
  <c r="J1441" i="1"/>
  <c r="J1437" i="1"/>
  <c r="M1439" i="1"/>
  <c r="E439" i="1"/>
  <c r="C440" i="1"/>
  <c r="C439" i="1"/>
  <c r="E564" i="1"/>
  <c r="E587" i="1"/>
  <c r="D586" i="1"/>
  <c r="F756" i="1"/>
  <c r="F754" i="1"/>
  <c r="E752" i="1"/>
  <c r="D748" i="1"/>
  <c r="D206" i="1"/>
  <c r="C201" i="1"/>
  <c r="C198" i="1"/>
  <c r="C194" i="1"/>
  <c r="E192" i="1"/>
  <c r="C187" i="1"/>
  <c r="H176" i="1"/>
  <c r="C358" i="1"/>
  <c r="C357" i="1"/>
  <c r="D346" i="1"/>
  <c r="C352" i="1" s="1"/>
  <c r="E350" i="1"/>
  <c r="H338" i="1"/>
  <c r="E340" i="1"/>
  <c r="E339" i="1"/>
  <c r="E338" i="1"/>
  <c r="E1392" i="1"/>
  <c r="E1396" i="1"/>
  <c r="E1394" i="1"/>
  <c r="E1391" i="1"/>
  <c r="E1389" i="1"/>
  <c r="D1385" i="1"/>
  <c r="D1383" i="1"/>
  <c r="F1375" i="1"/>
  <c r="F1376" i="1"/>
  <c r="F1377" i="1"/>
  <c r="F1378" i="1"/>
  <c r="F1379" i="1"/>
  <c r="F1374" i="1"/>
  <c r="E1375" i="1"/>
  <c r="E1376" i="1"/>
  <c r="E1377" i="1"/>
  <c r="E1378" i="1"/>
  <c r="E1379" i="1"/>
  <c r="E1374" i="1"/>
  <c r="C318" i="1"/>
  <c r="H314" i="1"/>
  <c r="C313" i="1" s="1"/>
  <c r="D584" i="1"/>
  <c r="C687" i="1"/>
  <c r="D697" i="1"/>
  <c r="H1432" i="1"/>
  <c r="D1462" i="1" s="1"/>
  <c r="D1460" i="1"/>
  <c r="E1458" i="1"/>
  <c r="E1446" i="1"/>
  <c r="E1439" i="1"/>
  <c r="E1440" i="1"/>
  <c r="E1441" i="1"/>
  <c r="E1442" i="1"/>
  <c r="E1438" i="1"/>
  <c r="H1422" i="1"/>
  <c r="H1423" i="1"/>
  <c r="H1424" i="1"/>
  <c r="H1425" i="1"/>
  <c r="H1426" i="1"/>
  <c r="H1427" i="1"/>
  <c r="H1428" i="1"/>
  <c r="H1429" i="1"/>
  <c r="H1430" i="1"/>
  <c r="H1431" i="1"/>
  <c r="G1423" i="1"/>
  <c r="G1424" i="1"/>
  <c r="G1425" i="1"/>
  <c r="G1426" i="1"/>
  <c r="G1427" i="1"/>
  <c r="G1428" i="1"/>
  <c r="G1429" i="1"/>
  <c r="G1430" i="1"/>
  <c r="G1431" i="1"/>
  <c r="G1422" i="1"/>
  <c r="F1434" i="1"/>
  <c r="E1423" i="1"/>
  <c r="E1424" i="1"/>
  <c r="E1425" i="1"/>
  <c r="E1426" i="1"/>
  <c r="E1427" i="1"/>
  <c r="E1428" i="1"/>
  <c r="E1429" i="1"/>
  <c r="E1430" i="1"/>
  <c r="E1431" i="1"/>
  <c r="E1422" i="1"/>
  <c r="C1415" i="1"/>
  <c r="F559" i="1"/>
  <c r="G542" i="1"/>
  <c r="G541" i="1"/>
  <c r="E529" i="1"/>
  <c r="E527" i="1"/>
  <c r="B517" i="1"/>
  <c r="C1214" i="1"/>
  <c r="C1199" i="1"/>
  <c r="C1198" i="1"/>
  <c r="I1197" i="1"/>
  <c r="E1189" i="1"/>
  <c r="J1027" i="1"/>
  <c r="J1025" i="1"/>
  <c r="D1025" i="1"/>
  <c r="D1027" i="1" s="1"/>
  <c r="J1024" i="1"/>
  <c r="J1023" i="1"/>
  <c r="J1022" i="1"/>
  <c r="J1021" i="1"/>
  <c r="D1024" i="1"/>
  <c r="D1023" i="1"/>
  <c r="D1021" i="1"/>
  <c r="E1013" i="1"/>
  <c r="D1022" i="1" s="1"/>
  <c r="E1014" i="1"/>
  <c r="F1014" i="1" s="1"/>
  <c r="E1015" i="1"/>
  <c r="F1015" i="1" s="1"/>
  <c r="E1016" i="1"/>
  <c r="F1016" i="1" s="1"/>
  <c r="E1017" i="1"/>
  <c r="F1017" i="1" s="1"/>
  <c r="D1534" i="1"/>
  <c r="D1535" i="1" s="1"/>
  <c r="D1492" i="1"/>
  <c r="D1490" i="1"/>
  <c r="G1480" i="1" s="1"/>
  <c r="E1481" i="1"/>
  <c r="E1482" i="1"/>
  <c r="E1483" i="1"/>
  <c r="E1484" i="1"/>
  <c r="E1485" i="1"/>
  <c r="E1480" i="1"/>
  <c r="C690" i="1"/>
  <c r="D621" i="1"/>
  <c r="D609" i="1"/>
  <c r="D608" i="1"/>
  <c r="E582" i="1"/>
  <c r="G576" i="1"/>
  <c r="H576" i="1"/>
  <c r="H577" i="1"/>
  <c r="H578" i="1"/>
  <c r="H579" i="1"/>
  <c r="H580" i="1"/>
  <c r="H581" i="1"/>
  <c r="G577" i="1"/>
  <c r="G578" i="1"/>
  <c r="G579" i="1"/>
  <c r="G580" i="1"/>
  <c r="G581" i="1"/>
  <c r="E130" i="1"/>
  <c r="D98" i="1"/>
  <c r="D97" i="1"/>
  <c r="F92" i="1"/>
  <c r="D64" i="1"/>
  <c r="D63" i="1"/>
  <c r="H56" i="1"/>
  <c r="F1126" i="1"/>
  <c r="F1127" i="1" s="1"/>
  <c r="F1128" i="1" s="1"/>
  <c r="F1129" i="1" s="1"/>
  <c r="C1130" i="1"/>
  <c r="H1125" i="1" s="1"/>
  <c r="C1209" i="1"/>
  <c r="E1202" i="1"/>
  <c r="D1230" i="1" s="1"/>
  <c r="E913" i="1"/>
  <c r="H939" i="1"/>
  <c r="E912" i="1" s="1"/>
  <c r="L916" i="1"/>
  <c r="D25" i="1"/>
  <c r="D26" i="1"/>
  <c r="H18" i="1"/>
  <c r="D1297" i="1"/>
  <c r="F368" i="1"/>
  <c r="M1438" i="1" l="1"/>
  <c r="H1480" i="1"/>
  <c r="E1532" i="1"/>
  <c r="F1532" i="1" s="1"/>
  <c r="G1532" i="1" s="1"/>
  <c r="E1528" i="1"/>
  <c r="F1528" i="1" s="1"/>
  <c r="G1528" i="1" s="1"/>
  <c r="E1529" i="1"/>
  <c r="F1529" i="1" s="1"/>
  <c r="G1529" i="1" s="1"/>
  <c r="E1530" i="1"/>
  <c r="F1530" i="1" s="1"/>
  <c r="G1530" i="1" s="1"/>
  <c r="E1531" i="1"/>
  <c r="F1531" i="1" s="1"/>
  <c r="G1531" i="1" s="1"/>
  <c r="E1527" i="1"/>
  <c r="F1527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F1013" i="1"/>
  <c r="H582" i="1"/>
  <c r="G582" i="1"/>
  <c r="D611" i="1"/>
  <c r="E615" i="1"/>
  <c r="G615" i="1" s="1"/>
  <c r="H615" i="1" s="1"/>
  <c r="E616" i="1"/>
  <c r="E620" i="1"/>
  <c r="G620" i="1" s="1"/>
  <c r="H620" i="1" s="1"/>
  <c r="E619" i="1"/>
  <c r="G619" i="1" s="1"/>
  <c r="H619" i="1" s="1"/>
  <c r="E618" i="1"/>
  <c r="G618" i="1" s="1"/>
  <c r="H618" i="1" s="1"/>
  <c r="E617" i="1"/>
  <c r="G617" i="1" s="1"/>
  <c r="H617" i="1" s="1"/>
  <c r="G616" i="1"/>
  <c r="H616" i="1" s="1"/>
  <c r="F70" i="1"/>
  <c r="E1206" i="1"/>
  <c r="H1126" i="1"/>
  <c r="H1127" i="1" s="1"/>
  <c r="H1128" i="1" s="1"/>
  <c r="H1129" i="1" s="1"/>
  <c r="D32" i="1"/>
  <c r="D237" i="1"/>
  <c r="C141" i="1"/>
  <c r="H145" i="1" s="1"/>
  <c r="F1533" i="1" l="1"/>
  <c r="G1527" i="1"/>
  <c r="G1533" i="1" s="1"/>
  <c r="H621" i="1"/>
  <c r="F1501" i="1"/>
  <c r="F1503" i="1"/>
  <c r="C1411" i="1"/>
  <c r="D1272" i="1"/>
  <c r="C1278" i="1" s="1"/>
  <c r="E1228" i="1"/>
  <c r="D1228" i="1"/>
  <c r="C1063" i="1"/>
  <c r="D1052" i="1"/>
  <c r="D1053" i="1" s="1"/>
  <c r="D1054" i="1" s="1"/>
  <c r="D1055" i="1" s="1"/>
  <c r="D1056" i="1" s="1"/>
  <c r="D1057" i="1" s="1"/>
  <c r="D1058" i="1" s="1"/>
  <c r="F991" i="1"/>
  <c r="C991" i="1"/>
  <c r="D920" i="1"/>
  <c r="D921" i="1"/>
  <c r="D922" i="1" s="1"/>
  <c r="D923" i="1" s="1"/>
  <c r="D924" i="1" s="1"/>
  <c r="D925" i="1" s="1"/>
  <c r="C928" i="1"/>
  <c r="D913" i="1"/>
  <c r="D912" i="1"/>
  <c r="D914" i="1" s="1"/>
  <c r="D911" i="1"/>
  <c r="D915" i="1" s="1"/>
  <c r="G776" i="1"/>
  <c r="D776" i="1"/>
  <c r="D774" i="1"/>
  <c r="D773" i="1"/>
  <c r="D772" i="1"/>
  <c r="D746" i="1"/>
  <c r="C688" i="1"/>
  <c r="E721" i="1"/>
  <c r="E722" i="1"/>
  <c r="C720" i="1"/>
  <c r="F665" i="1"/>
  <c r="C648" i="1"/>
  <c r="C647" i="1"/>
  <c r="D515" i="1"/>
  <c r="D513" i="1"/>
  <c r="D471" i="1"/>
  <c r="D470" i="1"/>
  <c r="E450" i="1"/>
  <c r="G434" i="1"/>
  <c r="G433" i="1"/>
  <c r="D397" i="1"/>
  <c r="I395" i="1"/>
  <c r="D377" i="1"/>
  <c r="C387" i="1" s="1"/>
  <c r="F366" i="1"/>
  <c r="D348" i="1"/>
  <c r="E337" i="1"/>
  <c r="D315" i="1"/>
  <c r="C307" i="1"/>
  <c r="G306" i="1"/>
  <c r="C306" i="1"/>
  <c r="G305" i="1"/>
  <c r="C305" i="1"/>
  <c r="D281" i="1"/>
  <c r="C273" i="1"/>
  <c r="G272" i="1"/>
  <c r="G271" i="1"/>
  <c r="C271" i="1"/>
  <c r="C224" i="1"/>
  <c r="C222" i="1"/>
  <c r="C175" i="1"/>
  <c r="E190" i="1"/>
  <c r="E157" i="1"/>
  <c r="E159" i="1" s="1"/>
  <c r="C144" i="1"/>
  <c r="C142" i="1"/>
  <c r="C117" i="1"/>
  <c r="H116" i="1" s="1"/>
  <c r="C116" i="1"/>
  <c r="C115" i="1"/>
  <c r="C125" i="1" s="1"/>
  <c r="C126" i="1" s="1"/>
  <c r="D103" i="1"/>
  <c r="D104" i="1" s="1"/>
  <c r="C413" i="1"/>
  <c r="C154" i="1" l="1"/>
  <c r="C155" i="1" s="1"/>
  <c r="D162" i="1"/>
  <c r="D163" i="1"/>
  <c r="D691" i="1"/>
  <c r="D692" i="1" s="1"/>
  <c r="F697" i="1" s="1"/>
  <c r="G697" i="1" s="1"/>
  <c r="E1505" i="1"/>
  <c r="F1505" i="1" s="1"/>
  <c r="E1510" i="1"/>
  <c r="F1510" i="1" s="1"/>
  <c r="E1506" i="1"/>
  <c r="F1506" i="1" s="1"/>
  <c r="E1507" i="1"/>
  <c r="F1507" i="1" s="1"/>
  <c r="E1508" i="1"/>
  <c r="F1508" i="1" s="1"/>
  <c r="E1509" i="1"/>
  <c r="F1509" i="1" s="1"/>
  <c r="D133" i="1"/>
  <c r="D134" i="1"/>
  <c r="C1216" i="1"/>
  <c r="D1234" i="1"/>
  <c r="D1236" i="1"/>
  <c r="D916" i="1"/>
  <c r="C458" i="1"/>
  <c r="D459" i="1" s="1"/>
  <c r="C455" i="1"/>
  <c r="C419" i="1"/>
  <c r="D699" i="1" l="1"/>
  <c r="F699" i="1" s="1"/>
  <c r="G699" i="1" s="1"/>
  <c r="D698" i="1"/>
  <c r="F698" i="1" s="1"/>
  <c r="G698" i="1" s="1"/>
  <c r="D702" i="1"/>
  <c r="F702" i="1" s="1"/>
  <c r="G702" i="1" s="1"/>
  <c r="D701" i="1"/>
  <c r="F701" i="1" s="1"/>
  <c r="G701" i="1" s="1"/>
  <c r="D700" i="1"/>
  <c r="F700" i="1" s="1"/>
  <c r="G700" i="1" s="1"/>
</calcChain>
</file>

<file path=xl/sharedStrings.xml><?xml version="1.0" encoding="utf-8"?>
<sst xmlns="http://schemas.openxmlformats.org/spreadsheetml/2006/main" count="1223" uniqueCount="825">
  <si>
    <t>Lab work 2 2016</t>
  </si>
  <si>
    <t>Q.NO.4</t>
  </si>
  <si>
    <t>Following are the data of price and demand of Samsung Mobile in the market.</t>
  </si>
  <si>
    <t>Price (Rs.in 000):        12             14             15             14                 18                 17</t>
  </si>
  <si>
    <t>Demand (in 000 units):42          40            45              48                38                 45</t>
  </si>
  <si>
    <t>(a) Calculate Karl pearson's correlation coefficient.</t>
  </si>
  <si>
    <t>(b) Estimate the likely demand when the price of Samsung Mobile is Rs. 25000.</t>
  </si>
  <si>
    <t xml:space="preserve">Solution: </t>
  </si>
  <si>
    <t xml:space="preserve">Price (Rs. in 000) </t>
  </si>
  <si>
    <t>Demand (000 units )</t>
  </si>
  <si>
    <t>X</t>
  </si>
  <si>
    <t>Y</t>
  </si>
  <si>
    <t>(a)</t>
  </si>
  <si>
    <t xml:space="preserve">Karl Pearson's coefficient of correlation is </t>
  </si>
  <si>
    <t>r</t>
  </si>
  <si>
    <t>(b)</t>
  </si>
  <si>
    <t>The regression equation of Y on X is  Y  =  a +  b X . . . . . . . . .(i)</t>
  </si>
  <si>
    <t>Slope (b)</t>
  </si>
  <si>
    <t xml:space="preserve">Y -intercept (a) </t>
  </si>
  <si>
    <t xml:space="preserve">From eqution (i) </t>
  </si>
  <si>
    <t xml:space="preserve">which is the required eqn of Y on X </t>
  </si>
  <si>
    <t>When X</t>
  </si>
  <si>
    <t>(in 000 )</t>
  </si>
  <si>
    <t>Ye</t>
  </si>
  <si>
    <t>(000 units)</t>
  </si>
  <si>
    <t xml:space="preserve">Lab Work 2015 </t>
  </si>
  <si>
    <t xml:space="preserve">Q.NO. (5)  </t>
  </si>
  <si>
    <t xml:space="preserve">The following table shows the number of motor registration and the sales of tyres by a whole sale dealer in </t>
  </si>
  <si>
    <t>Kathmandu for a team of 5 years</t>
  </si>
  <si>
    <t xml:space="preserve">Motor Registration in '000' numbers </t>
  </si>
  <si>
    <t>No of tyres sold '00' numbers</t>
  </si>
  <si>
    <t>Estimate the sales of tyres when the expected motor registration next year is 90000.</t>
  </si>
  <si>
    <t>Motor Reg (in 000)</t>
  </si>
  <si>
    <t>No. of Tyres sold (in 000</t>
  </si>
  <si>
    <t>( in 00)</t>
  </si>
  <si>
    <t>Lab work 2015</t>
  </si>
  <si>
    <t>Q. NO.(5)</t>
  </si>
  <si>
    <t xml:space="preserve">The following data gives the experience of machine operations in years and their performance as given by the </t>
  </si>
  <si>
    <t>number of good parts turned out per 100 pieces</t>
  </si>
  <si>
    <t xml:space="preserve">Operator       </t>
  </si>
  <si>
    <t>Experience in years ( x)</t>
  </si>
  <si>
    <t>Performance (y)</t>
  </si>
  <si>
    <t>Calculate correlation coefficient and comment . Also obtain the regression of performance rating on experience</t>
  </si>
  <si>
    <t>and estimate the probale performance if an operator has 20 years experience.</t>
  </si>
  <si>
    <t>Solution:</t>
  </si>
  <si>
    <t>Experience in years (X)</t>
  </si>
  <si>
    <t>Q. NO. (3) A sample of 500 was drawn and the sample mean was found to be 110 .Test whether this sample could have come</t>
  </si>
  <si>
    <t>from a normal population with mean 112 and variance 100 at 5% level of significance.</t>
  </si>
  <si>
    <t>n</t>
  </si>
  <si>
    <t>X bar</t>
  </si>
  <si>
    <t>μ</t>
  </si>
  <si>
    <t>σ²</t>
  </si>
  <si>
    <t>S.E</t>
  </si>
  <si>
    <t>σ</t>
  </si>
  <si>
    <t>Hypothesis:</t>
  </si>
  <si>
    <r>
      <t xml:space="preserve">Ho: 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 xml:space="preserve"> = 112</t>
    </r>
  </si>
  <si>
    <t>The population mean is 112</t>
  </si>
  <si>
    <t>H1:μ‡ 112 (Two tailed test )</t>
  </si>
  <si>
    <t>The population mean is not 112</t>
  </si>
  <si>
    <t>Test statistic :</t>
  </si>
  <si>
    <t>Zcal</t>
  </si>
  <si>
    <t xml:space="preserve">Level of significane </t>
  </si>
  <si>
    <t>Critical value:</t>
  </si>
  <si>
    <t>Ztab</t>
  </si>
  <si>
    <t>Decision:</t>
  </si>
  <si>
    <t>Correlation and Regression:</t>
  </si>
  <si>
    <t>Hypothesis Testing:</t>
  </si>
  <si>
    <t>Lab work 2 T.U. 2016</t>
  </si>
  <si>
    <t>Q.No. 2</t>
  </si>
  <si>
    <t>A sample of 100 ducks is taken from a duck farm. The mean weight of these ducks is 4 kgs with standard deviation</t>
  </si>
  <si>
    <t xml:space="preserve">3 ks. Test the hypothesis that the mean weight of all the ducks is 5 kgs. Use confidnece limit approach at 5 % level </t>
  </si>
  <si>
    <t>of significance.</t>
  </si>
  <si>
    <t>Solution :</t>
  </si>
  <si>
    <t>sample s.d.</t>
  </si>
  <si>
    <r>
      <t>H0: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 xml:space="preserve"> = 5 kg </t>
    </r>
  </si>
  <si>
    <t>The mean height of all ducks is 5 kgs</t>
  </si>
  <si>
    <t>H1:μ ‡ 5 kgs (Two tailed test)</t>
  </si>
  <si>
    <t>The mean height of all ducks is not 5 kgs</t>
  </si>
  <si>
    <t>Confidence limit approach:</t>
  </si>
  <si>
    <t xml:space="preserve">Lower confidence limit </t>
  </si>
  <si>
    <t>upper confidence limit</t>
  </si>
  <si>
    <t>Lab work 1 2016</t>
  </si>
  <si>
    <t>Sample size</t>
  </si>
  <si>
    <t>Samsung</t>
  </si>
  <si>
    <t>Colors</t>
  </si>
  <si>
    <t>n1</t>
  </si>
  <si>
    <t>n2</t>
  </si>
  <si>
    <t>X1 bar</t>
  </si>
  <si>
    <t>X2 bar</t>
  </si>
  <si>
    <t>sample sd (s1)</t>
  </si>
  <si>
    <t>s2</t>
  </si>
  <si>
    <r>
      <t xml:space="preserve">H0: 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1  = μ2</t>
    </r>
  </si>
  <si>
    <t>There is no significant differece in the quality of mobile phones of Samsung &amp; colors</t>
  </si>
  <si>
    <r>
      <t>H1: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 xml:space="preserve">1 ‡μ2  </t>
    </r>
  </si>
  <si>
    <t xml:space="preserve">(two tailed test ) There is significant difference in the quality of mobile phones of samsung &amp; </t>
  </si>
  <si>
    <t>colors</t>
  </si>
  <si>
    <t xml:space="preserve">Level of significance </t>
  </si>
  <si>
    <t>(Assume)</t>
  </si>
  <si>
    <t>P- value approach:</t>
  </si>
  <si>
    <t>P-value</t>
  </si>
  <si>
    <t>Decision :</t>
  </si>
  <si>
    <t>Critical value pproach:</t>
  </si>
  <si>
    <t>Critical value</t>
  </si>
  <si>
    <t>Decision</t>
  </si>
  <si>
    <t xml:space="preserve">An educator claims that average IQ of college students is at most 110 and that in a study made to test this claim </t>
  </si>
  <si>
    <t>150 college students selected at random, had an average IQ of 112.2 with a standard deviation of 7.2 Use a level of</t>
  </si>
  <si>
    <t>significance of 0.01 to test this claim of the educator.</t>
  </si>
  <si>
    <t>S.E.</t>
  </si>
  <si>
    <t>s</t>
  </si>
  <si>
    <r>
      <t>H0:</t>
    </r>
    <r>
      <rPr>
        <sz val="11"/>
        <color theme="1"/>
        <rFont val="Calibri"/>
        <family val="2"/>
      </rPr>
      <t xml:space="preserve">μ = 110 </t>
    </r>
  </si>
  <si>
    <t>The average IQ of all college students is 110</t>
  </si>
  <si>
    <t>H1 :μ &gt; 110 (Right tailed test )</t>
  </si>
  <si>
    <t>The average IQ of all college students is greater than 110</t>
  </si>
  <si>
    <t>For P-value approach</t>
  </si>
  <si>
    <t>Confidence level approach</t>
  </si>
  <si>
    <t>For right tailed test:</t>
  </si>
  <si>
    <t>Upper confidence limit</t>
  </si>
  <si>
    <t>Decion:</t>
  </si>
  <si>
    <t xml:space="preserve"> </t>
  </si>
  <si>
    <t xml:space="preserve">The management of priority Health club claim that its member lose an average more than 10 pounds within the first </t>
  </si>
  <si>
    <t xml:space="preserve">month after joining the club. A customer protection agency that wanted to check this claim took a random sample of 36 </t>
  </si>
  <si>
    <t xml:space="preserve">member of this health club and found that they lost an average of 9.2 pounds within the first of membership with a </t>
  </si>
  <si>
    <t>standard deviation of 2.4 pounds. What would be your decision.</t>
  </si>
  <si>
    <r>
      <t xml:space="preserve">H0: </t>
    </r>
    <r>
      <rPr>
        <sz val="11"/>
        <color theme="1"/>
        <rFont val="Calibri"/>
        <family val="2"/>
      </rPr>
      <t xml:space="preserve">μ =10 </t>
    </r>
  </si>
  <si>
    <t>pounds</t>
  </si>
  <si>
    <t xml:space="preserve">H1:μ&lt; 10 pounds (Left tailed test) </t>
  </si>
  <si>
    <t>The mean weight loss is less than 10 pounds.</t>
  </si>
  <si>
    <t>The mean weight loss is 10 pounds</t>
  </si>
  <si>
    <t>Lower confidence limit</t>
  </si>
  <si>
    <t>For left tailed test</t>
  </si>
  <si>
    <t>Confidence limit approach</t>
  </si>
  <si>
    <r>
      <t>Fo</t>
    </r>
    <r>
      <rPr>
        <b/>
        <sz val="11"/>
        <color theme="1"/>
        <rFont val="Calibri"/>
        <family val="2"/>
        <scheme val="minor"/>
      </rPr>
      <t>r P-Value approach</t>
    </r>
    <r>
      <rPr>
        <sz val="11"/>
        <color theme="1"/>
        <rFont val="Calibri"/>
        <family val="2"/>
        <scheme val="minor"/>
      </rPr>
      <t>:</t>
    </r>
  </si>
  <si>
    <t>P-value:</t>
  </si>
  <si>
    <t>The following information gives average life of two types of mobile phones.</t>
  </si>
  <si>
    <t xml:space="preserve">Mean life in hrs </t>
  </si>
  <si>
    <t xml:space="preserve">Standard deviation in hrs </t>
  </si>
  <si>
    <t>Is there a significant difference in the quality of mobile phones at 5% level of significance ?</t>
  </si>
  <si>
    <t>Use p-value approach.</t>
  </si>
  <si>
    <t>T.U. 2015 (Theory)</t>
  </si>
  <si>
    <t>Q.NO.6</t>
  </si>
  <si>
    <t>The average marks of 60 BIM students in English was found to be 64 with standard deviation 5 and the average</t>
  </si>
  <si>
    <t xml:space="preserve">marks of 60 students of BBM in English was found to be 62 with standard deviation 4. Would you conclude that </t>
  </si>
  <si>
    <t>the the marks of the BIM students is more than the marks of BBM students.</t>
  </si>
  <si>
    <t xml:space="preserve">(i) Critical value approach </t>
  </si>
  <si>
    <t>(ii) V-value approach</t>
  </si>
  <si>
    <t>BIM</t>
  </si>
  <si>
    <t xml:space="preserve">Ther e is no significant difference in average marks beteen BIM </t>
  </si>
  <si>
    <t>BIM &amp; BBM students</t>
  </si>
  <si>
    <r>
      <t>H1:</t>
    </r>
    <r>
      <rPr>
        <sz val="11"/>
        <color theme="1"/>
        <rFont val="Calibri"/>
        <family val="2"/>
      </rPr>
      <t>μ1 &gt;μ2 (Right tailed test )</t>
    </r>
  </si>
  <si>
    <t>(Right tailed test) The average marks of BIM students is more than BBM students.</t>
  </si>
  <si>
    <t>Q. A coin is tossed 600 time and head turns up 360 times . Can the coin be regarded as unbiased at 5% level of significance?</t>
  </si>
  <si>
    <t>Sample size (n)</t>
  </si>
  <si>
    <t>Sample proportion of head(p)</t>
  </si>
  <si>
    <t>Population proportion of head (P)</t>
  </si>
  <si>
    <t>Population proportion of tail (Q)</t>
  </si>
  <si>
    <t xml:space="preserve">H0:P =0.5 </t>
  </si>
  <si>
    <t>The coin is unbiased. That is , population proportion of head is 0.5</t>
  </si>
  <si>
    <r>
      <t xml:space="preserve">H1:P </t>
    </r>
    <r>
      <rPr>
        <sz val="11"/>
        <color theme="1"/>
        <rFont val="Calibri"/>
        <family val="2"/>
      </rPr>
      <t>‡ O.5 (Two tailed test ) The coin is biased .That is , population proportion of head is no 0.5</t>
    </r>
  </si>
  <si>
    <t>Test statistic:</t>
  </si>
  <si>
    <t>Level of significance</t>
  </si>
  <si>
    <t>Critical value :</t>
  </si>
  <si>
    <t>For two tailed test</t>
  </si>
  <si>
    <t>A wholesale of eggs claims that only 5% of the eggs supplied by him are defective . A random sample of 500 eggs</t>
  </si>
  <si>
    <t>contained only 30 defective eggs . Test the claim of wholesaler.</t>
  </si>
  <si>
    <t>Population proportion of defective eggs (P)</t>
  </si>
  <si>
    <t xml:space="preserve">Population proportion of Non defective eggs (Q) </t>
  </si>
  <si>
    <t>sample proportion of defective eggs (p)</t>
  </si>
  <si>
    <t>H0 :P = 0.05</t>
  </si>
  <si>
    <t>The population proportion of defective eggs is only 0.05</t>
  </si>
  <si>
    <t>H1:P&gt; 0.05</t>
  </si>
  <si>
    <t>(Right tailed test) The proportion of defective eggs is greater than 0.05</t>
  </si>
  <si>
    <t xml:space="preserve">For right tailed test </t>
  </si>
  <si>
    <t>A manufactirer claimed at least 95 % of the equipment which he supplied to a factory confirmed to specification.</t>
  </si>
  <si>
    <t>An examination of a sample of 200 pieces of equipment revealed that 18 were faulty . Test his claim at 1 % level</t>
  </si>
  <si>
    <t xml:space="preserve">population proportion of confirmed to specification (not faulty ) equipment (P) </t>
  </si>
  <si>
    <t xml:space="preserve">Popultion proportion of faulty equipment (P) </t>
  </si>
  <si>
    <t>sample size (n)</t>
  </si>
  <si>
    <t>sample proportion of not faulty (p)</t>
  </si>
  <si>
    <t>H0:P = 0.95</t>
  </si>
  <si>
    <t>The proportion of pieces confirmed to specification in the lot is 0.95</t>
  </si>
  <si>
    <t>H1: P &lt; 0.95 (Left tailed test ) The proportion of pieces confirmed to specification in the lot is less than 0.95</t>
  </si>
  <si>
    <t>(P)</t>
  </si>
  <si>
    <t>For confidence limit approach:</t>
  </si>
  <si>
    <t>Lower confidnce limit</t>
  </si>
  <si>
    <t>Factory A</t>
  </si>
  <si>
    <t>Factory B</t>
  </si>
  <si>
    <t>p1</t>
  </si>
  <si>
    <t>p2</t>
  </si>
  <si>
    <t>Since , P in unknown, it can be estimated as</t>
  </si>
  <si>
    <t>P^</t>
  </si>
  <si>
    <t>Q^</t>
  </si>
  <si>
    <t xml:space="preserve">H0 :P1 = P2 There is no significant difference between proportion of good quality articles produced by </t>
  </si>
  <si>
    <t xml:space="preserve">factories A &amp; B </t>
  </si>
  <si>
    <t>H1 :P1 &lt;P2 (Left tailed test ) The proportion of good quality artticles produced by factory B is more than Fatory</t>
  </si>
  <si>
    <t xml:space="preserve">A </t>
  </si>
  <si>
    <t>Level of significane</t>
  </si>
  <si>
    <t>Crtical Value</t>
  </si>
  <si>
    <t>P -value approach:</t>
  </si>
  <si>
    <t xml:space="preserve">Q.  </t>
  </si>
  <si>
    <t>1000  articles from factory A are examined and found 97 % of good quality . 1500 similar articles from factory B are</t>
  </si>
  <si>
    <t>found only 2%</t>
  </si>
  <si>
    <t xml:space="preserve">of bad quality . Would you conclude that products of factory B are superior to those of </t>
  </si>
  <si>
    <t>factory A</t>
  </si>
  <si>
    <t>Samplin Distribution</t>
  </si>
  <si>
    <t>Q.NO.1</t>
  </si>
  <si>
    <t>A population consists of five numbers 2, 4, 6, 9 and 11.</t>
  </si>
  <si>
    <t xml:space="preserve">(i) </t>
  </si>
  <si>
    <t>Draw all possible samples of size two that can drawn from the population without replacement</t>
  </si>
  <si>
    <t>(ii)</t>
  </si>
  <si>
    <t>Show that the mean of the sampling distribution of mean is equal to the population mean.</t>
  </si>
  <si>
    <t>Population size (N)</t>
  </si>
  <si>
    <t xml:space="preserve">Possible number of samples of size 2 which can be drawn from the population without replacement = </t>
  </si>
  <si>
    <t>k</t>
  </si>
  <si>
    <t>Population values (Y)</t>
  </si>
  <si>
    <t xml:space="preserve">Population mean </t>
  </si>
  <si>
    <t>Population sd.</t>
  </si>
  <si>
    <t>Sample values (x)</t>
  </si>
  <si>
    <t>sample mean</t>
  </si>
  <si>
    <t>Mean of sampling distribution of means</t>
  </si>
  <si>
    <t>Hence, the mean of the sampling distribution of mean is equal to the population mean</t>
  </si>
  <si>
    <t>Additional Question</t>
  </si>
  <si>
    <t>For SRSWOR</t>
  </si>
  <si>
    <t>S.E.(X bar)</t>
  </si>
  <si>
    <t>Lab Work 2 2016</t>
  </si>
  <si>
    <t>A population consists of four numbers : 4 , 6, 7 ,9.</t>
  </si>
  <si>
    <t>(i)    Taking ssample of size two draw all possible samples with replacement.</t>
  </si>
  <si>
    <t>(ii) Show that the mean of sampling of mean is equal to population mean.</t>
  </si>
  <si>
    <t xml:space="preserve">Popultion size (N) </t>
  </si>
  <si>
    <t>Possible number of samples of size 2 which can be drawn population with replacement (k)</t>
  </si>
  <si>
    <t>Population value (Y)</t>
  </si>
  <si>
    <r>
      <t>population mean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 xml:space="preserve"> )</t>
    </r>
  </si>
  <si>
    <r>
      <t>Population standard deviation (</t>
    </r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>)</t>
    </r>
  </si>
  <si>
    <t>Sample mean</t>
  </si>
  <si>
    <t>mean of sampling distribution of means</t>
  </si>
  <si>
    <t>S.E. (X bar)</t>
  </si>
  <si>
    <t>Soution :</t>
  </si>
  <si>
    <t xml:space="preserve">Mathematical Expectation </t>
  </si>
  <si>
    <t xml:space="preserve">Lab work 2015 </t>
  </si>
  <si>
    <t>Q. NO.2</t>
  </si>
  <si>
    <t>No. of heads up (X)</t>
  </si>
  <si>
    <t>p(x)</t>
  </si>
  <si>
    <t>P (X =r) = P</t>
  </si>
  <si>
    <t>P X</t>
  </si>
  <si>
    <r>
      <t>PX</t>
    </r>
    <r>
      <rPr>
        <sz val="11"/>
        <color theme="1"/>
        <rFont val="Calibri"/>
        <family val="2"/>
      </rPr>
      <t>²</t>
    </r>
  </si>
  <si>
    <t>Expected value</t>
  </si>
  <si>
    <r>
      <t>Variance (</t>
    </r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>² )</t>
    </r>
  </si>
  <si>
    <r>
      <t>Standard deviation (</t>
    </r>
    <r>
      <rPr>
        <sz val="11"/>
        <color theme="1"/>
        <rFont val="Calibri"/>
        <family val="2"/>
      </rPr>
      <t>σ</t>
    </r>
    <r>
      <rPr>
        <sz val="9.35"/>
        <color theme="1"/>
        <rFont val="Calibri"/>
        <family val="2"/>
      </rPr>
      <t xml:space="preserve"> )</t>
    </r>
  </si>
  <si>
    <t>Theoretical probabilty Distributions</t>
  </si>
  <si>
    <t>Q. no.2</t>
  </si>
  <si>
    <t>Fi t a poisson distribution to the following data and calculate the expected frequencies:</t>
  </si>
  <si>
    <t>f:</t>
  </si>
  <si>
    <t>X:</t>
  </si>
  <si>
    <t>Total</t>
  </si>
  <si>
    <t>f</t>
  </si>
  <si>
    <r>
      <t xml:space="preserve">N = </t>
    </r>
    <r>
      <rPr>
        <sz val="11"/>
        <color theme="1"/>
        <rFont val="Calibri"/>
        <family val="2"/>
      </rPr>
      <t>∑</t>
    </r>
    <r>
      <rPr>
        <sz val="9.35"/>
        <color theme="1"/>
        <rFont val="Calibri"/>
        <family val="2"/>
      </rPr>
      <t xml:space="preserve">f </t>
    </r>
  </si>
  <si>
    <r>
      <rPr>
        <sz val="11"/>
        <color theme="1"/>
        <rFont val="Calibri"/>
        <family val="2"/>
      </rPr>
      <t>∑</t>
    </r>
    <r>
      <rPr>
        <sz val="9.35"/>
        <color theme="1"/>
        <rFont val="Calibri"/>
        <family val="2"/>
      </rPr>
      <t>f X</t>
    </r>
  </si>
  <si>
    <r>
      <t>Mean (</t>
    </r>
    <r>
      <rPr>
        <sz val="11"/>
        <color theme="1"/>
        <rFont val="Calibri"/>
        <family val="2"/>
      </rPr>
      <t>λ</t>
    </r>
    <r>
      <rPr>
        <sz val="9.35"/>
        <color theme="1"/>
        <rFont val="Calibri"/>
        <family val="2"/>
      </rPr>
      <t xml:space="preserve"> )</t>
    </r>
  </si>
  <si>
    <t>Calcultion of expected frequencies</t>
  </si>
  <si>
    <t>Expected frequency</t>
  </si>
  <si>
    <t>X = r</t>
  </si>
  <si>
    <t>P(X = r) = P</t>
  </si>
  <si>
    <t>fe = N P</t>
  </si>
  <si>
    <t>fe</t>
  </si>
  <si>
    <t xml:space="preserve">Hence, the fitted poisson distribution is </t>
  </si>
  <si>
    <t xml:space="preserve">X =r </t>
  </si>
  <si>
    <t xml:space="preserve">T.U 2015 </t>
  </si>
  <si>
    <t>Q. No. 8</t>
  </si>
  <si>
    <t>The TV monitors produced by a certain factory were checked by examining samples of 5 . The following table shows the</t>
  </si>
  <si>
    <t>120 sample according to the number of defective monitors.</t>
  </si>
  <si>
    <t>No. of defectives in a sample of 5 kg:</t>
  </si>
  <si>
    <t>No. of students</t>
  </si>
  <si>
    <t>Fit the binomial distribution and the expected frequecies if the probability of monitor is 0.5</t>
  </si>
  <si>
    <r>
      <t xml:space="preserve">N = </t>
    </r>
    <r>
      <rPr>
        <sz val="11"/>
        <color theme="1"/>
        <rFont val="Calibri"/>
        <family val="2"/>
      </rPr>
      <t>∑</t>
    </r>
    <r>
      <rPr>
        <sz val="9.35"/>
        <color theme="1"/>
        <rFont val="Calibri"/>
        <family val="2"/>
      </rPr>
      <t>f</t>
    </r>
  </si>
  <si>
    <t>Mean (np)</t>
  </si>
  <si>
    <t>p</t>
  </si>
  <si>
    <t>q</t>
  </si>
  <si>
    <t>Calculation of expected frequency</t>
  </si>
  <si>
    <t>Hence , the fitted binomial distribution is</t>
  </si>
  <si>
    <t xml:space="preserve">Q.No.Suppose a machine producing computer chips has a 6% defective rate . If a company purchases 13 of these </t>
  </si>
  <si>
    <t xml:space="preserve">chips, what is the probability that </t>
  </si>
  <si>
    <t xml:space="preserve">(a) </t>
  </si>
  <si>
    <t xml:space="preserve">None is defective </t>
  </si>
  <si>
    <t xml:space="preserve">(b) </t>
  </si>
  <si>
    <t>Exactly 5 are defective</t>
  </si>
  <si>
    <t xml:space="preserve">(c ) </t>
  </si>
  <si>
    <t>Between 4 and 8 defective</t>
  </si>
  <si>
    <t>prob of defective chips (p)</t>
  </si>
  <si>
    <t>ips</t>
  </si>
  <si>
    <t>Prob .of non defective chips(q)</t>
  </si>
  <si>
    <t>a.</t>
  </si>
  <si>
    <t>P (None is defective)</t>
  </si>
  <si>
    <t>p(X=0)</t>
  </si>
  <si>
    <t>b.</t>
  </si>
  <si>
    <t>P(Exactly 5 are defective)</t>
  </si>
  <si>
    <t>p(X = 5)</t>
  </si>
  <si>
    <t>c.</t>
  </si>
  <si>
    <t>P(Between 4 and 8 defective )</t>
  </si>
  <si>
    <t>p(4&lt;x&lt;8) =p(x&lt;=7) -p(X&lt;=4)</t>
  </si>
  <si>
    <t>d.</t>
  </si>
  <si>
    <t>P (at most 10 defective)</t>
  </si>
  <si>
    <t>P(X&lt;=10)</t>
  </si>
  <si>
    <t>e.</t>
  </si>
  <si>
    <t xml:space="preserve">(d) </t>
  </si>
  <si>
    <t>At most 10 defective</t>
  </si>
  <si>
    <t>(e )</t>
  </si>
  <si>
    <t xml:space="preserve">Fit the binomial distribution from the following data </t>
  </si>
  <si>
    <t>Solution</t>
  </si>
  <si>
    <t>(Binomial distribution )</t>
  </si>
  <si>
    <t xml:space="preserve">Q. NO.41 </t>
  </si>
  <si>
    <t xml:space="preserve">A telephone exchange receives on average  4 calls per minute . Find the probability that on the basis of poisson </t>
  </si>
  <si>
    <t xml:space="preserve">distribution of </t>
  </si>
  <si>
    <t>(ii) Up to 4 calls per minute</t>
  </si>
  <si>
    <t>(iii) more than 4 calls per minute</t>
  </si>
  <si>
    <t>(iv )  between 6 &amp; 10 calls per minute</t>
  </si>
  <si>
    <t>(Poisson distribution)</t>
  </si>
  <si>
    <r>
      <t xml:space="preserve">Mean( </t>
    </r>
    <r>
      <rPr>
        <sz val="11"/>
        <color theme="1"/>
        <rFont val="Calibri"/>
        <family val="2"/>
      </rPr>
      <t>λ )</t>
    </r>
  </si>
  <si>
    <t>(I )</t>
  </si>
  <si>
    <t>(i) 2 or less  call per minute</t>
  </si>
  <si>
    <t>P( X &lt; = 2)</t>
  </si>
  <si>
    <t>(X &lt;    =  4)</t>
  </si>
  <si>
    <t>(iii)</t>
  </si>
  <si>
    <t>P (X&gt; 4)</t>
  </si>
  <si>
    <t>1-p(X&lt;=4)</t>
  </si>
  <si>
    <t>(iv)</t>
  </si>
  <si>
    <t>P6&lt;X&lt;10 )</t>
  </si>
  <si>
    <t>p(X&lt;=9)-P(X&lt;=6)</t>
  </si>
  <si>
    <t>at leaat 3 defective</t>
  </si>
  <si>
    <t>P(at least 3 defective)</t>
  </si>
  <si>
    <t>p(X&gt;=3)</t>
  </si>
  <si>
    <t>1-p(x&lt;3)</t>
  </si>
  <si>
    <t>Normal Distribution:</t>
  </si>
  <si>
    <t>T.U 2017 THEORY)</t>
  </si>
  <si>
    <t>Daily expenditure on lunch of the staff of Megha Bank of 400 employees was found to be normally distributed</t>
  </si>
  <si>
    <t xml:space="preserve">with mean of Rs.120 and standard deviation of Rs. 30. </t>
  </si>
  <si>
    <t>(i)</t>
  </si>
  <si>
    <t>Find the number of employees having expenditure Rs.105 and Rs 140</t>
  </si>
  <si>
    <t>Additional questions:</t>
  </si>
  <si>
    <t>(ii)P ( Expenditure is less than Rs. 150)</t>
  </si>
  <si>
    <t>(iii) P( At most Rs. 145)</t>
  </si>
  <si>
    <t>(iv) P(More than Rs.90)</t>
  </si>
  <si>
    <t>(V) p(at least Rs.115)</t>
  </si>
  <si>
    <t>(v)P(3&lt;=X&lt;=7)</t>
  </si>
  <si>
    <t>P(X&lt;=7)-p(X&lt;=2)</t>
  </si>
  <si>
    <t>N</t>
  </si>
  <si>
    <t>X1</t>
  </si>
  <si>
    <t>X2</t>
  </si>
  <si>
    <t>p(between Rs.105 &amp; Rs.140)</t>
  </si>
  <si>
    <t>p(105&lt;X&lt;140)   = P(X&lt;=140)-P(X&lt;=105)</t>
  </si>
  <si>
    <t>The expected no of employees having expenditure Rs. 105 and Rs.140</t>
  </si>
  <si>
    <t>P(X&lt;150)</t>
  </si>
  <si>
    <t>p(X&lt;=145)</t>
  </si>
  <si>
    <t>P(X&gt;90)</t>
  </si>
  <si>
    <t>1-P(X&lt;=90)</t>
  </si>
  <si>
    <t>(v)</t>
  </si>
  <si>
    <t>P(X&gt;=115)</t>
  </si>
  <si>
    <t>1-p(X&lt;115)</t>
  </si>
  <si>
    <r>
      <rPr>
        <b/>
        <sz val="11"/>
        <color theme="1"/>
        <rFont val="Calibri"/>
        <family val="2"/>
        <scheme val="minor"/>
      </rPr>
      <t>Lab work 2015</t>
    </r>
    <r>
      <rPr>
        <sz val="11"/>
        <color theme="1"/>
        <rFont val="Calibri"/>
        <family val="2"/>
        <scheme val="minor"/>
      </rPr>
      <t xml:space="preserve"> </t>
    </r>
  </si>
  <si>
    <t>Find the skewness from the following data of daily</t>
  </si>
  <si>
    <t>Measure of Skewness and Kurtosis</t>
  </si>
  <si>
    <t>income in thousand rupees and comment</t>
  </si>
  <si>
    <t>Daily income '000' Rs</t>
  </si>
  <si>
    <t>0-10</t>
  </si>
  <si>
    <t>0-10        10 - 20     20  - 30   30 - 40    40 - 50    50  -60    60  - 70</t>
  </si>
  <si>
    <t>No. of employees</t>
  </si>
  <si>
    <t>5                15             20               30            18              8               4</t>
  </si>
  <si>
    <t>20-30</t>
  </si>
  <si>
    <t>30-40</t>
  </si>
  <si>
    <t>40-50</t>
  </si>
  <si>
    <t>50-60</t>
  </si>
  <si>
    <t>60-70</t>
  </si>
  <si>
    <t>C.I.</t>
  </si>
  <si>
    <t>LCB</t>
  </si>
  <si>
    <t>UCB</t>
  </si>
  <si>
    <t>mid value (X)</t>
  </si>
  <si>
    <t>∑Fx</t>
  </si>
  <si>
    <t>∑fX^2</t>
  </si>
  <si>
    <t>Mean</t>
  </si>
  <si>
    <t>Mode</t>
  </si>
  <si>
    <t>f1</t>
  </si>
  <si>
    <t>f0</t>
  </si>
  <si>
    <t>f2</t>
  </si>
  <si>
    <t>h</t>
  </si>
  <si>
    <t>Coefficient of skewness (Sk)</t>
  </si>
  <si>
    <t>Lab Work 2015</t>
  </si>
  <si>
    <t xml:space="preserve">Q.NO.4 </t>
  </si>
  <si>
    <t xml:space="preserve">The following table gives the distribution of monthly rent of shops . Examine whether the distribution is </t>
  </si>
  <si>
    <t>symmetrical or not (i.e, Test the skewness of the distribution)</t>
  </si>
  <si>
    <t>Monthly rent</t>
  </si>
  <si>
    <t>(Rs. 000)</t>
  </si>
  <si>
    <t>f*X^2</t>
  </si>
  <si>
    <t>40-50=</t>
  </si>
  <si>
    <t>f*X</t>
  </si>
  <si>
    <t>For Mode:</t>
  </si>
  <si>
    <t>Max freq.</t>
  </si>
  <si>
    <t xml:space="preserve">Modal class is </t>
  </si>
  <si>
    <t>L</t>
  </si>
  <si>
    <t>No. of shops</t>
  </si>
  <si>
    <t>40 - 50         50-60      60 - 70    70  - 80   80  -  90    90 - 100  100  - 110</t>
  </si>
  <si>
    <t>8                  15             20                   40             25              16               6</t>
  </si>
  <si>
    <t>70-80</t>
  </si>
  <si>
    <t>80-90</t>
  </si>
  <si>
    <t>90-100</t>
  </si>
  <si>
    <t>100-110</t>
  </si>
  <si>
    <t>mid.value(X)</t>
  </si>
  <si>
    <t>For mode:</t>
  </si>
  <si>
    <t>Max.freq(f1)</t>
  </si>
  <si>
    <t>The age in completed years of 40 working persons in certain village is given below:</t>
  </si>
  <si>
    <t>32, 61, 39, 31, 56, 42, 54, 64, 43, 47, 20, 51, 60, 27, 67, 52, 45, 20, 22, 36, 25, 46, 23, 62, 40, 21, 43, 53, 42, 50, 22, 31, 49,</t>
  </si>
  <si>
    <t>20, 35, 40, 35, 43, 55, 46.</t>
  </si>
  <si>
    <t>Construct a frequency table (Taking 10 -class interval )</t>
  </si>
  <si>
    <t>Find the value of skewness</t>
  </si>
  <si>
    <t>Karl pearson's</t>
  </si>
  <si>
    <t>mid value(X)</t>
  </si>
  <si>
    <t>Since, the distribution is irregualar</t>
  </si>
  <si>
    <t>The distribution is regulaar and unimodal</t>
  </si>
  <si>
    <t>The distribution is regular and unimodal</t>
  </si>
  <si>
    <t>∑fx^2</t>
  </si>
  <si>
    <t>For Median:</t>
  </si>
  <si>
    <t>N/2</t>
  </si>
  <si>
    <t>C.f</t>
  </si>
  <si>
    <t>Median (Md)</t>
  </si>
  <si>
    <t>Karl Pearson ' coefficient of skewness is (Sk)</t>
  </si>
  <si>
    <t>Lab work 2016 T.U.</t>
  </si>
  <si>
    <t>The length of life each 30 electric light bulbs is noted and the results ashown in the table</t>
  </si>
  <si>
    <t>Q.NO.</t>
  </si>
  <si>
    <t>66 , 35, 79, 41, 75, 65, 58, 68, 17, 48, 88, 87, 49, 26, 61, 72, 19, 58, 75, 78, 70, 97, 85, 77, 84, 27, 94, 57, 39, 98</t>
  </si>
  <si>
    <t>(a) Construct a frequency distribution with suitable class interval.</t>
  </si>
  <si>
    <t>(b) Determine the value of kurtosis and interpret the result</t>
  </si>
  <si>
    <t>(OR  Test the normality of the distribution )</t>
  </si>
  <si>
    <t>No. of classes (K)</t>
  </si>
  <si>
    <t>Range (R )</t>
  </si>
  <si>
    <t>Smallest value (S)</t>
  </si>
  <si>
    <t>Largest value (L)</t>
  </si>
  <si>
    <t>Class size ( h )</t>
  </si>
  <si>
    <t>c.f.</t>
  </si>
  <si>
    <t>17-31</t>
  </si>
  <si>
    <t>31-45</t>
  </si>
  <si>
    <t>45-59</t>
  </si>
  <si>
    <t>59-73</t>
  </si>
  <si>
    <t>73-87</t>
  </si>
  <si>
    <t>87-101</t>
  </si>
  <si>
    <t>For Q1</t>
  </si>
  <si>
    <t>N/4</t>
  </si>
  <si>
    <t>C.f.</t>
  </si>
  <si>
    <t>Q1</t>
  </si>
  <si>
    <t>For Q3</t>
  </si>
  <si>
    <t>3N/4</t>
  </si>
  <si>
    <t>c.f</t>
  </si>
  <si>
    <t>Q3</t>
  </si>
  <si>
    <t>For P10</t>
  </si>
  <si>
    <t>10N/100</t>
  </si>
  <si>
    <t>P10</t>
  </si>
  <si>
    <t>For P90</t>
  </si>
  <si>
    <t>90 N/100</t>
  </si>
  <si>
    <t xml:space="preserve">P90 lies in the class </t>
  </si>
  <si>
    <t>P90</t>
  </si>
  <si>
    <t>Coefficient of Kurtosis (K)</t>
  </si>
  <si>
    <t>Measures of Dispersion</t>
  </si>
  <si>
    <t>Lab Work 2016 TU</t>
  </si>
  <si>
    <t>The running capacity of two horses is given below, state which is more consistent on the basis of coefficient of</t>
  </si>
  <si>
    <t>variation.</t>
  </si>
  <si>
    <t>Horse A :   250        255      280     290       295           300</t>
  </si>
  <si>
    <t>Horse  B:    280       282       290     295       298            295</t>
  </si>
  <si>
    <t xml:space="preserve">Horse A </t>
  </si>
  <si>
    <t>(X1)</t>
  </si>
  <si>
    <t>Horse B</t>
  </si>
  <si>
    <t>(X2)</t>
  </si>
  <si>
    <t>C.V.</t>
  </si>
  <si>
    <t>Horse A:</t>
  </si>
  <si>
    <t>Horse B:</t>
  </si>
  <si>
    <t>σ2</t>
  </si>
  <si>
    <t>C.V</t>
  </si>
  <si>
    <t>σ1</t>
  </si>
  <si>
    <t xml:space="preserve">Example 6.11 </t>
  </si>
  <si>
    <t xml:space="preserve">5o cars of two brands X &amp; Y are taken and the average running life (in years ) of each is recorded as </t>
  </si>
  <si>
    <t>shown below:</t>
  </si>
  <si>
    <t xml:space="preserve">Life (years )   :       0 - 5            5  -  10      10 -  15        15  -   20         20   -   25  </t>
  </si>
  <si>
    <t xml:space="preserve">No. of cars in </t>
  </si>
  <si>
    <t>each brand</t>
  </si>
  <si>
    <t>(X)                               8                 12                 20                   7                         3</t>
  </si>
  <si>
    <t xml:space="preserve">(Y  )                              6                 10                20                  10                        4  </t>
  </si>
  <si>
    <t>(a) which of these two brands gives a higher average running life?</t>
  </si>
  <si>
    <t>(b) Which of the two brands shos greater consistency in its performance?</t>
  </si>
  <si>
    <t>mid. Value (x)</t>
  </si>
  <si>
    <t>Brand (X)</t>
  </si>
  <si>
    <t>Brand (Y)</t>
  </si>
  <si>
    <t>For Brand X:</t>
  </si>
  <si>
    <t>N1</t>
  </si>
  <si>
    <t>X^2</t>
  </si>
  <si>
    <t>C.V(Brand X)</t>
  </si>
  <si>
    <t>Brand Y:</t>
  </si>
  <si>
    <t>N2</t>
  </si>
  <si>
    <t>C.V.(Brand Y )</t>
  </si>
  <si>
    <t xml:space="preserve">Measures of Central tendency </t>
  </si>
  <si>
    <t>Lab Work 2016</t>
  </si>
  <si>
    <t xml:space="preserve">Construct a frequency distribution table for the following marks distribution of 50 students using equal class </t>
  </si>
  <si>
    <t xml:space="preserve">interval as 10 -20 , 20 - 30, . .  .. </t>
  </si>
  <si>
    <t>42, 37, 39, 52, 57, 61, 71, 42, 17, 54, 43, 37, 39, 41, 37, 33, 21, 21, 42, 42, 47, 33, 38, 39, 27, 51, 42, 67, 51, 53, 27, 34, 31,</t>
  </si>
  <si>
    <t>51, 38, 49, 53, 75, 59, 17, 44, 14, 19, 39, 16, 62, 53, 59, 29,32.</t>
  </si>
  <si>
    <t>(a) It is decided to give scholarship to top 10% students , find the minimum marks of top 10% students.</t>
  </si>
  <si>
    <t>(b) It is also decided to pass 80 % students , find the minimum marks for passin.</t>
  </si>
  <si>
    <t>(c ) If 40 % sudents failed , find the highest marks obtained by them.</t>
  </si>
  <si>
    <t>(d) Find the modal marks.</t>
  </si>
  <si>
    <t>(e ) Also find the median marks.</t>
  </si>
  <si>
    <t>class</t>
  </si>
  <si>
    <t>(a) The minimum marks of top 10% students is given by P90</t>
  </si>
  <si>
    <t>For P90:</t>
  </si>
  <si>
    <t>90N/100</t>
  </si>
  <si>
    <t>The minimum marks of 80% passed students is given by P20</t>
  </si>
  <si>
    <t>For P20:</t>
  </si>
  <si>
    <t>20N/100</t>
  </si>
  <si>
    <t xml:space="preserve">P20 lies in the class </t>
  </si>
  <si>
    <t>P20</t>
  </si>
  <si>
    <t>(c )</t>
  </si>
  <si>
    <t>If 40% students failed, the highest marks obtained by them is given by P40</t>
  </si>
  <si>
    <t>For P40:</t>
  </si>
  <si>
    <t>40N/100</t>
  </si>
  <si>
    <t xml:space="preserve">P40 </t>
  </si>
  <si>
    <t>(d)</t>
  </si>
  <si>
    <t>Maximum frequency (f1)</t>
  </si>
  <si>
    <t>marks</t>
  </si>
  <si>
    <t xml:space="preserve">( e) </t>
  </si>
  <si>
    <t>For Median marks</t>
  </si>
  <si>
    <t>ForMd:</t>
  </si>
  <si>
    <t>Md lies in class</t>
  </si>
  <si>
    <t>Median</t>
  </si>
  <si>
    <t>TU</t>
  </si>
  <si>
    <t>Height (cms)</t>
  </si>
  <si>
    <t>No. of persons</t>
  </si>
  <si>
    <t>100-150</t>
  </si>
  <si>
    <t>150-200</t>
  </si>
  <si>
    <t>200-250</t>
  </si>
  <si>
    <t>250-300</t>
  </si>
  <si>
    <t>300-350</t>
  </si>
  <si>
    <t>T.U. 2016</t>
  </si>
  <si>
    <t>life in year</t>
  </si>
  <si>
    <t>no of battries</t>
  </si>
  <si>
    <t>0-2</t>
  </si>
  <si>
    <t>2-4</t>
  </si>
  <si>
    <t>4-6</t>
  </si>
  <si>
    <t>6-8</t>
  </si>
  <si>
    <t>8-10</t>
  </si>
  <si>
    <t>10-12</t>
  </si>
  <si>
    <t>Diagrammatic and Graphic presentation of data</t>
  </si>
  <si>
    <t>T.U.2015.</t>
  </si>
  <si>
    <t xml:space="preserve">Lab Work </t>
  </si>
  <si>
    <t xml:space="preserve"> A sample of 500 was drawn and the sample mean was found to be 110 . Test whether this sample could have </t>
  </si>
  <si>
    <t>come from a normal population with mean 112 and variance 100 at 5% level of significance.</t>
  </si>
  <si>
    <t>Sample mean (X bar)</t>
  </si>
  <si>
    <r>
      <t>Population mean (</t>
    </r>
    <r>
      <rPr>
        <sz val="11"/>
        <color theme="1"/>
        <rFont val="Calibri"/>
        <family val="2"/>
      </rPr>
      <t>µ )</t>
    </r>
  </si>
  <si>
    <r>
      <t>Popultion variance (</t>
    </r>
    <r>
      <rPr>
        <sz val="11"/>
        <color theme="1"/>
        <rFont val="Calibri"/>
        <family val="2"/>
      </rPr>
      <t>σ^2)</t>
    </r>
  </si>
  <si>
    <r>
      <t xml:space="preserve">Null hypothesis (H0): </t>
    </r>
    <r>
      <rPr>
        <sz val="11"/>
        <color theme="1"/>
        <rFont val="Calibri"/>
        <family val="2"/>
      </rPr>
      <t>μ = 112 . The population mean is 112</t>
    </r>
  </si>
  <si>
    <r>
      <t>Alternative hypothesis (H1) :</t>
    </r>
    <r>
      <rPr>
        <sz val="11"/>
        <color theme="1"/>
        <rFont val="Calibri"/>
        <family val="2"/>
      </rPr>
      <t>µ ≠ 112 (Two tailed test ) The population mean is not 112.</t>
    </r>
  </si>
  <si>
    <t>Test statistic : Under H0, the test statistic is</t>
  </si>
  <si>
    <t>z</t>
  </si>
  <si>
    <t>Ztab at 5% level of significance for two tailed test</t>
  </si>
  <si>
    <t>P- value approach</t>
  </si>
  <si>
    <t>Confidnce level approach</t>
  </si>
  <si>
    <t>Crtical value</t>
  </si>
  <si>
    <t xml:space="preserve">Decision: </t>
  </si>
  <si>
    <t xml:space="preserve">T.U. 2016 </t>
  </si>
  <si>
    <t xml:space="preserve">The following information gives the average lif of two types of mobile phones </t>
  </si>
  <si>
    <t xml:space="preserve">Samsung </t>
  </si>
  <si>
    <t>Colours</t>
  </si>
  <si>
    <t>Mean lif in hrs</t>
  </si>
  <si>
    <t>Standard deviation in hrs</t>
  </si>
  <si>
    <t xml:space="preserve">Sample size </t>
  </si>
  <si>
    <t>Is there is a significant diiference in the quality of mobile phones at 5% level of significance ? Use p-value appor</t>
  </si>
  <si>
    <t xml:space="preserve">lue </t>
  </si>
  <si>
    <t>approach.</t>
  </si>
  <si>
    <t>s1</t>
  </si>
  <si>
    <t>For Colours</t>
  </si>
  <si>
    <r>
      <t xml:space="preserve">Null hypothesis ,Ho: </t>
    </r>
    <r>
      <rPr>
        <sz val="11"/>
        <color theme="1"/>
        <rFont val="Calibri"/>
        <family val="2"/>
      </rPr>
      <t xml:space="preserve">μ1 =µ2 . The mean life of sumsung and colours mobile phones are equal. In other words, </t>
    </r>
  </si>
  <si>
    <t>there is no significant diffirence in the mean life of sumsung and colours mobile phones.</t>
  </si>
  <si>
    <r>
      <t>Alternative hypothesis ,H1 :</t>
    </r>
    <r>
      <rPr>
        <sz val="11"/>
        <color theme="1"/>
        <rFont val="Calibri"/>
        <family val="2"/>
      </rPr>
      <t xml:space="preserve">μ1 ≠μ2 (Two tailed) </t>
    </r>
  </si>
  <si>
    <t>The mean life of samsung and colours mobile phones are not</t>
  </si>
  <si>
    <t>equal. In other words, there is significant difference in the mean life of sumsung and colours mobile phones.</t>
  </si>
  <si>
    <t xml:space="preserve">Test statistic: Under Ho, the test statistic is </t>
  </si>
  <si>
    <t>p-VALUE</t>
  </si>
  <si>
    <t>Additional Critical value approach</t>
  </si>
  <si>
    <t>Lab work</t>
  </si>
  <si>
    <t>1000 articles from factory A are examined and found 97% of good quality. 1500 similar articles from factory B are</t>
  </si>
  <si>
    <t xml:space="preserve">found only 2% of bad. Would you conclude that products OF factory B are superior to those of factory A. Test the </t>
  </si>
  <si>
    <t>hypothesis at 1% level of sigficance.</t>
  </si>
  <si>
    <t>0 Set 1</t>
  </si>
  <si>
    <t xml:space="preserve">respectively . Compute </t>
  </si>
  <si>
    <t>E(4x+7) and standard deviation of (4x+7)</t>
  </si>
  <si>
    <t>The probability that a man finisjhig at janakpur will catch 0, 1, 2, 3,4, 5 fishes are 0.10, 0.25, 0.30 , 0.20,0.15 ,0.10</t>
  </si>
  <si>
    <t>P</t>
  </si>
  <si>
    <t>p*x</t>
  </si>
  <si>
    <t>PX^2</t>
  </si>
  <si>
    <r>
      <t xml:space="preserve">E(X)= </t>
    </r>
    <r>
      <rPr>
        <sz val="11"/>
        <color theme="1"/>
        <rFont val="Calibri"/>
        <family val="2"/>
      </rPr>
      <t>∑PX</t>
    </r>
  </si>
  <si>
    <t>∑PX^2</t>
  </si>
  <si>
    <t>Now,</t>
  </si>
  <si>
    <t>E(4x+7) =4E(X) +7</t>
  </si>
  <si>
    <t>V(X)</t>
  </si>
  <si>
    <t>E(X^2) -(E(X))^2</t>
  </si>
  <si>
    <t>V(4x+7)= 4^2V(X)</t>
  </si>
  <si>
    <t>Standard deviation of (4x+7)</t>
  </si>
  <si>
    <t>2016 Lab work 1</t>
  </si>
  <si>
    <t>Q.NO. A population consists of five numbers 2, 4, 6, 9 and 11.</t>
  </si>
  <si>
    <t>(i) Draw all possible samples of size two that can be drawn from the population without replacement .</t>
  </si>
  <si>
    <t>(ii) Show that the mean of sampling distribution of mean is equal to the population mean.</t>
  </si>
  <si>
    <t>SOlution:</t>
  </si>
  <si>
    <t>The possible number of samples of size 2 can be drawn from the population of size 5  without replacement  is</t>
  </si>
  <si>
    <t>(k)</t>
  </si>
  <si>
    <t>The possible samples are</t>
  </si>
  <si>
    <t>(2,4), (2,6), (2,9), (2,11) ,(4,6), (4,9), (4,11), (6,9), (6,11), (9,11)</t>
  </si>
  <si>
    <t>Sample values (X)</t>
  </si>
  <si>
    <t>Mean of sample means( X double bar)</t>
  </si>
  <si>
    <t>Population values(Y)</t>
  </si>
  <si>
    <t>Population mean (Y bar)</t>
  </si>
  <si>
    <t>Additional question</t>
  </si>
  <si>
    <t>Y^2</t>
  </si>
  <si>
    <r>
      <t>Population standard deviation (</t>
    </r>
    <r>
      <rPr>
        <sz val="11"/>
        <color theme="1"/>
        <rFont val="Calibri"/>
        <family val="2"/>
      </rPr>
      <t>σ)</t>
    </r>
  </si>
  <si>
    <t>S.E.(X bar )</t>
  </si>
  <si>
    <t>(X bar - X double bar)^2</t>
  </si>
  <si>
    <t>1 set 3</t>
  </si>
  <si>
    <t xml:space="preserve">The distribution of number of deaths from liver cancer in 200 days are recorded in valley </t>
  </si>
  <si>
    <t xml:space="preserve">No. of deaths </t>
  </si>
  <si>
    <t>No. of days :</t>
  </si>
  <si>
    <t>0      1         2          3            4            5             total</t>
  </si>
  <si>
    <t>50    60        40       25        16         9</t>
  </si>
  <si>
    <t xml:space="preserve">Fit a poisson distribution </t>
  </si>
  <si>
    <r>
      <t>Mean (</t>
    </r>
    <r>
      <rPr>
        <sz val="11"/>
        <color theme="1"/>
        <rFont val="Calibri"/>
        <family val="2"/>
      </rPr>
      <t>λ)</t>
    </r>
  </si>
  <si>
    <t>p(X= r)</t>
  </si>
  <si>
    <t>T.U. 2015</t>
  </si>
  <si>
    <t>BOOK Page no 472  Q. NO. 8</t>
  </si>
  <si>
    <t>Binomial distribution :</t>
  </si>
  <si>
    <t>P(X=r)</t>
  </si>
  <si>
    <t>Expected frequency E = f®</t>
  </si>
  <si>
    <t>N.P(X=r)</t>
  </si>
  <si>
    <t>Expected frequency E = f(r )= N P(X= r)</t>
  </si>
  <si>
    <t xml:space="preserve">Q.No.  Fit the binomial distribution from the following frequency distribution </t>
  </si>
  <si>
    <t>X:  0           1               2              3               4                5                        Total</t>
  </si>
  <si>
    <t>f:    38      144    342          287            164              25</t>
  </si>
  <si>
    <t xml:space="preserve">Hence , the fitted binomial distribution is </t>
  </si>
  <si>
    <t>X= r</t>
  </si>
  <si>
    <t xml:space="preserve"> 10-20</t>
  </si>
  <si>
    <t xml:space="preserve"> =PEARSON(B11:B16,D11:D16)</t>
  </si>
  <si>
    <t xml:space="preserve"> =intercept(D11:D16,B11:B16)</t>
  </si>
  <si>
    <t xml:space="preserve"> =slope(D11:D16,B11:B16)</t>
  </si>
  <si>
    <t>Y=49.25+(-0.41666667)x</t>
  </si>
  <si>
    <t xml:space="preserve"> =D26+D25*D31</t>
  </si>
  <si>
    <t>97, 85, 77, 84, 27, 94, 57, 39, 98</t>
  </si>
  <si>
    <t>count</t>
  </si>
  <si>
    <t>largest=</t>
  </si>
  <si>
    <t>(Given)</t>
  </si>
  <si>
    <t xml:space="preserve"> =max(H909:H938)</t>
  </si>
  <si>
    <t xml:space="preserve"> =MIN(H909:H939)</t>
  </si>
  <si>
    <t xml:space="preserve"> =Round(1+3.322*LOG(D911))</t>
  </si>
  <si>
    <t xml:space="preserve"> =E1188/SQRT(E1184)</t>
  </si>
  <si>
    <t xml:space="preserve"> =STANDARDIZE(E1186,E1185,I1196)</t>
  </si>
  <si>
    <t xml:space="preserve"> =NORMSINV(1-E1201/2)</t>
  </si>
  <si>
    <t xml:space="preserve"> =IF(E1206&lt;C1200,"Reject H0", "Do not reject H0")</t>
  </si>
  <si>
    <t>Ztab&lt;Zcal ,don't reject H0</t>
  </si>
  <si>
    <t>else accept H0</t>
  </si>
  <si>
    <t xml:space="preserve"> =2*(1-normsdist(C1197)</t>
  </si>
  <si>
    <r>
      <rPr>
        <b/>
        <sz val="24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=IF(C1213&lt;E1201,"Reject Ho","Do not reject H0")</t>
    </r>
  </si>
  <si>
    <t xml:space="preserve"> =abs(NORMSINV(E1201/2))</t>
  </si>
  <si>
    <t xml:space="preserve"> =E1185-D1229*I1196</t>
  </si>
  <si>
    <t xml:space="preserve"> =E1186+D1229*I1196</t>
  </si>
  <si>
    <t>Draw more than and less than ogive curve and show the position of median</t>
  </si>
  <si>
    <t>less than ma upper limit line ho</t>
  </si>
  <si>
    <t>less than cf</t>
  </si>
  <si>
    <t>more than cf</t>
  </si>
  <si>
    <t xml:space="preserve"> =H1125-C1125</t>
  </si>
  <si>
    <t xml:space="preserve"> =PEARSON(B49:B53,D49:D53)</t>
  </si>
  <si>
    <t xml:space="preserve"> =slope(D49:D53,B49:B53)</t>
  </si>
  <si>
    <t xml:space="preserve"> =INTERCEPT(D49:D53,B49:B53)</t>
  </si>
  <si>
    <t>25.50+1.49x</t>
  </si>
  <si>
    <t xml:space="preserve"> =D64+D63*D69</t>
  </si>
  <si>
    <t xml:space="preserve"> =PEARSON(B83:B90,E83:E90)</t>
  </si>
  <si>
    <t xml:space="preserve"> =slope(E83:E90,B83:B90)</t>
  </si>
  <si>
    <t xml:space="preserve"> =intercept(E83:E90,B83:B90)</t>
  </si>
  <si>
    <t xml:space="preserve">The required  regression equation of is </t>
  </si>
  <si>
    <t>69.67+1.13x</t>
  </si>
  <si>
    <t xml:space="preserve"> =D98+D97*D103</t>
  </si>
  <si>
    <t xml:space="preserve"> =C117/sqrt(C112)</t>
  </si>
  <si>
    <t xml:space="preserve"> =STANDARDIZE(C113,C115,H116)</t>
  </si>
  <si>
    <r>
      <t xml:space="preserve"> =STANDARDIZE(sample mean,population mean(</t>
    </r>
    <r>
      <rPr>
        <sz val="11"/>
        <color theme="1"/>
        <rFont val="Symbol"/>
        <family val="1"/>
        <charset val="2"/>
      </rPr>
      <t>m)</t>
    </r>
    <r>
      <rPr>
        <sz val="11"/>
        <color theme="1"/>
        <rFont val="Calibri"/>
        <family val="2"/>
        <scheme val="minor"/>
      </rPr>
      <t>,SE)</t>
    </r>
  </si>
  <si>
    <t>a</t>
  </si>
  <si>
    <t xml:space="preserve"> =NORMSINV(1-C129/2)</t>
  </si>
  <si>
    <t>i.</t>
  </si>
  <si>
    <r>
      <t xml:space="preserve"> </t>
    </r>
    <r>
      <rPr>
        <b/>
        <sz val="12"/>
        <color theme="1"/>
        <rFont val="Calibri"/>
        <family val="2"/>
        <scheme val="minor"/>
      </rPr>
      <t>=if(C126&lt;E130,"since |Zcal| &lt; |Ztab|, H0 is accepted i.e H1 is rejected ","since |Zcal| &gt; |Ztab|, H0 is rejected i.e H1 is accepted")</t>
    </r>
  </si>
  <si>
    <t xml:space="preserve"> =C143/sqrt(C141)</t>
  </si>
  <si>
    <t xml:space="preserve"> =standardize(C142,C144,H145)</t>
  </si>
  <si>
    <t xml:space="preserve"> =ABS(C154)</t>
  </si>
  <si>
    <t xml:space="preserve"> =NORMSINV(1-E157/2)</t>
  </si>
  <si>
    <t xml:space="preserve"> =C142+E159*H145</t>
  </si>
  <si>
    <t xml:space="preserve"> =C142-E159*H145</t>
  </si>
  <si>
    <t>95% confidence interval = (3.41,4.588)</t>
  </si>
  <si>
    <t xml:space="preserve"> =E576*B576^2</t>
  </si>
  <si>
    <t xml:space="preserve"> =B576*E576</t>
  </si>
  <si>
    <t>no. of trials=</t>
  </si>
  <si>
    <t xml:space="preserve"> =sum(D601:D606)</t>
  </si>
  <si>
    <t xml:space="preserve"> =SUMPRODUCT(B601:B606,D601:D606)</t>
  </si>
  <si>
    <t xml:space="preserve"> =D609/D608</t>
  </si>
  <si>
    <t xml:space="preserve"> =POISSON(C615,$D$611,FALSE)</t>
  </si>
  <si>
    <t xml:space="preserve"> =$D$621*E615</t>
  </si>
  <si>
    <t xml:space="preserve"> =ROUND(G615,0)</t>
  </si>
  <si>
    <t>Rounded fe</t>
  </si>
  <si>
    <t xml:space="preserve"> =$C$687*D697</t>
  </si>
  <si>
    <t xml:space="preserve"> =ROUND(F697,0)</t>
  </si>
  <si>
    <t xml:space="preserve"> =SUMPRODUCT(C680:C685,D680:D685)/SUM(D680:D685)</t>
  </si>
  <si>
    <t xml:space="preserve"> =C690/C688</t>
  </si>
  <si>
    <t xml:space="preserve"> =1-D691</t>
  </si>
  <si>
    <t xml:space="preserve"> =BINOMDIST(C1505,$F$1501,$F$1502,FALSE)</t>
  </si>
  <si>
    <t>The fitted binomial distribution is:</t>
  </si>
  <si>
    <t xml:space="preserve">X </t>
  </si>
  <si>
    <t>E</t>
  </si>
  <si>
    <t xml:space="preserve"> =C1480*D1480</t>
  </si>
  <si>
    <t xml:space="preserve"> =POISSON(C1480,$D$1490,FALSE)</t>
  </si>
  <si>
    <t>x</t>
  </si>
  <si>
    <t>mean</t>
  </si>
  <si>
    <t>P(x)</t>
  </si>
  <si>
    <t>p=</t>
  </si>
  <si>
    <t>EF=N*P(x)</t>
  </si>
  <si>
    <t>Rounded EF</t>
  </si>
  <si>
    <t>Expected Frequency(EF)=</t>
  </si>
  <si>
    <t xml:space="preserve"> =$F$1524*E1527</t>
  </si>
  <si>
    <t>P(X)=</t>
  </si>
  <si>
    <t xml:space="preserve"> =BINOMDIST(C1527,$F$1523,$D$1535,FALSE)</t>
  </si>
  <si>
    <t xml:space="preserve"> =ROUND(F1527,0)</t>
  </si>
  <si>
    <t>Expected frequency(EF)</t>
  </si>
  <si>
    <t>x=</t>
  </si>
  <si>
    <t xml:space="preserve"> =(C1013+D1013)/2</t>
  </si>
  <si>
    <t>x^2=</t>
  </si>
  <si>
    <t xml:space="preserve"> =E1013^2</t>
  </si>
  <si>
    <t xml:space="preserve"> =SUM(G1013:G1017)</t>
  </si>
  <si>
    <t xml:space="preserve"> =SUMPRODUCT(E1013:E1017,G1013:G1017)</t>
  </si>
  <si>
    <t xml:space="preserve"> =sumproduct(G1013:G1017,F1013:F1017)</t>
  </si>
  <si>
    <t xml:space="preserve"> =D1022/D1021</t>
  </si>
  <si>
    <t xml:space="preserve"> =sqrt((D1023/D1021)-(D1024)^2)</t>
  </si>
  <si>
    <t xml:space="preserve"> =D1025/D1024*100</t>
  </si>
  <si>
    <t xml:space="preserve"> =SUM(H1013:H1017)</t>
  </si>
  <si>
    <t xml:space="preserve"> =sumproduct(H1013:H1017,E1013:E1017)</t>
  </si>
  <si>
    <t xml:space="preserve"> =sumproduct(H1013:H1017,F1013:F1017)</t>
  </si>
  <si>
    <t xml:space="preserve"> =J1022/J1021</t>
  </si>
  <si>
    <t xml:space="preserve"> =SQRT((J1023/J1021)-(J1024)^2)</t>
  </si>
  <si>
    <t xml:space="preserve"> =J1025/J1024*100</t>
  </si>
  <si>
    <t>Conclusion:</t>
  </si>
  <si>
    <t>a)</t>
  </si>
  <si>
    <t>Since the CV of Brand Y is less than CV of Brand X , so brand Y has higher average running life</t>
  </si>
  <si>
    <t>b)</t>
  </si>
  <si>
    <t>Since the CV of Brand Y is less than CV of Brand X , so brand Y has greater consistency in it's performance.</t>
  </si>
  <si>
    <t xml:space="preserve"> =standardize(sample mean,population  mean, SE)</t>
  </si>
  <si>
    <t>+</t>
  </si>
  <si>
    <t xml:space="preserve"> =D513^D515</t>
  </si>
  <si>
    <t>(4,4),(4,6),(4,7…........</t>
  </si>
  <si>
    <t xml:space="preserve"> =AVERAGE(C522:C525)</t>
  </si>
  <si>
    <t xml:space="preserve"> =stdevp(C522:C525)</t>
  </si>
  <si>
    <t>4,4</t>
  </si>
  <si>
    <t>6,4</t>
  </si>
  <si>
    <t>6,6</t>
  </si>
  <si>
    <t>6,7</t>
  </si>
  <si>
    <t>6,9</t>
  </si>
  <si>
    <t>7,4</t>
  </si>
  <si>
    <t>7,6</t>
  </si>
  <si>
    <t>7,7</t>
  </si>
  <si>
    <t>7,9</t>
  </si>
  <si>
    <t>9,4</t>
  </si>
  <si>
    <t>9,6</t>
  </si>
  <si>
    <t>9,7</t>
  </si>
  <si>
    <t>9,9</t>
  </si>
  <si>
    <t>4,6</t>
  </si>
  <si>
    <t>4,7</t>
  </si>
  <si>
    <t>4,9</t>
  </si>
  <si>
    <t xml:space="preserve"> =AVERAGE(E541:F541)</t>
  </si>
  <si>
    <t xml:space="preserve"> =AVERAGE(E542:F542)</t>
  </si>
  <si>
    <t xml:space="preserve"> =AVERAGE(D541:D556)</t>
  </si>
  <si>
    <t xml:space="preserve"> =COMBIN(C1411,C1412)</t>
  </si>
  <si>
    <t xml:space="preserve"> =AVERAGE(B1422,C1422)</t>
  </si>
  <si>
    <t>sample mean ko mean so x double bar</t>
  </si>
  <si>
    <t xml:space="preserve"> =average(E1422:E1431)</t>
  </si>
  <si>
    <t xml:space="preserve"> =(E1422-G1422)^2</t>
  </si>
  <si>
    <t xml:space="preserve"> =B1438^2</t>
  </si>
  <si>
    <t xml:space="preserve"> =average(B1438:B1442)</t>
  </si>
  <si>
    <t>iF sd required the find this column</t>
  </si>
  <si>
    <t xml:space="preserve"> =STDEVP(B1438:B1442)</t>
  </si>
  <si>
    <r>
      <t xml:space="preserve">Also prove that  S.E.(X bar)  = </t>
    </r>
    <r>
      <rPr>
        <sz val="11"/>
        <color theme="1"/>
        <rFont val="Calibri"/>
        <family val="2"/>
      </rPr>
      <t>σ/√n * sqrt((N-n)/(N-1))</t>
    </r>
  </si>
  <si>
    <t xml:space="preserve"> =E1458/SQRT(C1412)*SQRT((C1411-C1412)/(C1411-1))</t>
  </si>
  <si>
    <t xml:space="preserve"> =sqrt(H1432/C1415)</t>
  </si>
  <si>
    <t xml:space="preserve"> =SUM(G576:G582)</t>
  </si>
  <si>
    <t xml:space="preserve"> =(C306-G306)/H314</t>
  </si>
  <si>
    <t xml:space="preserve"> =SQRT(C307^2/C305+G307^2/G305)</t>
  </si>
  <si>
    <t xml:space="preserve"> =1-NORMSDIST(C313)</t>
  </si>
  <si>
    <t>E=summation</t>
  </si>
  <si>
    <t xml:space="preserve"> =4*D1383+7</t>
  </si>
  <si>
    <t xml:space="preserve"> =D1385-D1383^2</t>
  </si>
  <si>
    <t xml:space="preserve"> =4^2*E1391</t>
  </si>
  <si>
    <t xml:space="preserve"> =SQRT(E1394)</t>
  </si>
  <si>
    <t xml:space="preserve"> =360/600</t>
  </si>
  <si>
    <t xml:space="preserve"> =1-E339</t>
  </si>
  <si>
    <t xml:space="preserve"> =1/2</t>
  </si>
  <si>
    <t xml:space="preserve"> =SQRT(E339*E340/E337)</t>
  </si>
  <si>
    <t xml:space="preserve"> =STANDARDIZE(E338,E339,H338)</t>
  </si>
  <si>
    <t xml:space="preserve"> =NORMSINV(1-D348/2)</t>
  </si>
  <si>
    <t xml:space="preserve"> =IF(D346&lt;E350,"H0 is accepted ","H0 is rejected")</t>
  </si>
  <si>
    <t xml:space="preserve"> =2*(1-NORMSDIST(D346))</t>
  </si>
  <si>
    <t xml:space="preserve"> =IF(C357 &lt; D348,"H0 is rejected","H0 is accepted")</t>
  </si>
  <si>
    <t xml:space="preserve"> =C179/SQRT(C174)</t>
  </si>
  <si>
    <r>
      <t>Level of significance</t>
    </r>
    <r>
      <rPr>
        <sz val="11"/>
        <color theme="1"/>
        <rFont val="Symbol"/>
        <family val="1"/>
        <charset val="2"/>
      </rPr>
      <t>(a)</t>
    </r>
  </si>
  <si>
    <t xml:space="preserve">  =STANDARDIZE(C175,C177,H176)</t>
  </si>
  <si>
    <t xml:space="preserve"> =NORMSINV(1-E190)</t>
  </si>
  <si>
    <t xml:space="preserve">   =IF(C187&lt;D192,"H0 is accepted","H0 is rejected")</t>
  </si>
  <si>
    <t xml:space="preserve"> =1-NORMSDIST(C187)</t>
  </si>
  <si>
    <t xml:space="preserve"> =IF(C198&lt;E190,"H0 is rejected","H0 is accepted")</t>
  </si>
  <si>
    <t xml:space="preserve"> =C175+E192*H176</t>
  </si>
  <si>
    <t xml:space="preserve"> =POISSON(2,D746,TRUE)</t>
  </si>
  <si>
    <t xml:space="preserve"> =1-POISSON(4,D746,1)</t>
  </si>
  <si>
    <t xml:space="preserve"> =POISSON(9,D746,TRUE)-POISSON(6,D746,TRUE)</t>
  </si>
  <si>
    <t xml:space="preserve"> =POISSON(7,D746,TRUE)-POISSON(2,D746,TRUE)</t>
  </si>
  <si>
    <t>Row Labels</t>
  </si>
  <si>
    <t>Grand Total</t>
  </si>
  <si>
    <t>For SRSW0R:</t>
  </si>
  <si>
    <t>Possible comination(K)</t>
  </si>
  <si>
    <t>P(x&lt;3)</t>
  </si>
  <si>
    <t xml:space="preserve"> =SUM(J1437:J1439)</t>
  </si>
  <si>
    <t xml:space="preserve"> =POISSON(I1439,3,TRUE)</t>
  </si>
  <si>
    <t>m1</t>
  </si>
  <si>
    <t>m2</t>
  </si>
  <si>
    <t xml:space="preserve"> =E1392*4</t>
  </si>
  <si>
    <t>The average marks of BIM students is more than BBM students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</si>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</sst>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justify" vertical="center"/>
    </xf>
    <xf numFmtId="17" fontId="0" fillId="0" borderId="0" xfId="0" applyNumberFormat="1"/>
    <xf numFmtId="16" fontId="0" fillId="0" borderId="0" xfId="0" applyNumberFormat="1"/>
    <xf numFmtId="49" fontId="0" fillId="0" borderId="0" xfId="0" applyNumberFormat="1"/>
    <xf numFmtId="9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2" borderId="0" xfId="0" applyFill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E-447E-A455-FEBD3A36DAC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E-447E-A455-FEBD3A36DACB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E-447E-A455-FEBD3A36DACB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E-447E-A455-FEBD3A36DACB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E-447E-A455-FEBD3A36DA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Sheet1!$B$1125:$B$1129</c:f>
              <c:numCache>
                <c:formatCode>General</c:formatCode>
                <c:ptCount val="5"/>
                <c:pt idx="0">
                  <c:v>125</c:v>
                </c:pt>
                <c:pt idx="1">
                  <c:v>175</c:v>
                </c:pt>
                <c:pt idx="2">
                  <c:v>225</c:v>
                </c:pt>
                <c:pt idx="3">
                  <c:v>275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E45-9360-7B456E3772B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6E-447E-A455-FEBD3A36DAC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6E-447E-A455-FEBD3A36DACB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6E-447E-A455-FEBD3A36DACB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6E-447E-A455-FEBD3A36DACB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6E-447E-A455-FEBD3A36DA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Sheet1!$C$1125:$C$1129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40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E45-9360-7B456E37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Sheet1!$F$1125:$F$1129</c:f>
              <c:numCache>
                <c:formatCode>General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175</c:v>
                </c:pt>
                <c:pt idx="3">
                  <c:v>215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C17-8B64-16EC9BC66192}"/>
            </c:ext>
          </c:extLst>
        </c:ser>
        <c:ser>
          <c:idx val="1"/>
          <c:order val="1"/>
          <c:tx>
            <c:v>more than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Sheet1!$H$1125:$H$1129</c:f>
              <c:numCache>
                <c:formatCode>General</c:formatCode>
                <c:ptCount val="5"/>
                <c:pt idx="0">
                  <c:v>230</c:v>
                </c:pt>
                <c:pt idx="1">
                  <c:v>205</c:v>
                </c:pt>
                <c:pt idx="2">
                  <c:v>155</c:v>
                </c:pt>
                <c:pt idx="3">
                  <c:v>55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4C17-8B64-16EC9BC6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6176"/>
        <c:axId val="460459056"/>
      </c:lineChart>
      <c:catAx>
        <c:axId val="4604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056"/>
        <c:crosses val="autoZero"/>
        <c:auto val="1"/>
        <c:lblAlgn val="ctr"/>
        <c:lblOffset val="100"/>
        <c:noMultiLvlLbl val="0"/>
      </c:catAx>
      <c:valAx>
        <c:axId val="460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6616907261592299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Sheet1!$F$1125:$F$1129</c:f>
              <c:numCache>
                <c:formatCode>General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175</c:v>
                </c:pt>
                <c:pt idx="3">
                  <c:v>215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3-41EC-BAFE-1944C3F2A301}"/>
            </c:ext>
          </c:extLst>
        </c:ser>
        <c:ser>
          <c:idx val="1"/>
          <c:order val="1"/>
          <c:tx>
            <c:v>more than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Sheet1!$H$1125:$H$1129</c:f>
              <c:numCache>
                <c:formatCode>General</c:formatCode>
                <c:ptCount val="5"/>
                <c:pt idx="0">
                  <c:v>230</c:v>
                </c:pt>
                <c:pt idx="1">
                  <c:v>205</c:v>
                </c:pt>
                <c:pt idx="2">
                  <c:v>155</c:v>
                </c:pt>
                <c:pt idx="3">
                  <c:v>55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3-41EC-BAFE-1944C3F2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04672"/>
        <c:axId val="521705152"/>
      </c:lineChart>
      <c:catAx>
        <c:axId val="5217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5152"/>
        <c:crosses val="autoZero"/>
        <c:auto val="1"/>
        <c:lblAlgn val="ctr"/>
        <c:lblOffset val="100"/>
        <c:noMultiLvlLbl val="0"/>
      </c:catAx>
      <c:valAx>
        <c:axId val="521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Sheet1!$F$1125:$F$1129</c:f>
              <c:numCache>
                <c:formatCode>General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175</c:v>
                </c:pt>
                <c:pt idx="3">
                  <c:v>215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A-4326-83EB-E40A9DC86B12}"/>
            </c:ext>
          </c:extLst>
        </c:ser>
        <c:ser>
          <c:idx val="1"/>
          <c:order val="1"/>
          <c:tx>
            <c:v>more than cf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Sheet1!$E$1125:$E$1129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cat>
          <c:val>
            <c:numRef>
              <c:f>Sheet1!$H$1125:$H$1129</c:f>
              <c:numCache>
                <c:formatCode>General</c:formatCode>
                <c:ptCount val="5"/>
                <c:pt idx="0">
                  <c:v>230</c:v>
                </c:pt>
                <c:pt idx="1">
                  <c:v>205</c:v>
                </c:pt>
                <c:pt idx="2">
                  <c:v>155</c:v>
                </c:pt>
                <c:pt idx="3">
                  <c:v>55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A-4326-83EB-E40A9DC8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79424"/>
        <c:axId val="539783744"/>
      </c:lineChart>
      <c:catAx>
        <c:axId val="53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3744"/>
        <c:crosses val="autoZero"/>
        <c:auto val="1"/>
        <c:lblAlgn val="ctr"/>
        <c:lblOffset val="100"/>
        <c:noMultiLvlLbl val="0"/>
      </c:catAx>
      <c:valAx>
        <c:axId val="5397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1133</xdr:row>
      <xdr:rowOff>95250</xdr:rowOff>
    </xdr:from>
    <xdr:to>
      <xdr:col>6</xdr:col>
      <xdr:colOff>327660</xdr:colOff>
      <xdr:row>1148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2B569-2202-E74C-74FA-00B8B85B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384810</xdr:colOff>
      <xdr:row>1116</xdr:row>
      <xdr:rowOff>102870</xdr:rowOff>
    </xdr:from>
    <xdr:to>
      <xdr:col>17</xdr:col>
      <xdr:colOff>476250</xdr:colOff>
      <xdr:row>1130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312BD-5A32-F2E6-5A92-4A8D108A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</xdr:colOff>
      <xdr:row>1116</xdr:row>
      <xdr:rowOff>80010</xdr:rowOff>
    </xdr:from>
    <xdr:to>
      <xdr:col>17</xdr:col>
      <xdr:colOff>163830</xdr:colOff>
      <xdr:row>1130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1BF16F-7777-1E61-6F7B-3D266383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1132</xdr:row>
      <xdr:rowOff>26670</xdr:rowOff>
    </xdr:from>
    <xdr:to>
      <xdr:col>13</xdr:col>
      <xdr:colOff>331470</xdr:colOff>
      <xdr:row>1147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D315E1-5E2A-FD24-FFE5-652386C69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u Sharma" refreshedDate="45297.85486388889" createdVersion="8" refreshedVersion="8" minRefreshableVersion="3" recordCount="30" xr:uid="{4607E53C-1CE7-412B-B2D9-5476954A6A82}">
  <cacheSource type="worksheet">
    <worksheetSource ref="H909:H939" sheet="Sheet1"/>
  </cacheSource>
  <cacheFields count="1">
    <cacheField name="66" numFmtId="0">
      <sharedItems containsSemiMixedTypes="0" containsString="0" containsNumber="1" containsInteger="1" minValue="17" maxValue="98" count="28">
        <n v="35"/>
        <n v="79"/>
        <n v="41"/>
        <n v="75"/>
        <n v="65"/>
        <n v="58"/>
        <n v="68"/>
        <n v="17"/>
        <n v="48"/>
        <n v="88"/>
        <n v="87"/>
        <n v="49"/>
        <n v="26"/>
        <n v="61"/>
        <n v="72"/>
        <n v="19"/>
        <n v="78"/>
        <n v="70"/>
        <n v="97"/>
        <n v="85"/>
        <n v="77"/>
        <n v="84"/>
        <n v="27"/>
        <n v="94"/>
        <n v="57"/>
        <n v="39"/>
        <n v="98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5"/>
  </r>
  <r>
    <x v="3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9844A-E959-4B66-AFDC-024E74C3F0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909:I938" firstHeaderRow="1" firstDataRow="1" firstDataCol="1"/>
  <pivotFields count="1">
    <pivotField axis="axisRow" showAll="0">
      <items count="29">
        <item x="7"/>
        <item x="15"/>
        <item x="12"/>
        <item x="22"/>
        <item x="27"/>
        <item x="0"/>
        <item x="25"/>
        <item x="2"/>
        <item x="8"/>
        <item x="11"/>
        <item x="24"/>
        <item x="5"/>
        <item x="13"/>
        <item x="4"/>
        <item x="6"/>
        <item x="17"/>
        <item x="14"/>
        <item x="3"/>
        <item x="20"/>
        <item x="16"/>
        <item x="1"/>
        <item x="21"/>
        <item x="19"/>
        <item x="10"/>
        <item x="9"/>
        <item x="23"/>
        <item x="18"/>
        <item x="26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2"/>
  <sheetViews>
    <sheetView tabSelected="1" topLeftCell="A305" zoomScale="132" zoomScaleNormal="130" workbookViewId="0">
      <selection activeCell="D310" sqref="D310"/>
    </sheetView>
  </sheetViews>
  <sheetFormatPr defaultRowHeight="14.4" x14ac:dyDescent="0.3"/>
  <cols>
    <col min="3" max="5" width="12" bestFit="1" customWidth="1"/>
    <col min="7" max="8" width="12" bestFit="1" customWidth="1"/>
    <col min="9" max="9" width="12.5546875" bestFit="1" customWidth="1"/>
    <col min="12" max="12" width="12" bestFit="1" customWidth="1"/>
  </cols>
  <sheetData>
    <row r="1" spans="1:5" x14ac:dyDescent="0.3">
      <c r="B1" s="2" t="s">
        <v>65</v>
      </c>
    </row>
    <row r="2" spans="1:5" x14ac:dyDescent="0.3">
      <c r="A2" t="s">
        <v>0</v>
      </c>
    </row>
    <row r="3" spans="1:5" x14ac:dyDescent="0.3">
      <c r="A3" t="s">
        <v>1</v>
      </c>
      <c r="B3" t="s">
        <v>2</v>
      </c>
    </row>
    <row r="4" spans="1:5" x14ac:dyDescent="0.3">
      <c r="B4" t="s">
        <v>3</v>
      </c>
    </row>
    <row r="5" spans="1:5" x14ac:dyDescent="0.3">
      <c r="B5" t="s">
        <v>4</v>
      </c>
    </row>
    <row r="6" spans="1:5" x14ac:dyDescent="0.3">
      <c r="B6" t="s">
        <v>5</v>
      </c>
      <c r="E6" s="2"/>
    </row>
    <row r="7" spans="1:5" x14ac:dyDescent="0.3">
      <c r="B7" t="s">
        <v>6</v>
      </c>
    </row>
    <row r="8" spans="1:5" x14ac:dyDescent="0.3">
      <c r="A8" t="s">
        <v>7</v>
      </c>
    </row>
    <row r="9" spans="1:5" x14ac:dyDescent="0.3">
      <c r="B9" t="s">
        <v>8</v>
      </c>
      <c r="D9" t="s">
        <v>9</v>
      </c>
    </row>
    <row r="10" spans="1:5" x14ac:dyDescent="0.3">
      <c r="B10" t="s">
        <v>10</v>
      </c>
      <c r="D10" t="s">
        <v>11</v>
      </c>
    </row>
    <row r="11" spans="1:5" x14ac:dyDescent="0.3">
      <c r="B11">
        <v>12</v>
      </c>
      <c r="D11">
        <v>42</v>
      </c>
    </row>
    <row r="12" spans="1:5" x14ac:dyDescent="0.3">
      <c r="B12">
        <v>14</v>
      </c>
      <c r="D12">
        <v>40</v>
      </c>
    </row>
    <row r="13" spans="1:5" x14ac:dyDescent="0.3">
      <c r="B13">
        <v>15</v>
      </c>
      <c r="D13">
        <v>45</v>
      </c>
    </row>
    <row r="14" spans="1:5" x14ac:dyDescent="0.3">
      <c r="B14">
        <v>14</v>
      </c>
      <c r="D14">
        <v>48</v>
      </c>
    </row>
    <row r="15" spans="1:5" x14ac:dyDescent="0.3">
      <c r="B15">
        <v>18</v>
      </c>
      <c r="D15">
        <v>38</v>
      </c>
    </row>
    <row r="16" spans="1:5" x14ac:dyDescent="0.3">
      <c r="B16">
        <v>17</v>
      </c>
      <c r="D16">
        <v>45</v>
      </c>
    </row>
    <row r="17" spans="2:13" x14ac:dyDescent="0.3">
      <c r="B17" t="s">
        <v>12</v>
      </c>
    </row>
    <row r="18" spans="2:13" ht="25.8" x14ac:dyDescent="0.5">
      <c r="B18" t="s">
        <v>13</v>
      </c>
      <c r="G18" t="s">
        <v>14</v>
      </c>
      <c r="H18">
        <f>PEARSON(B11:B16,D11:D16)</f>
        <v>-0.24753688574416857</v>
      </c>
      <c r="I18" s="12" t="s">
        <v>639</v>
      </c>
      <c r="J18" s="12"/>
      <c r="K18" s="12"/>
      <c r="L18" s="11"/>
      <c r="M18" s="11"/>
    </row>
    <row r="22" spans="2:13" x14ac:dyDescent="0.3">
      <c r="B22" t="s">
        <v>15</v>
      </c>
    </row>
    <row r="23" spans="2:13" x14ac:dyDescent="0.3">
      <c r="B23" t="s">
        <v>16</v>
      </c>
    </row>
    <row r="25" spans="2:13" x14ac:dyDescent="0.3">
      <c r="B25" t="s">
        <v>17</v>
      </c>
      <c r="D25">
        <f>SLOPE(D11:D16,B11:B16)</f>
        <v>-0.41666666666666669</v>
      </c>
      <c r="E25" t="s">
        <v>641</v>
      </c>
    </row>
    <row r="26" spans="2:13" x14ac:dyDescent="0.3">
      <c r="B26" t="s">
        <v>18</v>
      </c>
      <c r="D26">
        <f>INTERCEPT(D11:D16,B11:B16)</f>
        <v>49.25</v>
      </c>
      <c r="E26" t="s">
        <v>640</v>
      </c>
    </row>
    <row r="28" spans="2:13" x14ac:dyDescent="0.3">
      <c r="B28" t="s">
        <v>19</v>
      </c>
    </row>
    <row r="29" spans="2:13" x14ac:dyDescent="0.3">
      <c r="C29" t="s">
        <v>642</v>
      </c>
      <c r="E29" t="s">
        <v>20</v>
      </c>
    </row>
    <row r="31" spans="2:13" x14ac:dyDescent="0.3">
      <c r="C31" t="s">
        <v>21</v>
      </c>
      <c r="D31">
        <v>25</v>
      </c>
      <c r="E31" t="s">
        <v>22</v>
      </c>
    </row>
    <row r="32" spans="2:13" x14ac:dyDescent="0.3">
      <c r="C32" t="s">
        <v>23</v>
      </c>
      <c r="D32">
        <f>D26+D25*D31</f>
        <v>38.833333333333329</v>
      </c>
      <c r="E32" t="s">
        <v>24</v>
      </c>
      <c r="F32" t="s">
        <v>643</v>
      </c>
    </row>
    <row r="35" spans="1:6" x14ac:dyDescent="0.3">
      <c r="A35" t="s">
        <v>25</v>
      </c>
    </row>
    <row r="36" spans="1:6" x14ac:dyDescent="0.3">
      <c r="A36" t="s">
        <v>26</v>
      </c>
      <c r="B36" t="s">
        <v>27</v>
      </c>
    </row>
    <row r="37" spans="1:6" x14ac:dyDescent="0.3">
      <c r="B37" t="s">
        <v>28</v>
      </c>
    </row>
    <row r="39" spans="1:6" x14ac:dyDescent="0.3">
      <c r="B39" t="s">
        <v>29</v>
      </c>
      <c r="F39" t="s">
        <v>30</v>
      </c>
    </row>
    <row r="40" spans="1:6" x14ac:dyDescent="0.3">
      <c r="B40">
        <v>60</v>
      </c>
      <c r="F40">
        <v>125</v>
      </c>
    </row>
    <row r="41" spans="1:6" x14ac:dyDescent="0.3">
      <c r="B41">
        <v>63</v>
      </c>
      <c r="F41">
        <v>110</v>
      </c>
    </row>
    <row r="42" spans="1:6" x14ac:dyDescent="0.3">
      <c r="B42">
        <v>72</v>
      </c>
      <c r="F42">
        <v>130</v>
      </c>
    </row>
    <row r="43" spans="1:6" x14ac:dyDescent="0.3">
      <c r="B43">
        <v>75</v>
      </c>
      <c r="F43">
        <v>135</v>
      </c>
    </row>
    <row r="44" spans="1:6" x14ac:dyDescent="0.3">
      <c r="B44">
        <v>80</v>
      </c>
      <c r="F44">
        <v>150</v>
      </c>
    </row>
    <row r="45" spans="1:6" x14ac:dyDescent="0.3">
      <c r="B45" t="s">
        <v>31</v>
      </c>
    </row>
    <row r="47" spans="1:6" x14ac:dyDescent="0.3">
      <c r="A47" t="s">
        <v>7</v>
      </c>
      <c r="B47" t="s">
        <v>32</v>
      </c>
      <c r="D47" t="s">
        <v>33</v>
      </c>
    </row>
    <row r="48" spans="1:6" x14ac:dyDescent="0.3">
      <c r="B48" t="s">
        <v>10</v>
      </c>
      <c r="D48" t="s">
        <v>11</v>
      </c>
    </row>
    <row r="49" spans="2:9" x14ac:dyDescent="0.3">
      <c r="B49">
        <v>60</v>
      </c>
      <c r="D49">
        <v>125</v>
      </c>
    </row>
    <row r="50" spans="2:9" x14ac:dyDescent="0.3">
      <c r="B50">
        <v>63</v>
      </c>
      <c r="D50">
        <v>110</v>
      </c>
    </row>
    <row r="51" spans="2:9" x14ac:dyDescent="0.3">
      <c r="B51">
        <v>72</v>
      </c>
      <c r="D51">
        <v>130</v>
      </c>
    </row>
    <row r="52" spans="2:9" x14ac:dyDescent="0.3">
      <c r="B52">
        <v>75</v>
      </c>
      <c r="D52">
        <v>135</v>
      </c>
    </row>
    <row r="53" spans="2:9" x14ac:dyDescent="0.3">
      <c r="B53">
        <v>80</v>
      </c>
      <c r="D53">
        <v>150</v>
      </c>
    </row>
    <row r="55" spans="2:9" x14ac:dyDescent="0.3">
      <c r="B55" t="s">
        <v>12</v>
      </c>
    </row>
    <row r="56" spans="2:9" x14ac:dyDescent="0.3">
      <c r="B56" t="s">
        <v>13</v>
      </c>
      <c r="G56" t="s">
        <v>14</v>
      </c>
      <c r="H56">
        <f>PEARSON(B49:B53,D49:D53)</f>
        <v>0.85372153366664449</v>
      </c>
      <c r="I56" t="s">
        <v>667</v>
      </c>
    </row>
    <row r="60" spans="2:9" x14ac:dyDescent="0.3">
      <c r="B60" t="s">
        <v>15</v>
      </c>
    </row>
    <row r="61" spans="2:9" x14ac:dyDescent="0.3">
      <c r="B61" t="s">
        <v>16</v>
      </c>
    </row>
    <row r="63" spans="2:9" x14ac:dyDescent="0.3">
      <c r="B63" t="s">
        <v>17</v>
      </c>
      <c r="D63" s="17">
        <f>SLOPE(D49:D53,B49:B53)</f>
        <v>1.4928057553956835</v>
      </c>
      <c r="E63" t="s">
        <v>668</v>
      </c>
    </row>
    <row r="64" spans="2:9" x14ac:dyDescent="0.3">
      <c r="B64" t="s">
        <v>18</v>
      </c>
      <c r="D64" s="17">
        <f>INTERCEPT(D49:D53,B49:B53)</f>
        <v>25.503597122302153</v>
      </c>
      <c r="E64" t="s">
        <v>669</v>
      </c>
    </row>
    <row r="66" spans="1:10" x14ac:dyDescent="0.3">
      <c r="B66" t="s">
        <v>19</v>
      </c>
    </row>
    <row r="67" spans="1:10" x14ac:dyDescent="0.3">
      <c r="C67" t="s">
        <v>670</v>
      </c>
      <c r="E67" t="s">
        <v>20</v>
      </c>
    </row>
    <row r="69" spans="1:10" x14ac:dyDescent="0.3">
      <c r="C69" t="s">
        <v>21</v>
      </c>
      <c r="D69">
        <v>90</v>
      </c>
      <c r="E69" t="s">
        <v>22</v>
      </c>
    </row>
    <row r="70" spans="1:10" x14ac:dyDescent="0.3">
      <c r="C70" t="s">
        <v>23</v>
      </c>
      <c r="E70" t="s">
        <v>34</v>
      </c>
      <c r="F70">
        <f>D64+D63*D69</f>
        <v>159.85611510791367</v>
      </c>
      <c r="G70" t="s">
        <v>671</v>
      </c>
    </row>
    <row r="72" spans="1:10" x14ac:dyDescent="0.3">
      <c r="A72" t="s">
        <v>35</v>
      </c>
    </row>
    <row r="73" spans="1:10" x14ac:dyDescent="0.3">
      <c r="A73" t="s">
        <v>36</v>
      </c>
      <c r="B73" t="s">
        <v>37</v>
      </c>
    </row>
    <row r="74" spans="1:10" x14ac:dyDescent="0.3">
      <c r="B74" t="s">
        <v>38</v>
      </c>
    </row>
    <row r="75" spans="1:10" x14ac:dyDescent="0.3">
      <c r="A75" t="s">
        <v>39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</row>
    <row r="76" spans="1:10" x14ac:dyDescent="0.3">
      <c r="A76" t="s">
        <v>40</v>
      </c>
      <c r="C76">
        <v>16</v>
      </c>
      <c r="D76">
        <v>12</v>
      </c>
      <c r="E76">
        <v>18</v>
      </c>
      <c r="F76">
        <v>4</v>
      </c>
      <c r="G76">
        <v>3</v>
      </c>
      <c r="H76">
        <v>10</v>
      </c>
      <c r="I76">
        <v>5</v>
      </c>
      <c r="J76">
        <v>12</v>
      </c>
    </row>
    <row r="77" spans="1:10" x14ac:dyDescent="0.3">
      <c r="A77" t="s">
        <v>41</v>
      </c>
      <c r="C77">
        <v>87</v>
      </c>
      <c r="D77">
        <v>88</v>
      </c>
      <c r="E77">
        <v>89</v>
      </c>
      <c r="F77">
        <v>68</v>
      </c>
      <c r="G77">
        <v>78</v>
      </c>
      <c r="H77">
        <v>80</v>
      </c>
      <c r="I77">
        <v>75</v>
      </c>
      <c r="J77">
        <v>83</v>
      </c>
    </row>
    <row r="78" spans="1:10" x14ac:dyDescent="0.3">
      <c r="B78" t="s">
        <v>42</v>
      </c>
    </row>
    <row r="79" spans="1:10" x14ac:dyDescent="0.3">
      <c r="B79" t="s">
        <v>43</v>
      </c>
    </row>
    <row r="81" spans="1:7" x14ac:dyDescent="0.3">
      <c r="A81" t="s">
        <v>44</v>
      </c>
    </row>
    <row r="82" spans="1:7" x14ac:dyDescent="0.3">
      <c r="B82" t="s">
        <v>45</v>
      </c>
      <c r="E82" t="s">
        <v>41</v>
      </c>
    </row>
    <row r="83" spans="1:7" x14ac:dyDescent="0.3">
      <c r="B83">
        <v>16</v>
      </c>
      <c r="E83">
        <v>87</v>
      </c>
    </row>
    <row r="84" spans="1:7" x14ac:dyDescent="0.3">
      <c r="B84">
        <v>12</v>
      </c>
      <c r="E84">
        <v>88</v>
      </c>
    </row>
    <row r="85" spans="1:7" x14ac:dyDescent="0.3">
      <c r="B85">
        <v>18</v>
      </c>
      <c r="E85">
        <v>89</v>
      </c>
    </row>
    <row r="86" spans="1:7" x14ac:dyDescent="0.3">
      <c r="B86">
        <v>4</v>
      </c>
      <c r="E86">
        <v>68</v>
      </c>
    </row>
    <row r="87" spans="1:7" x14ac:dyDescent="0.3">
      <c r="B87">
        <v>3</v>
      </c>
      <c r="E87">
        <v>78</v>
      </c>
    </row>
    <row r="88" spans="1:7" x14ac:dyDescent="0.3">
      <c r="B88">
        <v>10</v>
      </c>
      <c r="E88">
        <v>80</v>
      </c>
    </row>
    <row r="89" spans="1:7" x14ac:dyDescent="0.3">
      <c r="B89">
        <v>5</v>
      </c>
      <c r="E89">
        <v>75</v>
      </c>
    </row>
    <row r="90" spans="1:7" x14ac:dyDescent="0.3">
      <c r="B90">
        <v>12</v>
      </c>
      <c r="E90">
        <v>83</v>
      </c>
    </row>
    <row r="92" spans="1:7" x14ac:dyDescent="0.3">
      <c r="B92" t="s">
        <v>13</v>
      </c>
      <c r="F92">
        <f>PEARSON(B83:B90,E83:E90)</f>
        <v>0.87205684859868737</v>
      </c>
      <c r="G92" t="s">
        <v>672</v>
      </c>
    </row>
    <row r="95" spans="1:7" x14ac:dyDescent="0.3">
      <c r="B95" t="s">
        <v>16</v>
      </c>
    </row>
    <row r="97" spans="1:5" x14ac:dyDescent="0.3">
      <c r="B97" t="s">
        <v>17</v>
      </c>
      <c r="D97" s="17">
        <f>SLOPE(E83:E90,B83:B90)</f>
        <v>1.1330275229357798</v>
      </c>
      <c r="E97" t="s">
        <v>673</v>
      </c>
    </row>
    <row r="98" spans="1:5" x14ac:dyDescent="0.3">
      <c r="B98" t="s">
        <v>18</v>
      </c>
      <c r="D98" s="17">
        <f>INTERCEPT(E83:E90,B83:B90)</f>
        <v>69.669724770642205</v>
      </c>
      <c r="E98" t="s">
        <v>674</v>
      </c>
    </row>
    <row r="100" spans="1:5" x14ac:dyDescent="0.3">
      <c r="B100" t="s">
        <v>19</v>
      </c>
    </row>
    <row r="101" spans="1:5" x14ac:dyDescent="0.3">
      <c r="B101" t="s">
        <v>675</v>
      </c>
      <c r="E101" t="s">
        <v>676</v>
      </c>
    </row>
    <row r="103" spans="1:5" x14ac:dyDescent="0.3">
      <c r="C103" t="s">
        <v>21</v>
      </c>
      <c r="D103">
        <f>20</f>
        <v>20</v>
      </c>
    </row>
    <row r="104" spans="1:5" x14ac:dyDescent="0.3">
      <c r="C104" t="s">
        <v>23</v>
      </c>
      <c r="D104">
        <f>D98+D97*D103</f>
        <v>92.330275229357795</v>
      </c>
      <c r="E104" t="s">
        <v>677</v>
      </c>
    </row>
    <row r="106" spans="1:5" x14ac:dyDescent="0.3">
      <c r="A106" s="2" t="s">
        <v>66</v>
      </c>
      <c r="B106" s="2"/>
    </row>
    <row r="108" spans="1:5" x14ac:dyDescent="0.3">
      <c r="A108" t="s">
        <v>35</v>
      </c>
    </row>
    <row r="109" spans="1:5" x14ac:dyDescent="0.3">
      <c r="A109" t="s">
        <v>46</v>
      </c>
    </row>
    <row r="110" spans="1:5" x14ac:dyDescent="0.3">
      <c r="B110" t="s">
        <v>47</v>
      </c>
    </row>
    <row r="111" spans="1:5" x14ac:dyDescent="0.3">
      <c r="A111" t="s">
        <v>44</v>
      </c>
    </row>
    <row r="112" spans="1:5" x14ac:dyDescent="0.3">
      <c r="B112" t="s">
        <v>48</v>
      </c>
      <c r="C112">
        <v>500</v>
      </c>
    </row>
    <row r="113" spans="2:11" x14ac:dyDescent="0.3">
      <c r="B113" t="s">
        <v>49</v>
      </c>
      <c r="C113">
        <v>110</v>
      </c>
    </row>
    <row r="114" spans="2:11" x14ac:dyDescent="0.3">
      <c r="B114" s="1"/>
    </row>
    <row r="115" spans="2:11" x14ac:dyDescent="0.3">
      <c r="B115" s="1" t="s">
        <v>50</v>
      </c>
      <c r="C115">
        <f>112</f>
        <v>112</v>
      </c>
    </row>
    <row r="116" spans="2:11" ht="25.8" x14ac:dyDescent="0.5">
      <c r="B116" s="1" t="s">
        <v>51</v>
      </c>
      <c r="C116">
        <f>100</f>
        <v>100</v>
      </c>
      <c r="G116" t="s">
        <v>52</v>
      </c>
      <c r="H116">
        <f>C117/SQRT(C112)</f>
        <v>0.44721359549995793</v>
      </c>
      <c r="I116" s="12" t="s">
        <v>678</v>
      </c>
      <c r="J116" s="10"/>
      <c r="K116" s="10"/>
    </row>
    <row r="117" spans="2:11" x14ac:dyDescent="0.3">
      <c r="B117" s="1" t="s">
        <v>53</v>
      </c>
      <c r="C117">
        <f>10</f>
        <v>10</v>
      </c>
    </row>
    <row r="119" spans="2:11" x14ac:dyDescent="0.3">
      <c r="B119" t="s">
        <v>54</v>
      </c>
    </row>
    <row r="121" spans="2:11" x14ac:dyDescent="0.3">
      <c r="B121" t="s">
        <v>55</v>
      </c>
      <c r="D121" t="s">
        <v>56</v>
      </c>
    </row>
    <row r="122" spans="2:11" x14ac:dyDescent="0.3">
      <c r="B122" s="1" t="s">
        <v>57</v>
      </c>
      <c r="E122" t="s">
        <v>58</v>
      </c>
    </row>
    <row r="124" spans="2:11" x14ac:dyDescent="0.3">
      <c r="B124" t="s">
        <v>59</v>
      </c>
    </row>
    <row r="125" spans="2:11" x14ac:dyDescent="0.3">
      <c r="B125" t="s">
        <v>60</v>
      </c>
      <c r="C125">
        <f>STANDARDIZE(C113,C115,H116)</f>
        <v>-4.4721359549995796</v>
      </c>
      <c r="D125" t="s">
        <v>679</v>
      </c>
    </row>
    <row r="126" spans="2:11" x14ac:dyDescent="0.3">
      <c r="C126">
        <f>ABS(C125)</f>
        <v>4.4721359549995796</v>
      </c>
      <c r="D126" t="s">
        <v>680</v>
      </c>
    </row>
    <row r="128" spans="2:11" x14ac:dyDescent="0.3">
      <c r="B128" t="s">
        <v>61</v>
      </c>
      <c r="D128" s="7">
        <v>0.05</v>
      </c>
    </row>
    <row r="129" spans="1:8" x14ac:dyDescent="0.3">
      <c r="B129" s="9" t="s">
        <v>681</v>
      </c>
      <c r="C129">
        <v>0.05</v>
      </c>
    </row>
    <row r="130" spans="1:8" x14ac:dyDescent="0.3">
      <c r="B130" t="s">
        <v>62</v>
      </c>
      <c r="D130" t="s">
        <v>63</v>
      </c>
      <c r="E130" s="17">
        <f>NORMSINV(1-C129/2)</f>
        <v>1.9599639845400536</v>
      </c>
      <c r="F130" t="s">
        <v>682</v>
      </c>
    </row>
    <row r="132" spans="1:8" x14ac:dyDescent="0.3">
      <c r="B132" t="s">
        <v>131</v>
      </c>
    </row>
    <row r="133" spans="1:8" x14ac:dyDescent="0.3">
      <c r="B133" t="s">
        <v>132</v>
      </c>
      <c r="D133">
        <f>2*(1-NORMSDIST(C126))</f>
        <v>7.7442164310159711E-6</v>
      </c>
    </row>
    <row r="134" spans="1:8" ht="15.6" x14ac:dyDescent="0.3">
      <c r="B134" t="s">
        <v>64</v>
      </c>
      <c r="C134" t="s">
        <v>683</v>
      </c>
      <c r="D134" t="str">
        <f>IF(C126&lt;E130,"since |Zcal| &lt; |Ztab|, H0 is accepted i.e H1 is rejected ","since |Zcal| &gt; |Ztab|, H0 is rejected i.e H1 is accepted")</f>
        <v>since |Zcal| &gt; |Ztab|, H0 is rejected i.e H1 is accepted</v>
      </c>
      <c r="H134" t="s">
        <v>684</v>
      </c>
    </row>
    <row r="136" spans="1:8" x14ac:dyDescent="0.3">
      <c r="A136" t="s">
        <v>67</v>
      </c>
    </row>
    <row r="137" spans="1:8" x14ac:dyDescent="0.3">
      <c r="A137" t="s">
        <v>68</v>
      </c>
      <c r="B137" t="s">
        <v>69</v>
      </c>
    </row>
    <row r="138" spans="1:8" x14ac:dyDescent="0.3">
      <c r="B138" t="s">
        <v>70</v>
      </c>
    </row>
    <row r="139" spans="1:8" x14ac:dyDescent="0.3">
      <c r="B139" t="s">
        <v>71</v>
      </c>
    </row>
    <row r="141" spans="1:8" x14ac:dyDescent="0.3">
      <c r="A141" t="s">
        <v>72</v>
      </c>
      <c r="B141" t="s">
        <v>48</v>
      </c>
      <c r="C141">
        <f>100</f>
        <v>100</v>
      </c>
    </row>
    <row r="142" spans="1:8" x14ac:dyDescent="0.3">
      <c r="B142" t="s">
        <v>49</v>
      </c>
      <c r="C142">
        <f>4</f>
        <v>4</v>
      </c>
    </row>
    <row r="143" spans="1:8" x14ac:dyDescent="0.3">
      <c r="B143" s="1" t="s">
        <v>73</v>
      </c>
      <c r="C143">
        <v>3</v>
      </c>
    </row>
    <row r="144" spans="1:8" x14ac:dyDescent="0.3">
      <c r="B144" s="1" t="s">
        <v>50</v>
      </c>
      <c r="C144">
        <f>5</f>
        <v>5</v>
      </c>
    </row>
    <row r="145" spans="2:9" x14ac:dyDescent="0.3">
      <c r="B145" s="1"/>
      <c r="G145" t="s">
        <v>52</v>
      </c>
      <c r="H145">
        <f>C143/SQRT(C141)</f>
        <v>0.3</v>
      </c>
      <c r="I145" t="s">
        <v>685</v>
      </c>
    </row>
    <row r="146" spans="2:9" x14ac:dyDescent="0.3">
      <c r="B146" s="1"/>
    </row>
    <row r="148" spans="2:9" x14ac:dyDescent="0.3">
      <c r="B148" t="s">
        <v>54</v>
      </c>
    </row>
    <row r="150" spans="2:9" x14ac:dyDescent="0.3">
      <c r="B150" t="s">
        <v>74</v>
      </c>
      <c r="D150" t="s">
        <v>75</v>
      </c>
    </row>
    <row r="151" spans="2:9" x14ac:dyDescent="0.3">
      <c r="B151" s="1" t="s">
        <v>76</v>
      </c>
      <c r="E151" t="s">
        <v>77</v>
      </c>
    </row>
    <row r="153" spans="2:9" x14ac:dyDescent="0.3">
      <c r="B153" t="s">
        <v>59</v>
      </c>
    </row>
    <row r="154" spans="2:9" x14ac:dyDescent="0.3">
      <c r="B154" t="s">
        <v>60</v>
      </c>
      <c r="C154" s="17">
        <f>STANDARDIZE(C142,C144,H145)</f>
        <v>-3.3333333333333335</v>
      </c>
      <c r="D154" t="s">
        <v>686</v>
      </c>
    </row>
    <row r="155" spans="2:9" x14ac:dyDescent="0.3">
      <c r="C155" s="17">
        <f>ABS(C154)</f>
        <v>3.3333333333333335</v>
      </c>
      <c r="D155" t="s">
        <v>687</v>
      </c>
    </row>
    <row r="157" spans="2:9" x14ac:dyDescent="0.3">
      <c r="B157" t="s">
        <v>61</v>
      </c>
      <c r="E157">
        <f>0.05</f>
        <v>0.05</v>
      </c>
    </row>
    <row r="159" spans="2:9" x14ac:dyDescent="0.3">
      <c r="B159" t="s">
        <v>62</v>
      </c>
      <c r="D159" t="s">
        <v>63</v>
      </c>
      <c r="E159" s="17">
        <f>NORMSINV(1-E157/2)</f>
        <v>1.9599639845400536</v>
      </c>
      <c r="F159" t="s">
        <v>688</v>
      </c>
    </row>
    <row r="161" spans="1:9" x14ac:dyDescent="0.3">
      <c r="B161" t="s">
        <v>78</v>
      </c>
    </row>
    <row r="162" spans="1:9" x14ac:dyDescent="0.3">
      <c r="B162" t="s">
        <v>79</v>
      </c>
      <c r="D162" s="16">
        <f>C142-E159*H145</f>
        <v>3.4120108046379838</v>
      </c>
      <c r="E162" t="s">
        <v>690</v>
      </c>
    </row>
    <row r="163" spans="1:9" x14ac:dyDescent="0.3">
      <c r="B163" t="s">
        <v>80</v>
      </c>
      <c r="D163" s="16">
        <f>C142+E159*H145</f>
        <v>4.5879891953620158</v>
      </c>
      <c r="E163" t="s">
        <v>689</v>
      </c>
    </row>
    <row r="165" spans="1:9" x14ac:dyDescent="0.3">
      <c r="B165" t="s">
        <v>64</v>
      </c>
      <c r="C165" t="s">
        <v>691</v>
      </c>
    </row>
    <row r="169" spans="1:9" x14ac:dyDescent="0.3">
      <c r="B169" t="s">
        <v>104</v>
      </c>
    </row>
    <row r="170" spans="1:9" x14ac:dyDescent="0.3">
      <c r="B170" t="s">
        <v>105</v>
      </c>
    </row>
    <row r="171" spans="1:9" x14ac:dyDescent="0.3">
      <c r="B171" t="s">
        <v>106</v>
      </c>
    </row>
    <row r="173" spans="1:9" x14ac:dyDescent="0.3">
      <c r="A173" t="s">
        <v>44</v>
      </c>
    </row>
    <row r="174" spans="1:9" x14ac:dyDescent="0.3">
      <c r="B174" t="s">
        <v>48</v>
      </c>
      <c r="C174">
        <v>150</v>
      </c>
    </row>
    <row r="175" spans="1:9" x14ac:dyDescent="0.3">
      <c r="B175" t="s">
        <v>49</v>
      </c>
      <c r="C175">
        <f>111.2</f>
        <v>111.2</v>
      </c>
    </row>
    <row r="176" spans="1:9" x14ac:dyDescent="0.3">
      <c r="B176" s="1"/>
      <c r="G176" t="s">
        <v>107</v>
      </c>
      <c r="H176">
        <f>C179/SQRT(C174)</f>
        <v>0.58787753826796274</v>
      </c>
      <c r="I176" t="s">
        <v>801</v>
      </c>
    </row>
    <row r="177" spans="2:6" x14ac:dyDescent="0.3">
      <c r="B177" s="1" t="s">
        <v>50</v>
      </c>
      <c r="C177">
        <v>110</v>
      </c>
    </row>
    <row r="178" spans="2:6" x14ac:dyDescent="0.3">
      <c r="B178" s="1"/>
    </row>
    <row r="179" spans="2:6" x14ac:dyDescent="0.3">
      <c r="B179" s="1" t="s">
        <v>108</v>
      </c>
      <c r="C179">
        <v>7.2</v>
      </c>
    </row>
    <row r="180" spans="2:6" x14ac:dyDescent="0.3">
      <c r="B180" s="1" t="s">
        <v>802</v>
      </c>
      <c r="D180">
        <v>0.01</v>
      </c>
    </row>
    <row r="181" spans="2:6" x14ac:dyDescent="0.3">
      <c r="B181" t="s">
        <v>54</v>
      </c>
    </row>
    <row r="183" spans="2:6" x14ac:dyDescent="0.3">
      <c r="B183" t="s">
        <v>109</v>
      </c>
      <c r="D183" t="s">
        <v>110</v>
      </c>
    </row>
    <row r="184" spans="2:6" x14ac:dyDescent="0.3">
      <c r="B184" s="1" t="s">
        <v>111</v>
      </c>
      <c r="E184" t="s">
        <v>112</v>
      </c>
    </row>
    <row r="186" spans="2:6" x14ac:dyDescent="0.3">
      <c r="B186" t="s">
        <v>59</v>
      </c>
    </row>
    <row r="187" spans="2:6" x14ac:dyDescent="0.3">
      <c r="B187" t="s">
        <v>60</v>
      </c>
      <c r="C187">
        <f>STANDARDIZE(C175,C177,H176)</f>
        <v>2.0412414523193201</v>
      </c>
      <c r="D187" t="s">
        <v>803</v>
      </c>
    </row>
    <row r="190" spans="2:6" x14ac:dyDescent="0.3">
      <c r="B190" t="s">
        <v>61</v>
      </c>
      <c r="E190">
        <f>0.01</f>
        <v>0.01</v>
      </c>
    </row>
    <row r="192" spans="2:6" x14ac:dyDescent="0.3">
      <c r="B192" t="s">
        <v>62</v>
      </c>
      <c r="D192" t="s">
        <v>63</v>
      </c>
      <c r="E192">
        <f>NORMSINV(1-E190)</f>
        <v>2.3263478740408408</v>
      </c>
      <c r="F192" t="s">
        <v>804</v>
      </c>
    </row>
    <row r="194" spans="1:5" x14ac:dyDescent="0.3">
      <c r="B194" t="s">
        <v>64</v>
      </c>
      <c r="C194" t="str">
        <f>IF(C187&lt;D192,"H0 is accepted","H0 is rejected")</f>
        <v>H0 is accepted</v>
      </c>
      <c r="E194" t="s">
        <v>805</v>
      </c>
    </row>
    <row r="196" spans="1:5" x14ac:dyDescent="0.3">
      <c r="B196" s="2" t="s">
        <v>113</v>
      </c>
      <c r="C196" s="2"/>
    </row>
    <row r="198" spans="1:5" x14ac:dyDescent="0.3">
      <c r="B198" t="s">
        <v>99</v>
      </c>
      <c r="C198">
        <f>1-NORMSDIST(C187)</f>
        <v>2.061341666858163E-2</v>
      </c>
      <c r="D198" t="s">
        <v>806</v>
      </c>
    </row>
    <row r="201" spans="1:5" x14ac:dyDescent="0.3">
      <c r="B201" t="s">
        <v>100</v>
      </c>
      <c r="C201" t="str">
        <f>IF(C198&lt;E190,"H0 is rejected","H0 is accepted")</f>
        <v>H0 is accepted</v>
      </c>
      <c r="E201" t="s">
        <v>807</v>
      </c>
    </row>
    <row r="203" spans="1:5" x14ac:dyDescent="0.3">
      <c r="A203" t="s">
        <v>114</v>
      </c>
    </row>
    <row r="205" spans="1:5" x14ac:dyDescent="0.3">
      <c r="B205" t="s">
        <v>115</v>
      </c>
    </row>
    <row r="206" spans="1:5" x14ac:dyDescent="0.3">
      <c r="B206" t="s">
        <v>116</v>
      </c>
      <c r="D206">
        <f>C175+E192*H176</f>
        <v>112.56760766134605</v>
      </c>
      <c r="E206" t="s">
        <v>808</v>
      </c>
    </row>
    <row r="208" spans="1:5" x14ac:dyDescent="0.3">
      <c r="B208" t="s">
        <v>117</v>
      </c>
    </row>
    <row r="214" spans="1:7" x14ac:dyDescent="0.3">
      <c r="B214" t="s">
        <v>118</v>
      </c>
    </row>
    <row r="215" spans="1:7" x14ac:dyDescent="0.3">
      <c r="A215" t="s">
        <v>119</v>
      </c>
    </row>
    <row r="216" spans="1:7" x14ac:dyDescent="0.3">
      <c r="A216" t="s">
        <v>120</v>
      </c>
    </row>
    <row r="217" spans="1:7" x14ac:dyDescent="0.3">
      <c r="A217" t="s">
        <v>121</v>
      </c>
    </row>
    <row r="218" spans="1:7" x14ac:dyDescent="0.3">
      <c r="A218" t="s">
        <v>122</v>
      </c>
    </row>
    <row r="220" spans="1:7" x14ac:dyDescent="0.3">
      <c r="A220" t="s">
        <v>44</v>
      </c>
    </row>
    <row r="221" spans="1:7" x14ac:dyDescent="0.3">
      <c r="B221" t="s">
        <v>48</v>
      </c>
      <c r="C221">
        <v>36</v>
      </c>
    </row>
    <row r="222" spans="1:7" x14ac:dyDescent="0.3">
      <c r="B222" t="s">
        <v>49</v>
      </c>
      <c r="C222">
        <f>9.2</f>
        <v>9.1999999999999993</v>
      </c>
    </row>
    <row r="223" spans="1:7" x14ac:dyDescent="0.3">
      <c r="B223" s="1"/>
      <c r="G223" t="s">
        <v>107</v>
      </c>
    </row>
    <row r="224" spans="1:7" x14ac:dyDescent="0.3">
      <c r="B224" s="1" t="s">
        <v>50</v>
      </c>
      <c r="C224">
        <f>10</f>
        <v>10</v>
      </c>
    </row>
    <row r="225" spans="2:5" x14ac:dyDescent="0.3">
      <c r="B225" s="1"/>
    </row>
    <row r="226" spans="2:5" x14ac:dyDescent="0.3">
      <c r="B226" s="1" t="s">
        <v>108</v>
      </c>
      <c r="C226">
        <v>2.4</v>
      </c>
    </row>
    <row r="228" spans="2:5" x14ac:dyDescent="0.3">
      <c r="B228" t="s">
        <v>54</v>
      </c>
    </row>
    <row r="230" spans="2:5" x14ac:dyDescent="0.3">
      <c r="B230" t="s">
        <v>123</v>
      </c>
      <c r="C230" t="s">
        <v>124</v>
      </c>
      <c r="D230" t="s">
        <v>127</v>
      </c>
    </row>
    <row r="231" spans="2:5" x14ac:dyDescent="0.3">
      <c r="B231" s="1" t="s">
        <v>125</v>
      </c>
      <c r="E231" t="s">
        <v>126</v>
      </c>
    </row>
    <row r="233" spans="2:5" x14ac:dyDescent="0.3">
      <c r="B233" t="s">
        <v>59</v>
      </c>
    </row>
    <row r="234" spans="2:5" x14ac:dyDescent="0.3">
      <c r="B234" t="s">
        <v>60</v>
      </c>
    </row>
    <row r="237" spans="2:5" x14ac:dyDescent="0.3">
      <c r="B237" t="s">
        <v>61</v>
      </c>
      <c r="D237">
        <f>0.05</f>
        <v>0.05</v>
      </c>
    </row>
    <row r="239" spans="2:5" x14ac:dyDescent="0.3">
      <c r="B239" t="s">
        <v>62</v>
      </c>
      <c r="D239" t="s">
        <v>63</v>
      </c>
    </row>
    <row r="241" spans="1:3" x14ac:dyDescent="0.3">
      <c r="B241" t="s">
        <v>64</v>
      </c>
    </row>
    <row r="242" spans="1:3" x14ac:dyDescent="0.3">
      <c r="A242" t="s">
        <v>83</v>
      </c>
    </row>
    <row r="243" spans="1:3" x14ac:dyDescent="0.3">
      <c r="A243" t="s">
        <v>84</v>
      </c>
      <c r="B243" s="2" t="s">
        <v>113</v>
      </c>
      <c r="C243" s="2"/>
    </row>
    <row r="245" spans="1:3" x14ac:dyDescent="0.3">
      <c r="B245" t="s">
        <v>99</v>
      </c>
    </row>
    <row r="247" spans="1:3" x14ac:dyDescent="0.3">
      <c r="A247" t="s">
        <v>44</v>
      </c>
      <c r="B247" t="s">
        <v>64</v>
      </c>
    </row>
    <row r="251" spans="1:3" x14ac:dyDescent="0.3">
      <c r="B251" s="2" t="s">
        <v>130</v>
      </c>
    </row>
    <row r="252" spans="1:3" x14ac:dyDescent="0.3">
      <c r="B252" s="2" t="s">
        <v>129</v>
      </c>
      <c r="C252" s="2"/>
    </row>
    <row r="253" spans="1:3" x14ac:dyDescent="0.3">
      <c r="B253" t="s">
        <v>128</v>
      </c>
    </row>
    <row r="255" spans="1:3" x14ac:dyDescent="0.3">
      <c r="B255" t="s">
        <v>117</v>
      </c>
    </row>
    <row r="262" spans="1:7" x14ac:dyDescent="0.3">
      <c r="A262" t="s">
        <v>81</v>
      </c>
    </row>
    <row r="263" spans="1:7" x14ac:dyDescent="0.3">
      <c r="A263" t="s">
        <v>133</v>
      </c>
    </row>
    <row r="264" spans="1:7" x14ac:dyDescent="0.3">
      <c r="B264" t="s">
        <v>134</v>
      </c>
      <c r="D264" t="s">
        <v>135</v>
      </c>
      <c r="G264" t="s">
        <v>82</v>
      </c>
    </row>
    <row r="265" spans="1:7" x14ac:dyDescent="0.3">
      <c r="A265" t="s">
        <v>83</v>
      </c>
      <c r="B265">
        <v>6000</v>
      </c>
      <c r="D265">
        <v>80</v>
      </c>
      <c r="G265">
        <v>100</v>
      </c>
    </row>
    <row r="266" spans="1:7" x14ac:dyDescent="0.3">
      <c r="A266" t="s">
        <v>84</v>
      </c>
      <c r="B266">
        <v>5980</v>
      </c>
      <c r="D266">
        <v>90</v>
      </c>
      <c r="G266">
        <v>100</v>
      </c>
    </row>
    <row r="267" spans="1:7" x14ac:dyDescent="0.3">
      <c r="B267" t="s">
        <v>136</v>
      </c>
    </row>
    <row r="268" spans="1:7" x14ac:dyDescent="0.3">
      <c r="B268" t="s">
        <v>137</v>
      </c>
    </row>
    <row r="269" spans="1:7" x14ac:dyDescent="0.3">
      <c r="A269" t="s">
        <v>44</v>
      </c>
    </row>
    <row r="270" spans="1:7" x14ac:dyDescent="0.3">
      <c r="B270" t="s">
        <v>83</v>
      </c>
      <c r="F270" t="s">
        <v>84</v>
      </c>
    </row>
    <row r="271" spans="1:7" x14ac:dyDescent="0.3">
      <c r="A271" t="s">
        <v>85</v>
      </c>
      <c r="C271">
        <f>100</f>
        <v>100</v>
      </c>
      <c r="E271" t="s">
        <v>86</v>
      </c>
      <c r="G271">
        <f>100</f>
        <v>100</v>
      </c>
    </row>
    <row r="272" spans="1:7" x14ac:dyDescent="0.3">
      <c r="A272" t="s">
        <v>87</v>
      </c>
      <c r="C272">
        <v>6000</v>
      </c>
      <c r="E272" t="s">
        <v>88</v>
      </c>
      <c r="G272">
        <f>5980</f>
        <v>5980</v>
      </c>
    </row>
    <row r="273" spans="1:7" x14ac:dyDescent="0.3">
      <c r="A273" t="s">
        <v>89</v>
      </c>
      <c r="C273">
        <f>80</f>
        <v>80</v>
      </c>
      <c r="E273" t="s">
        <v>90</v>
      </c>
      <c r="G273">
        <v>90</v>
      </c>
    </row>
    <row r="275" spans="1:7" x14ac:dyDescent="0.3">
      <c r="A275" t="s">
        <v>91</v>
      </c>
      <c r="C275" t="s">
        <v>92</v>
      </c>
    </row>
    <row r="276" spans="1:7" x14ac:dyDescent="0.3">
      <c r="A276" t="s">
        <v>93</v>
      </c>
      <c r="B276" t="s">
        <v>94</v>
      </c>
    </row>
    <row r="277" spans="1:7" x14ac:dyDescent="0.3">
      <c r="C277" t="s">
        <v>95</v>
      </c>
    </row>
    <row r="278" spans="1:7" x14ac:dyDescent="0.3">
      <c r="A278" t="s">
        <v>59</v>
      </c>
    </row>
    <row r="279" spans="1:7" x14ac:dyDescent="0.3">
      <c r="B279" t="s">
        <v>60</v>
      </c>
    </row>
    <row r="280" spans="1:7" x14ac:dyDescent="0.3">
      <c r="G280" t="s">
        <v>52</v>
      </c>
    </row>
    <row r="281" spans="1:7" x14ac:dyDescent="0.3">
      <c r="A281" t="s">
        <v>96</v>
      </c>
      <c r="D281">
        <f>0.05</f>
        <v>0.05</v>
      </c>
      <c r="E281" t="s">
        <v>97</v>
      </c>
    </row>
    <row r="283" spans="1:7" x14ac:dyDescent="0.3">
      <c r="A283" t="s">
        <v>98</v>
      </c>
    </row>
    <row r="284" spans="1:7" x14ac:dyDescent="0.3">
      <c r="A284" t="s">
        <v>99</v>
      </c>
    </row>
    <row r="286" spans="1:7" x14ac:dyDescent="0.3">
      <c r="A286" t="s">
        <v>100</v>
      </c>
    </row>
    <row r="289" spans="1:6" x14ac:dyDescent="0.3">
      <c r="A289" t="s">
        <v>101</v>
      </c>
    </row>
    <row r="291" spans="1:6" x14ac:dyDescent="0.3">
      <c r="A291" t="s">
        <v>102</v>
      </c>
    </row>
    <row r="292" spans="1:6" x14ac:dyDescent="0.3">
      <c r="A292" t="s">
        <v>63</v>
      </c>
    </row>
    <row r="294" spans="1:6" x14ac:dyDescent="0.3">
      <c r="A294" t="s">
        <v>103</v>
      </c>
    </row>
    <row r="297" spans="1:6" x14ac:dyDescent="0.3">
      <c r="A297" t="s">
        <v>138</v>
      </c>
    </row>
    <row r="298" spans="1:6" x14ac:dyDescent="0.3">
      <c r="A298" t="s">
        <v>139</v>
      </c>
      <c r="B298" t="s">
        <v>140</v>
      </c>
    </row>
    <row r="299" spans="1:6" x14ac:dyDescent="0.3">
      <c r="B299" t="s">
        <v>141</v>
      </c>
    </row>
    <row r="300" spans="1:6" x14ac:dyDescent="0.3">
      <c r="B300" t="s">
        <v>142</v>
      </c>
    </row>
    <row r="301" spans="1:6" x14ac:dyDescent="0.3">
      <c r="B301" t="s">
        <v>143</v>
      </c>
    </row>
    <row r="302" spans="1:6" x14ac:dyDescent="0.3">
      <c r="B302" t="s">
        <v>144</v>
      </c>
    </row>
    <row r="303" spans="1:6" x14ac:dyDescent="0.3">
      <c r="A303" t="s">
        <v>44</v>
      </c>
    </row>
    <row r="304" spans="1:6" x14ac:dyDescent="0.3">
      <c r="B304" t="s">
        <v>145</v>
      </c>
      <c r="F304" t="s">
        <v>274</v>
      </c>
    </row>
    <row r="305" spans="1:9" x14ac:dyDescent="0.3">
      <c r="A305" t="s">
        <v>85</v>
      </c>
      <c r="C305">
        <f>60</f>
        <v>60</v>
      </c>
      <c r="E305" t="s">
        <v>86</v>
      </c>
      <c r="G305">
        <f>60</f>
        <v>60</v>
      </c>
    </row>
    <row r="306" spans="1:9" x14ac:dyDescent="0.3">
      <c r="A306" t="s">
        <v>87</v>
      </c>
      <c r="C306">
        <f>64</f>
        <v>64</v>
      </c>
      <c r="E306" t="s">
        <v>88</v>
      </c>
      <c r="G306">
        <f>62</f>
        <v>62</v>
      </c>
    </row>
    <row r="307" spans="1:9" x14ac:dyDescent="0.3">
      <c r="A307" t="s">
        <v>89</v>
      </c>
      <c r="C307">
        <f>5</f>
        <v>5</v>
      </c>
      <c r="E307" t="s">
        <v>90</v>
      </c>
      <c r="G307">
        <v>4</v>
      </c>
    </row>
    <row r="309" spans="1:9" x14ac:dyDescent="0.3">
      <c r="A309" t="s">
        <v>91</v>
      </c>
      <c r="C309" t="s">
        <v>146</v>
      </c>
      <c r="H309" t="s">
        <v>147</v>
      </c>
    </row>
    <row r="310" spans="1:9" x14ac:dyDescent="0.3">
      <c r="A310" t="s">
        <v>148</v>
      </c>
      <c r="B310" t="s">
        <v>149</v>
      </c>
      <c r="C310" t="s">
        <v>824</v>
      </c>
      <c r="D310" t="s">
        <v>823</v>
      </c>
    </row>
    <row r="312" spans="1:9" x14ac:dyDescent="0.3">
      <c r="A312" t="s">
        <v>59</v>
      </c>
    </row>
    <row r="313" spans="1:9" x14ac:dyDescent="0.3">
      <c r="B313" t="s">
        <v>60</v>
      </c>
      <c r="C313">
        <f>(C306-G306)/H314</f>
        <v>2.4194335156365354</v>
      </c>
      <c r="D313" t="s">
        <v>784</v>
      </c>
    </row>
    <row r="314" spans="1:9" x14ac:dyDescent="0.3">
      <c r="G314" t="s">
        <v>52</v>
      </c>
      <c r="H314">
        <f>SQRT(C307^2/C305+G307^2/G305)</f>
        <v>0.82663978450914966</v>
      </c>
      <c r="I314" t="s">
        <v>785</v>
      </c>
    </row>
    <row r="315" spans="1:9" x14ac:dyDescent="0.3">
      <c r="A315" t="s">
        <v>96</v>
      </c>
      <c r="D315">
        <f>0.05</f>
        <v>0.05</v>
      </c>
      <c r="E315" t="s">
        <v>97</v>
      </c>
    </row>
    <row r="317" spans="1:9" x14ac:dyDescent="0.3">
      <c r="A317" t="s">
        <v>98</v>
      </c>
    </row>
    <row r="318" spans="1:9" x14ac:dyDescent="0.3">
      <c r="A318" t="s">
        <v>99</v>
      </c>
      <c r="C318">
        <f>1-NORMSDIST(C313)</f>
        <v>7.7723510214722236E-3</v>
      </c>
      <c r="D318" t="s">
        <v>786</v>
      </c>
    </row>
    <row r="320" spans="1:9" x14ac:dyDescent="0.3">
      <c r="A320" t="s">
        <v>100</v>
      </c>
      <c r="C320" t="s">
        <v>60</v>
      </c>
    </row>
    <row r="323" spans="1:1" x14ac:dyDescent="0.3">
      <c r="A323" t="s">
        <v>101</v>
      </c>
    </row>
    <row r="325" spans="1:1" x14ac:dyDescent="0.3">
      <c r="A325" t="s">
        <v>102</v>
      </c>
    </row>
    <row r="326" spans="1:1" x14ac:dyDescent="0.3">
      <c r="A326" t="s">
        <v>63</v>
      </c>
    </row>
    <row r="328" spans="1:1" x14ac:dyDescent="0.3">
      <c r="A328" t="s">
        <v>103</v>
      </c>
    </row>
    <row r="330" spans="1:1" x14ac:dyDescent="0.3">
      <c r="A330" s="2"/>
    </row>
    <row r="332" spans="1:1" x14ac:dyDescent="0.3">
      <c r="A332" t="s">
        <v>150</v>
      </c>
    </row>
    <row r="334" spans="1:1" x14ac:dyDescent="0.3">
      <c r="A334" t="s">
        <v>44</v>
      </c>
    </row>
    <row r="337" spans="2:9" x14ac:dyDescent="0.3">
      <c r="B337" t="s">
        <v>151</v>
      </c>
      <c r="E337">
        <f>600</f>
        <v>600</v>
      </c>
    </row>
    <row r="338" spans="2:9" x14ac:dyDescent="0.3">
      <c r="B338" t="s">
        <v>152</v>
      </c>
      <c r="E338">
        <f>360/600</f>
        <v>0.6</v>
      </c>
      <c r="F338" t="s">
        <v>792</v>
      </c>
      <c r="G338" t="s">
        <v>107</v>
      </c>
      <c r="H338">
        <f>SQRT(E339*E340/E337)</f>
        <v>2.0412414523193152E-2</v>
      </c>
      <c r="I338" t="s">
        <v>795</v>
      </c>
    </row>
    <row r="339" spans="2:9" x14ac:dyDescent="0.3">
      <c r="B339" t="s">
        <v>153</v>
      </c>
      <c r="E339">
        <f>1/2</f>
        <v>0.5</v>
      </c>
      <c r="F339" t="s">
        <v>794</v>
      </c>
    </row>
    <row r="340" spans="2:9" x14ac:dyDescent="0.3">
      <c r="B340" t="s">
        <v>154</v>
      </c>
      <c r="E340">
        <f>1-E339</f>
        <v>0.5</v>
      </c>
      <c r="F340" t="s">
        <v>793</v>
      </c>
    </row>
    <row r="342" spans="2:9" x14ac:dyDescent="0.3">
      <c r="B342" t="s">
        <v>155</v>
      </c>
      <c r="D342" t="s">
        <v>156</v>
      </c>
    </row>
    <row r="343" spans="2:9" x14ac:dyDescent="0.3">
      <c r="B343" t="s">
        <v>157</v>
      </c>
    </row>
    <row r="345" spans="2:9" x14ac:dyDescent="0.3">
      <c r="B345" t="s">
        <v>158</v>
      </c>
    </row>
    <row r="346" spans="2:9" x14ac:dyDescent="0.3">
      <c r="C346" t="s">
        <v>60</v>
      </c>
      <c r="D346">
        <f>STANDARDIZE(E338,E339,H338)</f>
        <v>4.8989794855663549</v>
      </c>
      <c r="E346" t="s">
        <v>796</v>
      </c>
    </row>
    <row r="348" spans="2:9" x14ac:dyDescent="0.3">
      <c r="B348" t="s">
        <v>159</v>
      </c>
      <c r="D348">
        <f>0.05</f>
        <v>0.05</v>
      </c>
    </row>
    <row r="350" spans="2:9" x14ac:dyDescent="0.3">
      <c r="B350" t="s">
        <v>160</v>
      </c>
      <c r="D350" t="s">
        <v>63</v>
      </c>
      <c r="E350" s="17">
        <f>NORMSINV(1-D348/2)</f>
        <v>1.9599639845400536</v>
      </c>
      <c r="F350" t="s">
        <v>797</v>
      </c>
    </row>
    <row r="352" spans="2:9" x14ac:dyDescent="0.3">
      <c r="B352" t="s">
        <v>100</v>
      </c>
      <c r="C352" t="str">
        <f>IF(D346&lt;E350,"H0 is accepted ","H0 is rejected")</f>
        <v>H0 is rejected</v>
      </c>
      <c r="D352" t="s">
        <v>798</v>
      </c>
    </row>
    <row r="354" spans="2:8" x14ac:dyDescent="0.3">
      <c r="B354" s="2" t="s">
        <v>98</v>
      </c>
      <c r="C354" s="2"/>
    </row>
    <row r="356" spans="2:8" x14ac:dyDescent="0.3">
      <c r="B356" t="s">
        <v>161</v>
      </c>
    </row>
    <row r="357" spans="2:8" x14ac:dyDescent="0.3">
      <c r="B357" t="s">
        <v>99</v>
      </c>
      <c r="C357">
        <f>2*(1-NORMSDIST(D346))</f>
        <v>9.6335700860983309E-7</v>
      </c>
      <c r="D357" t="s">
        <v>799</v>
      </c>
    </row>
    <row r="358" spans="2:8" x14ac:dyDescent="0.3">
      <c r="B358" t="s">
        <v>64</v>
      </c>
      <c r="C358" t="str">
        <f>IF(C357 &lt; D348,"H0 is rejected","H0 is accepted")</f>
        <v>H0 is rejected</v>
      </c>
      <c r="D358" t="s">
        <v>800</v>
      </c>
    </row>
    <row r="361" spans="2:8" x14ac:dyDescent="0.3">
      <c r="B361" t="s">
        <v>162</v>
      </c>
    </row>
    <row r="362" spans="2:8" x14ac:dyDescent="0.3">
      <c r="B362" t="s">
        <v>163</v>
      </c>
    </row>
    <row r="364" spans="2:8" x14ac:dyDescent="0.3">
      <c r="B364" t="s">
        <v>44</v>
      </c>
    </row>
    <row r="366" spans="2:8" x14ac:dyDescent="0.3">
      <c r="B366" t="s">
        <v>164</v>
      </c>
      <c r="F366">
        <f>0.05</f>
        <v>0.05</v>
      </c>
      <c r="H366" t="s">
        <v>107</v>
      </c>
    </row>
    <row r="367" spans="2:8" x14ac:dyDescent="0.3">
      <c r="B367" t="s">
        <v>165</v>
      </c>
    </row>
    <row r="368" spans="2:8" x14ac:dyDescent="0.3">
      <c r="B368" t="s">
        <v>151</v>
      </c>
      <c r="F368">
        <f>500</f>
        <v>500</v>
      </c>
    </row>
    <row r="369" spans="2:5" x14ac:dyDescent="0.3">
      <c r="B369" t="s">
        <v>166</v>
      </c>
    </row>
    <row r="371" spans="2:5" x14ac:dyDescent="0.3">
      <c r="B371" t="s">
        <v>167</v>
      </c>
      <c r="D371" t="s">
        <v>168</v>
      </c>
    </row>
    <row r="372" spans="2:5" x14ac:dyDescent="0.3">
      <c r="B372" t="s">
        <v>169</v>
      </c>
      <c r="C372" t="s">
        <v>170</v>
      </c>
    </row>
    <row r="374" spans="2:5" x14ac:dyDescent="0.3">
      <c r="B374" t="s">
        <v>158</v>
      </c>
    </row>
    <row r="375" spans="2:5" x14ac:dyDescent="0.3">
      <c r="C375" t="s">
        <v>60</v>
      </c>
    </row>
    <row r="377" spans="2:5" x14ac:dyDescent="0.3">
      <c r="B377" t="s">
        <v>159</v>
      </c>
      <c r="D377">
        <f>0.05</f>
        <v>0.05</v>
      </c>
      <c r="E377" t="s">
        <v>97</v>
      </c>
    </row>
    <row r="379" spans="2:5" x14ac:dyDescent="0.3">
      <c r="B379" t="s">
        <v>160</v>
      </c>
      <c r="D379" t="s">
        <v>63</v>
      </c>
    </row>
    <row r="381" spans="2:5" x14ac:dyDescent="0.3">
      <c r="B381" t="s">
        <v>100</v>
      </c>
    </row>
    <row r="383" spans="2:5" x14ac:dyDescent="0.3">
      <c r="B383" s="2" t="s">
        <v>98</v>
      </c>
      <c r="C383" s="2"/>
    </row>
    <row r="385" spans="2:9" x14ac:dyDescent="0.3">
      <c r="B385" t="s">
        <v>171</v>
      </c>
    </row>
    <row r="386" spans="2:9" x14ac:dyDescent="0.3">
      <c r="B386" t="s">
        <v>99</v>
      </c>
    </row>
    <row r="387" spans="2:9" x14ac:dyDescent="0.3">
      <c r="B387" t="s">
        <v>64</v>
      </c>
      <c r="C387" t="str">
        <f>IF(C386&lt;D377,"Reject Ho", "Do not reject H0")</f>
        <v>Reject Ho</v>
      </c>
    </row>
    <row r="391" spans="2:9" x14ac:dyDescent="0.3">
      <c r="B391" t="s">
        <v>172</v>
      </c>
    </row>
    <row r="392" spans="2:9" x14ac:dyDescent="0.3">
      <c r="B392" t="s">
        <v>173</v>
      </c>
    </row>
    <row r="393" spans="2:9" x14ac:dyDescent="0.3">
      <c r="B393" t="s">
        <v>71</v>
      </c>
    </row>
    <row r="394" spans="2:9" x14ac:dyDescent="0.3">
      <c r="B394" t="s">
        <v>44</v>
      </c>
    </row>
    <row r="395" spans="2:9" x14ac:dyDescent="0.3">
      <c r="B395" t="s">
        <v>174</v>
      </c>
      <c r="I395">
        <f>0.95</f>
        <v>0.95</v>
      </c>
    </row>
    <row r="396" spans="2:9" x14ac:dyDescent="0.3">
      <c r="B396" t="s">
        <v>175</v>
      </c>
      <c r="E396" t="s">
        <v>181</v>
      </c>
    </row>
    <row r="397" spans="2:9" x14ac:dyDescent="0.3">
      <c r="B397" t="s">
        <v>176</v>
      </c>
      <c r="D397">
        <f>200</f>
        <v>200</v>
      </c>
    </row>
    <row r="398" spans="2:9" x14ac:dyDescent="0.3">
      <c r="B398" t="s">
        <v>177</v>
      </c>
    </row>
    <row r="403" spans="2:8" x14ac:dyDescent="0.3">
      <c r="B403" t="s">
        <v>178</v>
      </c>
      <c r="D403" t="s">
        <v>179</v>
      </c>
    </row>
    <row r="404" spans="2:8" x14ac:dyDescent="0.3">
      <c r="B404" t="s">
        <v>180</v>
      </c>
    </row>
    <row r="406" spans="2:8" x14ac:dyDescent="0.3">
      <c r="B406" t="s">
        <v>158</v>
      </c>
    </row>
    <row r="407" spans="2:8" x14ac:dyDescent="0.3">
      <c r="C407" t="s">
        <v>60</v>
      </c>
      <c r="H407" t="s">
        <v>107</v>
      </c>
    </row>
    <row r="409" spans="2:8" x14ac:dyDescent="0.3">
      <c r="B409" t="s">
        <v>159</v>
      </c>
      <c r="D409">
        <v>0.01</v>
      </c>
    </row>
    <row r="411" spans="2:8" x14ac:dyDescent="0.3">
      <c r="B411" t="s">
        <v>160</v>
      </c>
      <c r="D411" t="s">
        <v>63</v>
      </c>
    </row>
    <row r="413" spans="2:8" x14ac:dyDescent="0.3">
      <c r="B413" t="s">
        <v>100</v>
      </c>
      <c r="C413" t="str">
        <f>IF(F411&lt;E407, "Reject H0", "Do not reject H0")</f>
        <v>Do not reject H0</v>
      </c>
    </row>
    <row r="415" spans="2:8" x14ac:dyDescent="0.3">
      <c r="B415" s="2" t="s">
        <v>98</v>
      </c>
      <c r="C415" s="2"/>
    </row>
    <row r="417" spans="1:6" x14ac:dyDescent="0.3">
      <c r="B417" t="s">
        <v>129</v>
      </c>
    </row>
    <row r="418" spans="1:6" x14ac:dyDescent="0.3">
      <c r="B418" t="s">
        <v>99</v>
      </c>
    </row>
    <row r="419" spans="1:6" x14ac:dyDescent="0.3">
      <c r="B419" t="s">
        <v>64</v>
      </c>
      <c r="C419" t="str">
        <f>IF(C418&lt;D409,"Reject Ho", "Do not reject H0")</f>
        <v>Reject Ho</v>
      </c>
    </row>
    <row r="421" spans="1:6" x14ac:dyDescent="0.3">
      <c r="B421" t="s">
        <v>182</v>
      </c>
    </row>
    <row r="422" spans="1:6" x14ac:dyDescent="0.3">
      <c r="B422" t="s">
        <v>183</v>
      </c>
    </row>
    <row r="424" spans="1:6" x14ac:dyDescent="0.3">
      <c r="B424" t="s">
        <v>64</v>
      </c>
    </row>
    <row r="428" spans="1:6" x14ac:dyDescent="0.3">
      <c r="A428" t="s">
        <v>198</v>
      </c>
      <c r="B428" t="s">
        <v>199</v>
      </c>
    </row>
    <row r="429" spans="1:6" x14ac:dyDescent="0.3">
      <c r="B429" t="s">
        <v>200</v>
      </c>
      <c r="D429" t="s">
        <v>201</v>
      </c>
    </row>
    <row r="430" spans="1:6" x14ac:dyDescent="0.3">
      <c r="B430" t="s">
        <v>202</v>
      </c>
    </row>
    <row r="432" spans="1:6" x14ac:dyDescent="0.3">
      <c r="C432" t="s">
        <v>184</v>
      </c>
      <c r="F432" t="s">
        <v>185</v>
      </c>
    </row>
    <row r="433" spans="2:8" x14ac:dyDescent="0.3">
      <c r="B433" t="s">
        <v>85</v>
      </c>
      <c r="C433">
        <v>1000</v>
      </c>
      <c r="F433" t="s">
        <v>86</v>
      </c>
      <c r="G433">
        <f>1500</f>
        <v>1500</v>
      </c>
    </row>
    <row r="434" spans="2:8" x14ac:dyDescent="0.3">
      <c r="B434" t="s">
        <v>186</v>
      </c>
      <c r="C434">
        <v>0.97</v>
      </c>
      <c r="F434" t="s">
        <v>187</v>
      </c>
      <c r="G434">
        <f>1-0.02</f>
        <v>0.98</v>
      </c>
    </row>
    <row r="438" spans="2:8" x14ac:dyDescent="0.3">
      <c r="B438" t="s">
        <v>188</v>
      </c>
    </row>
    <row r="439" spans="2:8" x14ac:dyDescent="0.3">
      <c r="B439" t="s">
        <v>189</v>
      </c>
      <c r="C439">
        <f>(C433*C434+G434*G433)/(C433+G433)</f>
        <v>0.97599999999999998</v>
      </c>
      <c r="E439" t="e">
        <f>(P1*N1+P2*N2)/(N1+N2)</f>
        <v>#DIV/0!</v>
      </c>
    </row>
    <row r="440" spans="2:8" x14ac:dyDescent="0.3">
      <c r="B440" t="s">
        <v>190</v>
      </c>
      <c r="C440">
        <f>1-C439</f>
        <v>2.4000000000000021E-2</v>
      </c>
    </row>
    <row r="442" spans="2:8" x14ac:dyDescent="0.3">
      <c r="B442" t="s">
        <v>191</v>
      </c>
    </row>
    <row r="443" spans="2:8" x14ac:dyDescent="0.3">
      <c r="B443" t="s">
        <v>192</v>
      </c>
    </row>
    <row r="444" spans="2:8" x14ac:dyDescent="0.3">
      <c r="B444" t="s">
        <v>193</v>
      </c>
    </row>
    <row r="445" spans="2:8" x14ac:dyDescent="0.3">
      <c r="B445" t="s">
        <v>194</v>
      </c>
    </row>
    <row r="447" spans="2:8" x14ac:dyDescent="0.3">
      <c r="B447" t="s">
        <v>59</v>
      </c>
    </row>
    <row r="448" spans="2:8" x14ac:dyDescent="0.3">
      <c r="B448" t="s">
        <v>60</v>
      </c>
      <c r="H448" t="s">
        <v>107</v>
      </c>
    </row>
    <row r="450" spans="1:5" x14ac:dyDescent="0.3">
      <c r="B450" t="s">
        <v>195</v>
      </c>
      <c r="E450">
        <f>0.05</f>
        <v>0.05</v>
      </c>
    </row>
    <row r="452" spans="1:5" x14ac:dyDescent="0.3">
      <c r="B452" t="s">
        <v>196</v>
      </c>
    </row>
    <row r="453" spans="1:5" x14ac:dyDescent="0.3">
      <c r="B453" t="s">
        <v>63</v>
      </c>
    </row>
    <row r="455" spans="1:5" x14ac:dyDescent="0.3">
      <c r="B455" t="s">
        <v>64</v>
      </c>
      <c r="C455" t="str">
        <f>IF(D453&lt;D448, "Reject H0", "Do not reject H0")</f>
        <v>Do not reject H0</v>
      </c>
    </row>
    <row r="457" spans="1:5" x14ac:dyDescent="0.3">
      <c r="B457" t="s">
        <v>197</v>
      </c>
    </row>
    <row r="458" spans="1:5" x14ac:dyDescent="0.3">
      <c r="B458" t="s">
        <v>99</v>
      </c>
      <c r="C458">
        <f>1-NORMSDIST(D448)</f>
        <v>0.5</v>
      </c>
    </row>
    <row r="459" spans="1:5" x14ac:dyDescent="0.3">
      <c r="B459" t="s">
        <v>64</v>
      </c>
      <c r="D459" t="str">
        <f>IF(C458&lt;E450,"Reject H0","Do not reject H0")</f>
        <v>Do not reject H0</v>
      </c>
    </row>
    <row r="463" spans="1:5" x14ac:dyDescent="0.3">
      <c r="A463" s="2" t="s">
        <v>203</v>
      </c>
    </row>
    <row r="465" spans="1:4" x14ac:dyDescent="0.3">
      <c r="A465" t="s">
        <v>81</v>
      </c>
    </row>
    <row r="466" spans="1:4" x14ac:dyDescent="0.3">
      <c r="A466" t="s">
        <v>204</v>
      </c>
      <c r="B466" t="s">
        <v>205</v>
      </c>
    </row>
    <row r="467" spans="1:4" x14ac:dyDescent="0.3">
      <c r="B467" t="s">
        <v>206</v>
      </c>
      <c r="C467" t="s">
        <v>207</v>
      </c>
    </row>
    <row r="468" spans="1:4" x14ac:dyDescent="0.3">
      <c r="B468" t="s">
        <v>208</v>
      </c>
      <c r="C468" t="s">
        <v>209</v>
      </c>
    </row>
    <row r="469" spans="1:4" x14ac:dyDescent="0.3">
      <c r="B469" t="s">
        <v>747</v>
      </c>
    </row>
    <row r="470" spans="1:4" x14ac:dyDescent="0.3">
      <c r="A470" t="s">
        <v>44</v>
      </c>
      <c r="B470" t="s">
        <v>210</v>
      </c>
      <c r="D470">
        <f>5</f>
        <v>5</v>
      </c>
    </row>
    <row r="471" spans="1:4" x14ac:dyDescent="0.3">
      <c r="B471" t="s">
        <v>151</v>
      </c>
      <c r="D471">
        <f>2</f>
        <v>2</v>
      </c>
    </row>
    <row r="472" spans="1:4" x14ac:dyDescent="0.3">
      <c r="B472" t="s">
        <v>211</v>
      </c>
    </row>
    <row r="473" spans="1:4" x14ac:dyDescent="0.3">
      <c r="B473" s="3" t="s">
        <v>212</v>
      </c>
    </row>
    <row r="477" spans="1:4" x14ac:dyDescent="0.3">
      <c r="B477" t="s">
        <v>213</v>
      </c>
    </row>
    <row r="478" spans="1:4" x14ac:dyDescent="0.3">
      <c r="B478">
        <v>2</v>
      </c>
    </row>
    <row r="479" spans="1:4" x14ac:dyDescent="0.3">
      <c r="B479">
        <v>4</v>
      </c>
    </row>
    <row r="480" spans="1:4" x14ac:dyDescent="0.3">
      <c r="B480">
        <v>6</v>
      </c>
    </row>
    <row r="481" spans="2:4" x14ac:dyDescent="0.3">
      <c r="B481">
        <v>9</v>
      </c>
    </row>
    <row r="482" spans="2:4" x14ac:dyDescent="0.3">
      <c r="B482">
        <v>11</v>
      </c>
    </row>
    <row r="485" spans="2:4" x14ac:dyDescent="0.3">
      <c r="B485" t="s">
        <v>214</v>
      </c>
      <c r="D485" s="1" t="s">
        <v>50</v>
      </c>
    </row>
    <row r="486" spans="2:4" x14ac:dyDescent="0.3">
      <c r="B486" t="s">
        <v>215</v>
      </c>
      <c r="D486" s="1" t="s">
        <v>53</v>
      </c>
    </row>
    <row r="489" spans="2:4" x14ac:dyDescent="0.3">
      <c r="B489" t="s">
        <v>216</v>
      </c>
      <c r="D489" t="s">
        <v>217</v>
      </c>
    </row>
    <row r="501" spans="1:6" x14ac:dyDescent="0.3">
      <c r="B501" t="s">
        <v>218</v>
      </c>
    </row>
    <row r="503" spans="1:6" x14ac:dyDescent="0.3">
      <c r="B503" t="s">
        <v>219</v>
      </c>
    </row>
    <row r="504" spans="1:6" x14ac:dyDescent="0.3">
      <c r="B504" s="2" t="s">
        <v>220</v>
      </c>
      <c r="D504" t="s">
        <v>221</v>
      </c>
      <c r="F504" t="s">
        <v>222</v>
      </c>
    </row>
    <row r="508" spans="1:6" x14ac:dyDescent="0.3">
      <c r="A508" t="s">
        <v>223</v>
      </c>
    </row>
    <row r="509" spans="1:6" x14ac:dyDescent="0.3">
      <c r="A509" t="s">
        <v>204</v>
      </c>
      <c r="B509" t="s">
        <v>224</v>
      </c>
    </row>
    <row r="510" spans="1:6" x14ac:dyDescent="0.3">
      <c r="B510" t="s">
        <v>225</v>
      </c>
    </row>
    <row r="511" spans="1:6" x14ac:dyDescent="0.3">
      <c r="B511" t="s">
        <v>226</v>
      </c>
    </row>
    <row r="512" spans="1:6" x14ac:dyDescent="0.3">
      <c r="A512" t="s">
        <v>235</v>
      </c>
    </row>
    <row r="513" spans="2:6" x14ac:dyDescent="0.3">
      <c r="B513" t="s">
        <v>227</v>
      </c>
      <c r="D513">
        <f>4</f>
        <v>4</v>
      </c>
    </row>
    <row r="515" spans="2:6" x14ac:dyDescent="0.3">
      <c r="B515" t="s">
        <v>151</v>
      </c>
      <c r="D515">
        <f>2</f>
        <v>2</v>
      </c>
    </row>
    <row r="516" spans="2:6" x14ac:dyDescent="0.3">
      <c r="B516" t="s">
        <v>228</v>
      </c>
    </row>
    <row r="517" spans="2:6" x14ac:dyDescent="0.3">
      <c r="B517">
        <f>D513^D515</f>
        <v>16</v>
      </c>
      <c r="C517" t="s">
        <v>748</v>
      </c>
    </row>
    <row r="518" spans="2:6" x14ac:dyDescent="0.3">
      <c r="B518" t="s">
        <v>749</v>
      </c>
    </row>
    <row r="521" spans="2:6" x14ac:dyDescent="0.3">
      <c r="B521" t="s">
        <v>229</v>
      </c>
    </row>
    <row r="522" spans="2:6" x14ac:dyDescent="0.3">
      <c r="C522">
        <v>4</v>
      </c>
    </row>
    <row r="523" spans="2:6" x14ac:dyDescent="0.3">
      <c r="C523">
        <v>6</v>
      </c>
    </row>
    <row r="524" spans="2:6" x14ac:dyDescent="0.3">
      <c r="C524">
        <v>7</v>
      </c>
    </row>
    <row r="525" spans="2:6" x14ac:dyDescent="0.3">
      <c r="C525">
        <v>9</v>
      </c>
    </row>
    <row r="527" spans="2:6" x14ac:dyDescent="0.3">
      <c r="B527" t="s">
        <v>230</v>
      </c>
      <c r="E527">
        <f>AVERAGE(C522:C525)</f>
        <v>6.5</v>
      </c>
      <c r="F527" t="s">
        <v>750</v>
      </c>
    </row>
    <row r="529" spans="2:8" x14ac:dyDescent="0.3">
      <c r="B529" t="s">
        <v>231</v>
      </c>
      <c r="E529">
        <f>STDEVP(C522:C525)</f>
        <v>1.8027756377319946</v>
      </c>
      <c r="F529" t="s">
        <v>751</v>
      </c>
    </row>
    <row r="540" spans="2:8" x14ac:dyDescent="0.3">
      <c r="B540" t="s">
        <v>216</v>
      </c>
      <c r="D540" t="s">
        <v>232</v>
      </c>
    </row>
    <row r="541" spans="2:8" x14ac:dyDescent="0.3">
      <c r="B541" t="s">
        <v>752</v>
      </c>
      <c r="D541">
        <v>4</v>
      </c>
      <c r="E541">
        <v>4</v>
      </c>
      <c r="F541">
        <v>4</v>
      </c>
      <c r="G541">
        <f>AVERAGE(E541:F541)</f>
        <v>4</v>
      </c>
      <c r="H541" t="s">
        <v>768</v>
      </c>
    </row>
    <row r="542" spans="2:8" x14ac:dyDescent="0.3">
      <c r="B542" t="s">
        <v>765</v>
      </c>
      <c r="D542">
        <v>5</v>
      </c>
      <c r="E542">
        <v>4</v>
      </c>
      <c r="F542">
        <v>6</v>
      </c>
      <c r="G542">
        <f>AVERAGE(E542:F542)</f>
        <v>5</v>
      </c>
      <c r="H542" t="s">
        <v>769</v>
      </c>
    </row>
    <row r="543" spans="2:8" x14ac:dyDescent="0.3">
      <c r="B543" t="s">
        <v>766</v>
      </c>
      <c r="D543">
        <v>5.5</v>
      </c>
    </row>
    <row r="544" spans="2:8" x14ac:dyDescent="0.3">
      <c r="B544" t="s">
        <v>767</v>
      </c>
      <c r="D544">
        <v>6.5</v>
      </c>
    </row>
    <row r="545" spans="2:7" x14ac:dyDescent="0.3">
      <c r="B545" t="s">
        <v>753</v>
      </c>
      <c r="D545">
        <v>5</v>
      </c>
    </row>
    <row r="546" spans="2:7" x14ac:dyDescent="0.3">
      <c r="B546" t="s">
        <v>754</v>
      </c>
      <c r="D546">
        <v>6</v>
      </c>
    </row>
    <row r="547" spans="2:7" x14ac:dyDescent="0.3">
      <c r="B547" t="s">
        <v>755</v>
      </c>
      <c r="D547">
        <v>6.5</v>
      </c>
    </row>
    <row r="548" spans="2:7" x14ac:dyDescent="0.3">
      <c r="B548" t="s">
        <v>756</v>
      </c>
      <c r="D548">
        <v>7.5</v>
      </c>
    </row>
    <row r="549" spans="2:7" x14ac:dyDescent="0.3">
      <c r="B549" t="s">
        <v>757</v>
      </c>
      <c r="D549">
        <v>5.5</v>
      </c>
    </row>
    <row r="550" spans="2:7" x14ac:dyDescent="0.3">
      <c r="B550" t="s">
        <v>758</v>
      </c>
      <c r="D550">
        <v>6.5</v>
      </c>
    </row>
    <row r="551" spans="2:7" x14ac:dyDescent="0.3">
      <c r="B551" t="s">
        <v>759</v>
      </c>
      <c r="D551">
        <v>7</v>
      </c>
    </row>
    <row r="552" spans="2:7" x14ac:dyDescent="0.3">
      <c r="B552" t="s">
        <v>760</v>
      </c>
      <c r="D552">
        <v>8</v>
      </c>
    </row>
    <row r="553" spans="2:7" x14ac:dyDescent="0.3">
      <c r="B553" t="s">
        <v>761</v>
      </c>
      <c r="D553">
        <v>6.5</v>
      </c>
    </row>
    <row r="554" spans="2:7" x14ac:dyDescent="0.3">
      <c r="B554" t="s">
        <v>762</v>
      </c>
      <c r="D554">
        <v>7.5</v>
      </c>
    </row>
    <row r="555" spans="2:7" x14ac:dyDescent="0.3">
      <c r="B555" t="s">
        <v>763</v>
      </c>
      <c r="D555">
        <v>8</v>
      </c>
    </row>
    <row r="556" spans="2:7" x14ac:dyDescent="0.3">
      <c r="B556" t="s">
        <v>764</v>
      </c>
      <c r="D556">
        <v>9</v>
      </c>
    </row>
    <row r="559" spans="2:7" x14ac:dyDescent="0.3">
      <c r="B559" t="s">
        <v>233</v>
      </c>
      <c r="F559">
        <f>AVERAGE(D541:D556)</f>
        <v>6.5</v>
      </c>
      <c r="G559" t="s">
        <v>770</v>
      </c>
    </row>
    <row r="561" spans="1:9" x14ac:dyDescent="0.3">
      <c r="B561" t="s">
        <v>219</v>
      </c>
    </row>
    <row r="563" spans="1:9" x14ac:dyDescent="0.3">
      <c r="B563" s="2" t="s">
        <v>220</v>
      </c>
      <c r="D563" t="s">
        <v>815</v>
      </c>
      <c r="F563" t="s">
        <v>234</v>
      </c>
    </row>
    <row r="564" spans="1:9" x14ac:dyDescent="0.3">
      <c r="C564" t="s">
        <v>816</v>
      </c>
      <c r="E564">
        <f>COMBIN(D513,D515)</f>
        <v>6</v>
      </c>
    </row>
    <row r="567" spans="1:9" x14ac:dyDescent="0.3">
      <c r="B567" s="2" t="s">
        <v>236</v>
      </c>
    </row>
    <row r="569" spans="1:9" x14ac:dyDescent="0.3">
      <c r="A569" t="s">
        <v>237</v>
      </c>
    </row>
    <row r="570" spans="1:9" x14ac:dyDescent="0.3">
      <c r="A570" t="s">
        <v>238</v>
      </c>
      <c r="B570" t="s">
        <v>239</v>
      </c>
      <c r="D570">
        <v>0</v>
      </c>
      <c r="E570">
        <v>1</v>
      </c>
      <c r="F570">
        <v>2</v>
      </c>
      <c r="G570">
        <v>3</v>
      </c>
      <c r="H570">
        <v>4</v>
      </c>
      <c r="I570">
        <v>5</v>
      </c>
    </row>
    <row r="571" spans="1:9" x14ac:dyDescent="0.3">
      <c r="B571" t="s">
        <v>240</v>
      </c>
      <c r="D571">
        <v>0.05</v>
      </c>
      <c r="E571">
        <v>0.1</v>
      </c>
      <c r="F571">
        <v>0.15</v>
      </c>
      <c r="G571">
        <v>0.2</v>
      </c>
      <c r="H571">
        <v>0.35</v>
      </c>
      <c r="I571">
        <v>0.15</v>
      </c>
    </row>
    <row r="573" spans="1:9" x14ac:dyDescent="0.3">
      <c r="A573" t="s">
        <v>44</v>
      </c>
    </row>
    <row r="574" spans="1:9" x14ac:dyDescent="0.3">
      <c r="G574" t="s">
        <v>693</v>
      </c>
      <c r="H574" t="s">
        <v>692</v>
      </c>
    </row>
    <row r="575" spans="1:9" x14ac:dyDescent="0.3">
      <c r="B575" s="22" t="s">
        <v>239</v>
      </c>
      <c r="C575" s="22"/>
      <c r="D575" s="22"/>
      <c r="E575" s="22" t="s">
        <v>241</v>
      </c>
      <c r="F575" s="22"/>
      <c r="G575" s="22" t="s">
        <v>242</v>
      </c>
      <c r="H575" s="22" t="s">
        <v>243</v>
      </c>
    </row>
    <row r="576" spans="1:9" x14ac:dyDescent="0.3">
      <c r="B576" s="22">
        <v>0</v>
      </c>
      <c r="C576" s="22"/>
      <c r="D576" s="22"/>
      <c r="E576" s="22">
        <v>0.05</v>
      </c>
      <c r="F576" s="22"/>
      <c r="G576" s="22">
        <f>B576*E576</f>
        <v>0</v>
      </c>
      <c r="H576" s="22">
        <f>E576*B576^2</f>
        <v>0</v>
      </c>
    </row>
    <row r="577" spans="2:8" x14ac:dyDescent="0.3">
      <c r="B577" s="22">
        <v>1</v>
      </c>
      <c r="C577" s="22"/>
      <c r="D577" s="22"/>
      <c r="E577" s="22">
        <v>0.1</v>
      </c>
      <c r="F577" s="22"/>
      <c r="G577" s="22">
        <f t="shared" ref="G577:G581" si="0">B577*E577</f>
        <v>0.1</v>
      </c>
      <c r="H577" s="22">
        <f t="shared" ref="H577:H581" si="1">E577*B577^2</f>
        <v>0.1</v>
      </c>
    </row>
    <row r="578" spans="2:8" x14ac:dyDescent="0.3">
      <c r="B578" s="22">
        <v>2</v>
      </c>
      <c r="C578" s="22"/>
      <c r="D578" s="22"/>
      <c r="E578" s="22">
        <v>0.15</v>
      </c>
      <c r="F578" s="22"/>
      <c r="G578" s="22">
        <f t="shared" si="0"/>
        <v>0.3</v>
      </c>
      <c r="H578" s="22">
        <f t="shared" si="1"/>
        <v>0.6</v>
      </c>
    </row>
    <row r="579" spans="2:8" x14ac:dyDescent="0.3">
      <c r="B579" s="22">
        <v>3</v>
      </c>
      <c r="C579" s="22"/>
      <c r="D579" s="22"/>
      <c r="E579" s="22">
        <v>0.2</v>
      </c>
      <c r="F579" s="22"/>
      <c r="G579" s="22">
        <f t="shared" si="0"/>
        <v>0.60000000000000009</v>
      </c>
      <c r="H579" s="22">
        <f t="shared" si="1"/>
        <v>1.8</v>
      </c>
    </row>
    <row r="580" spans="2:8" x14ac:dyDescent="0.3">
      <c r="B580" s="22">
        <v>4</v>
      </c>
      <c r="C580" s="22"/>
      <c r="D580" s="22"/>
      <c r="E580" s="22">
        <v>0.35</v>
      </c>
      <c r="F580" s="22"/>
      <c r="G580" s="22">
        <f t="shared" si="0"/>
        <v>1.4</v>
      </c>
      <c r="H580" s="22">
        <f t="shared" si="1"/>
        <v>5.6</v>
      </c>
    </row>
    <row r="581" spans="2:8" x14ac:dyDescent="0.3">
      <c r="B581" s="22">
        <v>5</v>
      </c>
      <c r="C581" s="22"/>
      <c r="D581" s="22"/>
      <c r="E581" s="22">
        <v>0.15</v>
      </c>
      <c r="F581" s="22"/>
      <c r="G581" s="22">
        <f t="shared" si="0"/>
        <v>0.75</v>
      </c>
      <c r="H581" s="22">
        <f t="shared" si="1"/>
        <v>3.75</v>
      </c>
    </row>
    <row r="582" spans="2:8" x14ac:dyDescent="0.3">
      <c r="B582" s="22"/>
      <c r="C582" s="22"/>
      <c r="D582" s="22"/>
      <c r="E582" s="22">
        <f>SUM(E576:E581)</f>
        <v>1</v>
      </c>
      <c r="F582" s="22"/>
      <c r="G582" s="22">
        <f>SUM(G576:G581)</f>
        <v>3.15</v>
      </c>
      <c r="H582" s="22">
        <f>SUM(H576:H581)</f>
        <v>11.85</v>
      </c>
    </row>
    <row r="583" spans="2:8" x14ac:dyDescent="0.3">
      <c r="C583" t="s">
        <v>694</v>
      </c>
      <c r="D583">
        <v>4</v>
      </c>
    </row>
    <row r="584" spans="2:8" ht="28.8" x14ac:dyDescent="0.3">
      <c r="C584" s="15" t="s">
        <v>244</v>
      </c>
      <c r="D584">
        <f>SUM(G576:G581)</f>
        <v>3.15</v>
      </c>
      <c r="E584" t="s">
        <v>783</v>
      </c>
      <c r="G584" t="s">
        <v>714</v>
      </c>
    </row>
    <row r="586" spans="2:8" x14ac:dyDescent="0.3">
      <c r="C586" t="s">
        <v>245</v>
      </c>
      <c r="D586">
        <f>H582-D584^2</f>
        <v>1.9275000000000002</v>
      </c>
    </row>
    <row r="587" spans="2:8" x14ac:dyDescent="0.3">
      <c r="C587" t="s">
        <v>246</v>
      </c>
      <c r="E587">
        <f>SQRT(D586)</f>
        <v>1.3883443376914821</v>
      </c>
    </row>
    <row r="591" spans="2:8" x14ac:dyDescent="0.3">
      <c r="B591" s="2" t="s">
        <v>247</v>
      </c>
    </row>
    <row r="593" spans="1:8" x14ac:dyDescent="0.3">
      <c r="B593" t="s">
        <v>237</v>
      </c>
    </row>
    <row r="594" spans="1:8" x14ac:dyDescent="0.3">
      <c r="B594" t="s">
        <v>248</v>
      </c>
      <c r="C594" t="s">
        <v>249</v>
      </c>
    </row>
    <row r="595" spans="1:8" x14ac:dyDescent="0.3">
      <c r="A595" t="s">
        <v>251</v>
      </c>
      <c r="B595">
        <v>0</v>
      </c>
      <c r="C595">
        <v>1</v>
      </c>
      <c r="D595">
        <v>2</v>
      </c>
      <c r="E595">
        <v>3</v>
      </c>
      <c r="F595">
        <v>4</v>
      </c>
      <c r="G595">
        <v>5</v>
      </c>
      <c r="H595" t="s">
        <v>252</v>
      </c>
    </row>
    <row r="596" spans="1:8" x14ac:dyDescent="0.3">
      <c r="A596" t="s">
        <v>250</v>
      </c>
      <c r="B596">
        <v>90</v>
      </c>
      <c r="C596">
        <v>50</v>
      </c>
      <c r="D596">
        <v>30</v>
      </c>
      <c r="E596">
        <v>15</v>
      </c>
      <c r="F596">
        <v>10</v>
      </c>
      <c r="G596">
        <v>5</v>
      </c>
      <c r="H596">
        <v>200</v>
      </c>
    </row>
    <row r="598" spans="1:8" x14ac:dyDescent="0.3">
      <c r="A598" t="s">
        <v>44</v>
      </c>
    </row>
    <row r="600" spans="1:8" x14ac:dyDescent="0.3">
      <c r="B600" t="s">
        <v>10</v>
      </c>
      <c r="D600" t="s">
        <v>253</v>
      </c>
    </row>
    <row r="601" spans="1:8" x14ac:dyDescent="0.3">
      <c r="B601">
        <v>0</v>
      </c>
      <c r="D601">
        <v>90</v>
      </c>
    </row>
    <row r="602" spans="1:8" x14ac:dyDescent="0.3">
      <c r="B602">
        <v>1</v>
      </c>
      <c r="D602">
        <v>50</v>
      </c>
    </row>
    <row r="603" spans="1:8" x14ac:dyDescent="0.3">
      <c r="B603">
        <v>2</v>
      </c>
      <c r="D603">
        <v>30</v>
      </c>
    </row>
    <row r="604" spans="1:8" x14ac:dyDescent="0.3">
      <c r="B604">
        <v>3</v>
      </c>
      <c r="D604">
        <v>15</v>
      </c>
    </row>
    <row r="605" spans="1:8" x14ac:dyDescent="0.3">
      <c r="B605">
        <v>4</v>
      </c>
      <c r="D605">
        <v>10</v>
      </c>
    </row>
    <row r="606" spans="1:8" x14ac:dyDescent="0.3">
      <c r="B606">
        <v>5</v>
      </c>
      <c r="D606">
        <v>5</v>
      </c>
    </row>
    <row r="608" spans="1:8" x14ac:dyDescent="0.3">
      <c r="C608" t="s">
        <v>254</v>
      </c>
      <c r="D608">
        <f>SUM(D601:D606)</f>
        <v>200</v>
      </c>
      <c r="E608" t="s">
        <v>695</v>
      </c>
    </row>
    <row r="609" spans="3:9" x14ac:dyDescent="0.3">
      <c r="C609" s="1" t="s">
        <v>255</v>
      </c>
      <c r="D609">
        <f>SUMPRODUCT(B601:B606,D601:D606)</f>
        <v>220</v>
      </c>
      <c r="E609" t="s">
        <v>696</v>
      </c>
    </row>
    <row r="611" spans="3:9" x14ac:dyDescent="0.3">
      <c r="C611" t="s">
        <v>256</v>
      </c>
      <c r="D611">
        <f>D609/D608</f>
        <v>1.1000000000000001</v>
      </c>
      <c r="E611" t="s">
        <v>697</v>
      </c>
    </row>
    <row r="612" spans="3:9" x14ac:dyDescent="0.3">
      <c r="C612" t="s">
        <v>257</v>
      </c>
    </row>
    <row r="613" spans="3:9" x14ac:dyDescent="0.3">
      <c r="D613" t="s">
        <v>698</v>
      </c>
      <c r="G613" t="s">
        <v>258</v>
      </c>
    </row>
    <row r="614" spans="3:9" x14ac:dyDescent="0.3">
      <c r="C614" s="18" t="s">
        <v>259</v>
      </c>
      <c r="D614" s="18" t="s">
        <v>253</v>
      </c>
      <c r="E614" s="18" t="s">
        <v>260</v>
      </c>
      <c r="F614" s="18"/>
      <c r="G614" s="18" t="s">
        <v>261</v>
      </c>
      <c r="H614" s="18" t="s">
        <v>262</v>
      </c>
      <c r="I614" t="s">
        <v>699</v>
      </c>
    </row>
    <row r="615" spans="3:9" x14ac:dyDescent="0.3">
      <c r="C615" s="18">
        <v>0</v>
      </c>
      <c r="D615" s="18">
        <v>90</v>
      </c>
      <c r="E615" s="19">
        <f>POISSON(C615,$D$611,FALSE)</f>
        <v>0.33287108369807955</v>
      </c>
      <c r="F615" s="18"/>
      <c r="G615" s="18">
        <f>$D$621*E615</f>
        <v>66.574216739615906</v>
      </c>
      <c r="H615" s="18">
        <f>ROUND(G615,0)</f>
        <v>67</v>
      </c>
      <c r="I615" t="s">
        <v>700</v>
      </c>
    </row>
    <row r="616" spans="3:9" x14ac:dyDescent="0.3">
      <c r="C616" s="18">
        <v>1</v>
      </c>
      <c r="D616" s="18">
        <v>50</v>
      </c>
      <c r="E616" s="19">
        <f t="shared" ref="E616:E620" si="2">POISSON(C616,$D$611,FALSE)</f>
        <v>0.36615819206788752</v>
      </c>
      <c r="F616" s="18"/>
      <c r="G616" s="18">
        <f t="shared" ref="G616:G620" si="3">$D$621*E616</f>
        <v>73.2316384135775</v>
      </c>
      <c r="H616" s="18">
        <f t="shared" ref="H616:H620" si="4">ROUND(G616,0)</f>
        <v>73</v>
      </c>
    </row>
    <row r="617" spans="3:9" x14ac:dyDescent="0.3">
      <c r="C617" s="18">
        <v>2</v>
      </c>
      <c r="D617" s="18">
        <v>30</v>
      </c>
      <c r="E617" s="19">
        <f t="shared" si="2"/>
        <v>0.20138700563733811</v>
      </c>
      <c r="F617" s="18"/>
      <c r="G617" s="18">
        <f t="shared" si="3"/>
        <v>40.27740112746762</v>
      </c>
      <c r="H617" s="18">
        <f t="shared" si="4"/>
        <v>40</v>
      </c>
    </row>
    <row r="618" spans="3:9" x14ac:dyDescent="0.3">
      <c r="C618" s="18">
        <v>3</v>
      </c>
      <c r="D618" s="18">
        <v>15</v>
      </c>
      <c r="E618" s="19">
        <f t="shared" si="2"/>
        <v>7.3841902067023985E-2</v>
      </c>
      <c r="F618" s="18"/>
      <c r="G618" s="18">
        <f t="shared" si="3"/>
        <v>14.768380413404797</v>
      </c>
      <c r="H618" s="18">
        <f t="shared" si="4"/>
        <v>15</v>
      </c>
    </row>
    <row r="619" spans="3:9" x14ac:dyDescent="0.3">
      <c r="C619" s="18">
        <v>4</v>
      </c>
      <c r="D619" s="18">
        <v>10</v>
      </c>
      <c r="E619" s="19">
        <f t="shared" si="2"/>
        <v>2.0306523068431597E-2</v>
      </c>
      <c r="F619" s="18"/>
      <c r="G619" s="18">
        <f t="shared" si="3"/>
        <v>4.0613046136863193</v>
      </c>
      <c r="H619" s="18">
        <f t="shared" si="4"/>
        <v>4</v>
      </c>
    </row>
    <row r="620" spans="3:9" x14ac:dyDescent="0.3">
      <c r="C620" s="18">
        <v>5</v>
      </c>
      <c r="D620" s="18">
        <v>5</v>
      </c>
      <c r="E620" s="19">
        <f t="shared" si="2"/>
        <v>4.4674350750549532E-3</v>
      </c>
      <c r="F620" s="18"/>
      <c r="G620" s="18">
        <f t="shared" si="3"/>
        <v>0.89348701501099059</v>
      </c>
      <c r="H620" s="18">
        <f t="shared" si="4"/>
        <v>1</v>
      </c>
    </row>
    <row r="621" spans="3:9" x14ac:dyDescent="0.3">
      <c r="C621" s="18"/>
      <c r="D621" s="18">
        <f>SUM(D615:D620)</f>
        <v>200</v>
      </c>
      <c r="E621" s="18"/>
      <c r="F621" s="18"/>
      <c r="G621" s="18"/>
      <c r="H621" s="18">
        <f>SUM(H615:H620)</f>
        <v>200</v>
      </c>
    </row>
    <row r="623" spans="3:9" x14ac:dyDescent="0.3">
      <c r="C623" t="s">
        <v>263</v>
      </c>
    </row>
    <row r="624" spans="3:9" x14ac:dyDescent="0.3">
      <c r="C624" s="18" t="s">
        <v>264</v>
      </c>
      <c r="D624" s="18">
        <v>0</v>
      </c>
      <c r="E624" s="18">
        <v>1</v>
      </c>
      <c r="F624" s="18">
        <v>2</v>
      </c>
      <c r="G624" s="18">
        <v>3</v>
      </c>
      <c r="H624" s="18">
        <v>4</v>
      </c>
      <c r="I624" s="18">
        <v>5</v>
      </c>
    </row>
    <row r="625" spans="1:10" x14ac:dyDescent="0.3">
      <c r="C625" s="18"/>
      <c r="D625" s="18"/>
      <c r="E625" s="18"/>
      <c r="F625" s="18"/>
      <c r="G625" s="18"/>
      <c r="H625" s="18"/>
      <c r="I625" s="18"/>
    </row>
    <row r="626" spans="1:10" x14ac:dyDescent="0.3">
      <c r="C626" s="18" t="s">
        <v>262</v>
      </c>
      <c r="D626" s="18">
        <v>67</v>
      </c>
      <c r="E626" s="18">
        <v>73</v>
      </c>
      <c r="F626" s="18">
        <v>40</v>
      </c>
      <c r="G626" s="18">
        <v>15</v>
      </c>
      <c r="H626" s="18">
        <v>4</v>
      </c>
      <c r="I626" s="18">
        <v>1</v>
      </c>
    </row>
    <row r="629" spans="1:10" x14ac:dyDescent="0.3">
      <c r="A629" t="s">
        <v>265</v>
      </c>
    </row>
    <row r="630" spans="1:10" x14ac:dyDescent="0.3">
      <c r="A630" t="s">
        <v>266</v>
      </c>
    </row>
    <row r="631" spans="1:10" x14ac:dyDescent="0.3">
      <c r="A631" t="s">
        <v>267</v>
      </c>
    </row>
    <row r="632" spans="1:10" x14ac:dyDescent="0.3">
      <c r="A632" t="s">
        <v>268</v>
      </c>
    </row>
    <row r="634" spans="1:10" x14ac:dyDescent="0.3">
      <c r="A634" t="s">
        <v>269</v>
      </c>
      <c r="D634">
        <v>0</v>
      </c>
      <c r="E634">
        <v>1</v>
      </c>
      <c r="F634">
        <v>2</v>
      </c>
      <c r="G634">
        <v>3</v>
      </c>
      <c r="H634">
        <v>4</v>
      </c>
      <c r="I634">
        <v>5</v>
      </c>
      <c r="J634" t="s">
        <v>252</v>
      </c>
    </row>
    <row r="635" spans="1:10" x14ac:dyDescent="0.3">
      <c r="A635" t="s">
        <v>270</v>
      </c>
      <c r="D635">
        <v>13</v>
      </c>
      <c r="E635">
        <v>19</v>
      </c>
      <c r="F635">
        <v>35</v>
      </c>
      <c r="G635">
        <v>30</v>
      </c>
      <c r="H635">
        <v>15</v>
      </c>
      <c r="I635">
        <v>8</v>
      </c>
      <c r="J635">
        <v>120</v>
      </c>
    </row>
    <row r="637" spans="1:10" x14ac:dyDescent="0.3">
      <c r="B637" t="s">
        <v>271</v>
      </c>
    </row>
    <row r="638" spans="1:10" x14ac:dyDescent="0.3">
      <c r="A638" t="s">
        <v>44</v>
      </c>
    </row>
    <row r="639" spans="1:10" x14ac:dyDescent="0.3">
      <c r="C639" t="s">
        <v>10</v>
      </c>
      <c r="D639" t="s">
        <v>253</v>
      </c>
    </row>
    <row r="640" spans="1:10" x14ac:dyDescent="0.3">
      <c r="C640">
        <v>0</v>
      </c>
      <c r="D640">
        <v>38</v>
      </c>
    </row>
    <row r="641" spans="2:6" x14ac:dyDescent="0.3">
      <c r="C641">
        <v>1</v>
      </c>
      <c r="D641">
        <v>144</v>
      </c>
    </row>
    <row r="642" spans="2:6" x14ac:dyDescent="0.3">
      <c r="C642">
        <v>2</v>
      </c>
      <c r="D642">
        <v>342</v>
      </c>
    </row>
    <row r="643" spans="2:6" x14ac:dyDescent="0.3">
      <c r="C643">
        <v>3</v>
      </c>
      <c r="D643">
        <v>287</v>
      </c>
    </row>
    <row r="644" spans="2:6" x14ac:dyDescent="0.3">
      <c r="C644">
        <v>4</v>
      </c>
      <c r="D644">
        <v>164</v>
      </c>
    </row>
    <row r="645" spans="2:6" x14ac:dyDescent="0.3">
      <c r="C645">
        <v>5</v>
      </c>
      <c r="D645">
        <v>25</v>
      </c>
    </row>
    <row r="647" spans="2:6" x14ac:dyDescent="0.3">
      <c r="B647" t="s">
        <v>272</v>
      </c>
      <c r="C647">
        <f>1000</f>
        <v>1000</v>
      </c>
    </row>
    <row r="648" spans="2:6" x14ac:dyDescent="0.3">
      <c r="B648" t="s">
        <v>48</v>
      </c>
      <c r="C648">
        <f>5</f>
        <v>5</v>
      </c>
    </row>
    <row r="650" spans="2:6" x14ac:dyDescent="0.3">
      <c r="B650" t="s">
        <v>273</v>
      </c>
    </row>
    <row r="651" spans="2:6" x14ac:dyDescent="0.3">
      <c r="C651" t="s">
        <v>274</v>
      </c>
    </row>
    <row r="652" spans="2:6" x14ac:dyDescent="0.3">
      <c r="C652" t="s">
        <v>275</v>
      </c>
    </row>
    <row r="654" spans="2:6" x14ac:dyDescent="0.3">
      <c r="B654" t="s">
        <v>276</v>
      </c>
    </row>
    <row r="656" spans="2:6" x14ac:dyDescent="0.3">
      <c r="B656" t="s">
        <v>259</v>
      </c>
      <c r="D656" t="s">
        <v>241</v>
      </c>
      <c r="F656" t="s">
        <v>261</v>
      </c>
    </row>
    <row r="657" spans="1:8" x14ac:dyDescent="0.3">
      <c r="B657">
        <v>0</v>
      </c>
    </row>
    <row r="658" spans="1:8" x14ac:dyDescent="0.3">
      <c r="B658">
        <v>1</v>
      </c>
    </row>
    <row r="659" spans="1:8" x14ac:dyDescent="0.3">
      <c r="B659">
        <v>2</v>
      </c>
    </row>
    <row r="660" spans="1:8" x14ac:dyDescent="0.3">
      <c r="B660">
        <v>3</v>
      </c>
    </row>
    <row r="661" spans="1:8" x14ac:dyDescent="0.3">
      <c r="B661">
        <v>4</v>
      </c>
    </row>
    <row r="662" spans="1:8" x14ac:dyDescent="0.3">
      <c r="B662">
        <v>5</v>
      </c>
    </row>
    <row r="664" spans="1:8" x14ac:dyDescent="0.3">
      <c r="B664" t="s">
        <v>277</v>
      </c>
    </row>
    <row r="665" spans="1:8" x14ac:dyDescent="0.3">
      <c r="B665" t="s">
        <v>10</v>
      </c>
      <c r="C665">
        <v>0</v>
      </c>
      <c r="D665">
        <v>1</v>
      </c>
      <c r="E665">
        <v>2</v>
      </c>
      <c r="F665">
        <f>3</f>
        <v>3</v>
      </c>
      <c r="G665">
        <v>4</v>
      </c>
      <c r="H665">
        <v>5</v>
      </c>
    </row>
    <row r="666" spans="1:8" x14ac:dyDescent="0.3">
      <c r="B666" t="s">
        <v>253</v>
      </c>
    </row>
    <row r="672" spans="1:8" x14ac:dyDescent="0.3">
      <c r="A672" s="2"/>
    </row>
    <row r="674" spans="1:9" x14ac:dyDescent="0.3">
      <c r="A674" t="s">
        <v>305</v>
      </c>
    </row>
    <row r="675" spans="1:9" x14ac:dyDescent="0.3">
      <c r="B675" t="s">
        <v>10</v>
      </c>
      <c r="C675">
        <v>0</v>
      </c>
      <c r="D675">
        <v>1</v>
      </c>
      <c r="E675">
        <v>2</v>
      </c>
      <c r="F675">
        <v>3</v>
      </c>
      <c r="G675">
        <v>4</v>
      </c>
      <c r="H675">
        <v>5</v>
      </c>
      <c r="I675" t="s">
        <v>252</v>
      </c>
    </row>
    <row r="676" spans="1:9" x14ac:dyDescent="0.3">
      <c r="B676" t="s">
        <v>253</v>
      </c>
      <c r="C676">
        <v>38</v>
      </c>
      <c r="D676">
        <v>144</v>
      </c>
      <c r="E676">
        <v>342</v>
      </c>
      <c r="F676">
        <v>287</v>
      </c>
      <c r="G676">
        <v>164</v>
      </c>
      <c r="H676">
        <v>25</v>
      </c>
      <c r="I676">
        <v>1000</v>
      </c>
    </row>
    <row r="679" spans="1:9" x14ac:dyDescent="0.3">
      <c r="A679" t="s">
        <v>306</v>
      </c>
      <c r="C679" t="s">
        <v>10</v>
      </c>
      <c r="D679" t="s">
        <v>253</v>
      </c>
    </row>
    <row r="680" spans="1:9" x14ac:dyDescent="0.3">
      <c r="C680">
        <v>0</v>
      </c>
      <c r="D680">
        <v>38</v>
      </c>
    </row>
    <row r="681" spans="1:9" x14ac:dyDescent="0.3">
      <c r="C681">
        <v>1</v>
      </c>
      <c r="D681">
        <v>144</v>
      </c>
    </row>
    <row r="682" spans="1:9" x14ac:dyDescent="0.3">
      <c r="C682">
        <v>2</v>
      </c>
      <c r="D682">
        <v>342</v>
      </c>
    </row>
    <row r="683" spans="1:9" x14ac:dyDescent="0.3">
      <c r="C683">
        <v>3</v>
      </c>
      <c r="D683">
        <v>287</v>
      </c>
    </row>
    <row r="684" spans="1:9" x14ac:dyDescent="0.3">
      <c r="C684">
        <v>4</v>
      </c>
      <c r="D684">
        <v>164</v>
      </c>
    </row>
    <row r="685" spans="1:9" x14ac:dyDescent="0.3">
      <c r="C685">
        <v>5</v>
      </c>
      <c r="D685">
        <v>25</v>
      </c>
    </row>
    <row r="687" spans="1:9" x14ac:dyDescent="0.3">
      <c r="B687" t="s">
        <v>272</v>
      </c>
      <c r="C687">
        <f>SUM(D680:D685)</f>
        <v>1000</v>
      </c>
    </row>
    <row r="688" spans="1:9" x14ac:dyDescent="0.3">
      <c r="B688" t="s">
        <v>48</v>
      </c>
      <c r="C688">
        <f>5</f>
        <v>5</v>
      </c>
    </row>
    <row r="690" spans="2:8" x14ac:dyDescent="0.3">
      <c r="B690" t="s">
        <v>273</v>
      </c>
      <c r="C690">
        <f>SUMPRODUCT(C680:C685,D680:D685)/SUM(D680:D685)</f>
        <v>2.4700000000000002</v>
      </c>
      <c r="E690" t="s">
        <v>704</v>
      </c>
    </row>
    <row r="691" spans="2:8" x14ac:dyDescent="0.3">
      <c r="C691" t="s">
        <v>274</v>
      </c>
      <c r="D691">
        <f>C690/C688</f>
        <v>0.49400000000000005</v>
      </c>
      <c r="E691" t="s">
        <v>705</v>
      </c>
    </row>
    <row r="692" spans="2:8" x14ac:dyDescent="0.3">
      <c r="C692" t="s">
        <v>275</v>
      </c>
      <c r="D692">
        <f>1-D691</f>
        <v>0.50600000000000001</v>
      </c>
      <c r="E692" t="s">
        <v>706</v>
      </c>
    </row>
    <row r="694" spans="2:8" x14ac:dyDescent="0.3">
      <c r="B694" t="s">
        <v>276</v>
      </c>
    </row>
    <row r="695" spans="2:8" x14ac:dyDescent="0.3">
      <c r="F695" t="s">
        <v>702</v>
      </c>
    </row>
    <row r="696" spans="2:8" x14ac:dyDescent="0.3">
      <c r="B696" t="s">
        <v>259</v>
      </c>
      <c r="D696" t="s">
        <v>241</v>
      </c>
      <c r="F696" t="s">
        <v>261</v>
      </c>
      <c r="G696" t="s">
        <v>701</v>
      </c>
      <c r="H696" t="s">
        <v>703</v>
      </c>
    </row>
    <row r="697" spans="2:8" x14ac:dyDescent="0.3">
      <c r="B697">
        <v>0</v>
      </c>
      <c r="D697">
        <f>BINOMDIST(B697,$C$688,$D$692,FALSE)</f>
        <v>2.9419463232224007E-2</v>
      </c>
      <c r="F697">
        <f>$C$687*D697</f>
        <v>29.419463232224007</v>
      </c>
      <c r="G697">
        <f>ROUND(F697,0)</f>
        <v>29</v>
      </c>
    </row>
    <row r="698" spans="2:8" x14ac:dyDescent="0.3">
      <c r="B698">
        <v>1</v>
      </c>
      <c r="D698">
        <f t="shared" ref="D698:D702" si="5">BINOMDIST(B698,$C$688,$D$692,FALSE)</f>
        <v>0.15067053031887995</v>
      </c>
      <c r="F698">
        <f t="shared" ref="F698:F702" si="6">$C$687*D698</f>
        <v>150.67053031887994</v>
      </c>
      <c r="G698">
        <f t="shared" ref="G698:G702" si="7">ROUND(F698,0)</f>
        <v>151</v>
      </c>
    </row>
    <row r="699" spans="2:8" x14ac:dyDescent="0.3">
      <c r="B699">
        <v>2</v>
      </c>
      <c r="D699">
        <f t="shared" si="5"/>
        <v>0.30866108640223988</v>
      </c>
      <c r="F699">
        <f t="shared" si="6"/>
        <v>308.6610864022399</v>
      </c>
      <c r="G699">
        <f t="shared" si="7"/>
        <v>309</v>
      </c>
    </row>
    <row r="700" spans="2:8" x14ac:dyDescent="0.3">
      <c r="B700">
        <v>3</v>
      </c>
      <c r="D700">
        <f t="shared" si="5"/>
        <v>0.31615892655776001</v>
      </c>
      <c r="F700">
        <f t="shared" si="6"/>
        <v>316.15892655776003</v>
      </c>
      <c r="G700">
        <f t="shared" si="7"/>
        <v>316</v>
      </c>
    </row>
    <row r="701" spans="2:8" x14ac:dyDescent="0.3">
      <c r="B701">
        <v>4</v>
      </c>
      <c r="D701">
        <f t="shared" si="5"/>
        <v>0.16191945024112009</v>
      </c>
      <c r="F701">
        <f t="shared" si="6"/>
        <v>161.9194502411201</v>
      </c>
      <c r="G701">
        <f t="shared" si="7"/>
        <v>162</v>
      </c>
    </row>
    <row r="702" spans="2:8" x14ac:dyDescent="0.3">
      <c r="B702">
        <v>5</v>
      </c>
      <c r="D702">
        <f t="shared" si="5"/>
        <v>3.3170543247775998E-2</v>
      </c>
      <c r="F702">
        <f t="shared" si="6"/>
        <v>33.170543247775996</v>
      </c>
      <c r="G702">
        <f t="shared" si="7"/>
        <v>33</v>
      </c>
    </row>
    <row r="704" spans="2:8" x14ac:dyDescent="0.3">
      <c r="B704" t="s">
        <v>277</v>
      </c>
    </row>
    <row r="705" spans="1:8" x14ac:dyDescent="0.3">
      <c r="B705" t="s">
        <v>10</v>
      </c>
      <c r="C705">
        <v>0</v>
      </c>
      <c r="D705">
        <v>1</v>
      </c>
      <c r="E705">
        <v>2</v>
      </c>
      <c r="F705">
        <v>3</v>
      </c>
      <c r="G705">
        <v>4</v>
      </c>
      <c r="H705">
        <v>5</v>
      </c>
    </row>
    <row r="706" spans="1:8" x14ac:dyDescent="0.3">
      <c r="B706" t="s">
        <v>253</v>
      </c>
      <c r="C706">
        <v>29</v>
      </c>
      <c r="D706">
        <v>151</v>
      </c>
      <c r="E706">
        <v>309</v>
      </c>
      <c r="F706">
        <v>316</v>
      </c>
      <c r="G706">
        <v>162</v>
      </c>
      <c r="H706">
        <v>33</v>
      </c>
    </row>
    <row r="708" spans="1:8" x14ac:dyDescent="0.3">
      <c r="C708" t="s">
        <v>307</v>
      </c>
    </row>
    <row r="709" spans="1:8" x14ac:dyDescent="0.3">
      <c r="A709" t="s">
        <v>278</v>
      </c>
    </row>
    <row r="710" spans="1:8" x14ac:dyDescent="0.3">
      <c r="A710" t="s">
        <v>279</v>
      </c>
    </row>
    <row r="711" spans="1:8" x14ac:dyDescent="0.3">
      <c r="A711" t="s">
        <v>280</v>
      </c>
      <c r="B711" t="s">
        <v>281</v>
      </c>
    </row>
    <row r="712" spans="1:8" x14ac:dyDescent="0.3">
      <c r="A712" t="s">
        <v>282</v>
      </c>
      <c r="B712" t="s">
        <v>283</v>
      </c>
    </row>
    <row r="713" spans="1:8" x14ac:dyDescent="0.3">
      <c r="A713" t="s">
        <v>284</v>
      </c>
      <c r="B713" t="s">
        <v>285</v>
      </c>
    </row>
    <row r="714" spans="1:8" x14ac:dyDescent="0.3">
      <c r="A714" t="s">
        <v>302</v>
      </c>
      <c r="B714" t="s">
        <v>303</v>
      </c>
    </row>
    <row r="715" spans="1:8" x14ac:dyDescent="0.3">
      <c r="A715" t="s">
        <v>304</v>
      </c>
      <c r="B715" t="s">
        <v>326</v>
      </c>
    </row>
    <row r="719" spans="1:8" x14ac:dyDescent="0.3">
      <c r="A719" t="s">
        <v>44</v>
      </c>
    </row>
    <row r="720" spans="1:8" x14ac:dyDescent="0.3">
      <c r="A720" t="s">
        <v>48</v>
      </c>
      <c r="C720">
        <f>13</f>
        <v>13</v>
      </c>
    </row>
    <row r="721" spans="1:6" x14ac:dyDescent="0.3">
      <c r="A721" t="s">
        <v>286</v>
      </c>
      <c r="C721" t="s">
        <v>287</v>
      </c>
      <c r="E721">
        <f>0.06</f>
        <v>0.06</v>
      </c>
    </row>
    <row r="722" spans="1:6" x14ac:dyDescent="0.3">
      <c r="A722" t="s">
        <v>288</v>
      </c>
      <c r="E722">
        <f>1-E721</f>
        <v>0.94</v>
      </c>
    </row>
    <row r="724" spans="1:6" x14ac:dyDescent="0.3">
      <c r="A724" t="s">
        <v>289</v>
      </c>
      <c r="B724" t="s">
        <v>290</v>
      </c>
      <c r="E724" t="s">
        <v>291</v>
      </c>
    </row>
    <row r="726" spans="1:6" x14ac:dyDescent="0.3">
      <c r="A726" t="s">
        <v>292</v>
      </c>
      <c r="B726" t="s">
        <v>293</v>
      </c>
      <c r="E726" t="s">
        <v>294</v>
      </c>
    </row>
    <row r="728" spans="1:6" x14ac:dyDescent="0.3">
      <c r="A728" t="s">
        <v>295</v>
      </c>
      <c r="B728" t="s">
        <v>296</v>
      </c>
      <c r="E728" t="s">
        <v>297</v>
      </c>
    </row>
    <row r="730" spans="1:6" x14ac:dyDescent="0.3">
      <c r="A730" t="s">
        <v>298</v>
      </c>
      <c r="B730" t="s">
        <v>299</v>
      </c>
      <c r="E730" t="s">
        <v>300</v>
      </c>
    </row>
    <row r="732" spans="1:6" x14ac:dyDescent="0.3">
      <c r="A732" t="s">
        <v>301</v>
      </c>
      <c r="B732" t="s">
        <v>327</v>
      </c>
      <c r="E732" t="s">
        <v>328</v>
      </c>
      <c r="F732" t="s">
        <v>329</v>
      </c>
    </row>
    <row r="738" spans="1:6" x14ac:dyDescent="0.3">
      <c r="C738" t="s">
        <v>314</v>
      </c>
    </row>
    <row r="739" spans="1:6" x14ac:dyDescent="0.3">
      <c r="A739" t="s">
        <v>308</v>
      </c>
      <c r="B739" t="s">
        <v>309</v>
      </c>
    </row>
    <row r="740" spans="1:6" x14ac:dyDescent="0.3">
      <c r="B740" t="s">
        <v>310</v>
      </c>
    </row>
    <row r="741" spans="1:6" x14ac:dyDescent="0.3">
      <c r="B741" t="s">
        <v>317</v>
      </c>
    </row>
    <row r="742" spans="1:6" x14ac:dyDescent="0.3">
      <c r="B742" t="s">
        <v>311</v>
      </c>
    </row>
    <row r="743" spans="1:6" x14ac:dyDescent="0.3">
      <c r="B743" t="s">
        <v>312</v>
      </c>
    </row>
    <row r="744" spans="1:6" x14ac:dyDescent="0.3">
      <c r="B744" t="s">
        <v>313</v>
      </c>
    </row>
    <row r="745" spans="1:6" x14ac:dyDescent="0.3">
      <c r="B745" t="s">
        <v>341</v>
      </c>
    </row>
    <row r="746" spans="1:6" x14ac:dyDescent="0.3">
      <c r="A746" t="s">
        <v>44</v>
      </c>
      <c r="C746" t="s">
        <v>315</v>
      </c>
      <c r="D746">
        <f>4</f>
        <v>4</v>
      </c>
    </row>
    <row r="748" spans="1:6" x14ac:dyDescent="0.3">
      <c r="B748" t="s">
        <v>316</v>
      </c>
      <c r="C748" t="s">
        <v>318</v>
      </c>
      <c r="D748">
        <f>POISSON(2,D746,TRUE)</f>
        <v>0.23810330555354431</v>
      </c>
      <c r="E748" t="s">
        <v>809</v>
      </c>
    </row>
    <row r="750" spans="1:6" x14ac:dyDescent="0.3">
      <c r="B750" t="s">
        <v>208</v>
      </c>
      <c r="C750" t="s">
        <v>319</v>
      </c>
    </row>
    <row r="752" spans="1:6" x14ac:dyDescent="0.3">
      <c r="B752" t="s">
        <v>320</v>
      </c>
      <c r="C752" t="s">
        <v>321</v>
      </c>
      <c r="D752" t="s">
        <v>322</v>
      </c>
      <c r="E752">
        <f>1-POISSON(4,D746,1)</f>
        <v>0.37116306482012651</v>
      </c>
      <c r="F752" t="s">
        <v>810</v>
      </c>
    </row>
    <row r="754" spans="2:7" x14ac:dyDescent="0.3">
      <c r="B754" t="s">
        <v>323</v>
      </c>
      <c r="C754" t="s">
        <v>324</v>
      </c>
      <c r="D754" t="s">
        <v>325</v>
      </c>
      <c r="F754">
        <f>POISSON(9,D746,TRUE)-POISSON(6,D746,TRUE)</f>
        <v>0.10254173560563984</v>
      </c>
      <c r="G754" t="s">
        <v>811</v>
      </c>
    </row>
    <row r="756" spans="2:7" x14ac:dyDescent="0.3">
      <c r="B756" t="s">
        <v>341</v>
      </c>
      <c r="D756" t="s">
        <v>342</v>
      </c>
      <c r="F756">
        <f>POISSON(7,D746,TRUE)-POISSON(2,D746,TRUE)</f>
        <v>0.71076307865360833</v>
      </c>
      <c r="G756" t="s">
        <v>812</v>
      </c>
    </row>
    <row r="758" spans="2:7" x14ac:dyDescent="0.3">
      <c r="B758" s="2" t="s">
        <v>330</v>
      </c>
      <c r="C758" s="2"/>
    </row>
    <row r="760" spans="2:7" x14ac:dyDescent="0.3">
      <c r="B760" t="s">
        <v>331</v>
      </c>
    </row>
    <row r="762" spans="2:7" x14ac:dyDescent="0.3">
      <c r="B762" t="s">
        <v>332</v>
      </c>
    </row>
    <row r="763" spans="2:7" x14ac:dyDescent="0.3">
      <c r="B763" t="s">
        <v>333</v>
      </c>
    </row>
    <row r="764" spans="2:7" x14ac:dyDescent="0.3">
      <c r="B764" t="s">
        <v>334</v>
      </c>
      <c r="C764" t="s">
        <v>335</v>
      </c>
    </row>
    <row r="766" spans="2:7" x14ac:dyDescent="0.3">
      <c r="B766" t="s">
        <v>336</v>
      </c>
    </row>
    <row r="767" spans="2:7" x14ac:dyDescent="0.3">
      <c r="B767" t="s">
        <v>337</v>
      </c>
    </row>
    <row r="768" spans="2:7" x14ac:dyDescent="0.3">
      <c r="B768" t="s">
        <v>338</v>
      </c>
    </row>
    <row r="769" spans="1:7" x14ac:dyDescent="0.3">
      <c r="B769" t="s">
        <v>339</v>
      </c>
    </row>
    <row r="770" spans="1:7" x14ac:dyDescent="0.3">
      <c r="B770" t="s">
        <v>340</v>
      </c>
    </row>
    <row r="772" spans="1:7" x14ac:dyDescent="0.3">
      <c r="A772" t="s">
        <v>44</v>
      </c>
      <c r="C772" t="s">
        <v>343</v>
      </c>
      <c r="D772">
        <f>400</f>
        <v>400</v>
      </c>
    </row>
    <row r="773" spans="1:7" x14ac:dyDescent="0.3">
      <c r="C773" s="1" t="s">
        <v>50</v>
      </c>
      <c r="D773">
        <f>120</f>
        <v>120</v>
      </c>
    </row>
    <row r="774" spans="1:7" x14ac:dyDescent="0.3">
      <c r="C774" s="1" t="s">
        <v>53</v>
      </c>
      <c r="D774">
        <f>30</f>
        <v>30</v>
      </c>
    </row>
    <row r="776" spans="1:7" x14ac:dyDescent="0.3">
      <c r="B776" t="s">
        <v>206</v>
      </c>
      <c r="C776" t="s">
        <v>344</v>
      </c>
      <c r="D776">
        <f>105</f>
        <v>105</v>
      </c>
      <c r="F776" t="s">
        <v>345</v>
      </c>
      <c r="G776">
        <f>140</f>
        <v>140</v>
      </c>
    </row>
    <row r="778" spans="1:7" x14ac:dyDescent="0.3">
      <c r="B778" t="s">
        <v>346</v>
      </c>
      <c r="E778" t="s">
        <v>347</v>
      </c>
    </row>
    <row r="780" spans="1:7" x14ac:dyDescent="0.3">
      <c r="B780" t="s">
        <v>348</v>
      </c>
    </row>
    <row r="782" spans="1:7" x14ac:dyDescent="0.3">
      <c r="B782" t="s">
        <v>208</v>
      </c>
      <c r="C782" t="s">
        <v>349</v>
      </c>
    </row>
    <row r="784" spans="1:7" x14ac:dyDescent="0.3">
      <c r="B784" t="s">
        <v>320</v>
      </c>
      <c r="C784" t="s">
        <v>350</v>
      </c>
    </row>
    <row r="786" spans="1:6" x14ac:dyDescent="0.3">
      <c r="B786" t="s">
        <v>323</v>
      </c>
      <c r="C786" t="s">
        <v>351</v>
      </c>
      <c r="D786" t="s">
        <v>352</v>
      </c>
    </row>
    <row r="788" spans="1:6" x14ac:dyDescent="0.3">
      <c r="B788" t="s">
        <v>353</v>
      </c>
      <c r="C788" t="s">
        <v>354</v>
      </c>
      <c r="D788" t="s">
        <v>355</v>
      </c>
    </row>
    <row r="790" spans="1:6" x14ac:dyDescent="0.3">
      <c r="B790" s="2" t="s">
        <v>358</v>
      </c>
    </row>
    <row r="791" spans="1:6" x14ac:dyDescent="0.3">
      <c r="B791" t="s">
        <v>356</v>
      </c>
    </row>
    <row r="793" spans="1:6" x14ac:dyDescent="0.3">
      <c r="A793" t="s">
        <v>1</v>
      </c>
      <c r="B793" t="s">
        <v>357</v>
      </c>
      <c r="F793" t="s">
        <v>359</v>
      </c>
    </row>
    <row r="794" spans="1:6" x14ac:dyDescent="0.3">
      <c r="A794" t="s">
        <v>360</v>
      </c>
      <c r="C794" t="s">
        <v>362</v>
      </c>
      <c r="D794" s="4"/>
    </row>
    <row r="795" spans="1:6" x14ac:dyDescent="0.3">
      <c r="A795" t="s">
        <v>363</v>
      </c>
      <c r="C795" t="s">
        <v>364</v>
      </c>
    </row>
    <row r="797" spans="1:6" x14ac:dyDescent="0.3">
      <c r="A797" t="s">
        <v>44</v>
      </c>
    </row>
    <row r="798" spans="1:6" x14ac:dyDescent="0.3">
      <c r="B798" t="s">
        <v>415</v>
      </c>
    </row>
    <row r="799" spans="1:6" x14ac:dyDescent="0.3">
      <c r="B799" s="4"/>
    </row>
    <row r="802" spans="1:9" x14ac:dyDescent="0.3">
      <c r="D802" s="4"/>
    </row>
    <row r="805" spans="1:9" x14ac:dyDescent="0.3">
      <c r="B805" t="s">
        <v>370</v>
      </c>
      <c r="C805" t="s">
        <v>253</v>
      </c>
      <c r="D805" t="s">
        <v>371</v>
      </c>
      <c r="E805" t="s">
        <v>372</v>
      </c>
      <c r="F805" t="s">
        <v>373</v>
      </c>
      <c r="H805" t="s">
        <v>391</v>
      </c>
      <c r="I805" t="s">
        <v>389</v>
      </c>
    </row>
    <row r="806" spans="1:9" x14ac:dyDescent="0.3">
      <c r="B806" s="4" t="s">
        <v>361</v>
      </c>
      <c r="C806">
        <v>5</v>
      </c>
      <c r="D806">
        <v>0</v>
      </c>
      <c r="E806">
        <v>10</v>
      </c>
    </row>
    <row r="807" spans="1:9" x14ac:dyDescent="0.3">
      <c r="A807" s="4"/>
      <c r="B807" s="4" t="s">
        <v>638</v>
      </c>
      <c r="C807">
        <v>15</v>
      </c>
      <c r="D807">
        <v>10</v>
      </c>
      <c r="E807">
        <v>20</v>
      </c>
    </row>
    <row r="808" spans="1:9" x14ac:dyDescent="0.3">
      <c r="B808" t="s">
        <v>365</v>
      </c>
      <c r="C808">
        <v>20</v>
      </c>
      <c r="D808">
        <v>20</v>
      </c>
      <c r="E808">
        <v>30</v>
      </c>
    </row>
    <row r="809" spans="1:9" x14ac:dyDescent="0.3">
      <c r="B809" t="s">
        <v>366</v>
      </c>
      <c r="C809">
        <v>30</v>
      </c>
      <c r="D809">
        <v>30</v>
      </c>
      <c r="E809">
        <v>40</v>
      </c>
    </row>
    <row r="810" spans="1:9" x14ac:dyDescent="0.3">
      <c r="B810" t="s">
        <v>390</v>
      </c>
      <c r="C810">
        <v>18</v>
      </c>
      <c r="D810">
        <v>40</v>
      </c>
      <c r="E810">
        <v>50</v>
      </c>
    </row>
    <row r="811" spans="1:9" x14ac:dyDescent="0.3">
      <c r="B811" t="s">
        <v>368</v>
      </c>
      <c r="C811">
        <v>8</v>
      </c>
      <c r="D811">
        <v>50</v>
      </c>
      <c r="E811">
        <v>60</v>
      </c>
    </row>
    <row r="812" spans="1:9" x14ac:dyDescent="0.3">
      <c r="B812" t="s">
        <v>369</v>
      </c>
      <c r="C812">
        <v>4</v>
      </c>
      <c r="D812">
        <v>60</v>
      </c>
      <c r="E812">
        <v>70</v>
      </c>
    </row>
    <row r="814" spans="1:9" x14ac:dyDescent="0.3">
      <c r="B814" t="s">
        <v>343</v>
      </c>
      <c r="E814" t="s">
        <v>392</v>
      </c>
    </row>
    <row r="815" spans="1:9" x14ac:dyDescent="0.3">
      <c r="B815" s="1" t="s">
        <v>374</v>
      </c>
      <c r="E815" t="s">
        <v>393</v>
      </c>
      <c r="F815" t="s">
        <v>378</v>
      </c>
      <c r="H815" t="s">
        <v>394</v>
      </c>
    </row>
    <row r="816" spans="1:9" x14ac:dyDescent="0.3">
      <c r="B816" s="1" t="s">
        <v>375</v>
      </c>
      <c r="F816" t="s">
        <v>379</v>
      </c>
    </row>
    <row r="817" spans="1:8" x14ac:dyDescent="0.3">
      <c r="F817" t="s">
        <v>380</v>
      </c>
      <c r="H817" t="s">
        <v>395</v>
      </c>
    </row>
    <row r="818" spans="1:8" x14ac:dyDescent="0.3">
      <c r="B818" t="s">
        <v>376</v>
      </c>
      <c r="H818" t="s">
        <v>381</v>
      </c>
    </row>
    <row r="819" spans="1:8" x14ac:dyDescent="0.3">
      <c r="B819" s="1" t="s">
        <v>53</v>
      </c>
    </row>
    <row r="821" spans="1:8" x14ac:dyDescent="0.3">
      <c r="E821" t="s">
        <v>377</v>
      </c>
    </row>
    <row r="822" spans="1:8" x14ac:dyDescent="0.3">
      <c r="B822" t="s">
        <v>411</v>
      </c>
    </row>
    <row r="823" spans="1:8" x14ac:dyDescent="0.3">
      <c r="B823" t="s">
        <v>382</v>
      </c>
    </row>
    <row r="828" spans="1:8" x14ac:dyDescent="0.3">
      <c r="A828" t="s">
        <v>383</v>
      </c>
    </row>
    <row r="829" spans="1:8" x14ac:dyDescent="0.3">
      <c r="A829" t="s">
        <v>384</v>
      </c>
      <c r="B829" t="s">
        <v>385</v>
      </c>
    </row>
    <row r="830" spans="1:8" x14ac:dyDescent="0.3">
      <c r="B830" t="s">
        <v>386</v>
      </c>
    </row>
    <row r="831" spans="1:8" x14ac:dyDescent="0.3">
      <c r="A831" t="s">
        <v>387</v>
      </c>
      <c r="C831" t="s">
        <v>397</v>
      </c>
    </row>
    <row r="832" spans="1:8" x14ac:dyDescent="0.3">
      <c r="A832" t="s">
        <v>388</v>
      </c>
    </row>
    <row r="833" spans="1:9" x14ac:dyDescent="0.3">
      <c r="A833" t="s">
        <v>396</v>
      </c>
      <c r="C833" t="s">
        <v>398</v>
      </c>
    </row>
    <row r="835" spans="1:9" x14ac:dyDescent="0.3">
      <c r="A835" t="s">
        <v>44</v>
      </c>
      <c r="B835" t="s">
        <v>414</v>
      </c>
    </row>
    <row r="836" spans="1:9" x14ac:dyDescent="0.3">
      <c r="B836" t="s">
        <v>370</v>
      </c>
      <c r="C836" t="s">
        <v>253</v>
      </c>
      <c r="D836" t="s">
        <v>371</v>
      </c>
      <c r="E836" t="s">
        <v>372</v>
      </c>
      <c r="F836" t="s">
        <v>403</v>
      </c>
      <c r="H836" t="s">
        <v>391</v>
      </c>
      <c r="I836" t="s">
        <v>389</v>
      </c>
    </row>
    <row r="837" spans="1:9" x14ac:dyDescent="0.3">
      <c r="B837" t="s">
        <v>367</v>
      </c>
      <c r="C837">
        <v>8</v>
      </c>
      <c r="D837">
        <v>40</v>
      </c>
      <c r="E837">
        <v>50</v>
      </c>
    </row>
    <row r="838" spans="1:9" x14ac:dyDescent="0.3">
      <c r="B838" t="s">
        <v>368</v>
      </c>
      <c r="C838">
        <v>15</v>
      </c>
      <c r="D838">
        <v>50</v>
      </c>
      <c r="E838">
        <v>60</v>
      </c>
    </row>
    <row r="839" spans="1:9" x14ac:dyDescent="0.3">
      <c r="B839" t="s">
        <v>369</v>
      </c>
      <c r="C839">
        <v>20</v>
      </c>
      <c r="D839">
        <v>60</v>
      </c>
      <c r="E839">
        <v>70</v>
      </c>
    </row>
    <row r="840" spans="1:9" x14ac:dyDescent="0.3">
      <c r="B840" t="s">
        <v>399</v>
      </c>
      <c r="C840">
        <v>40</v>
      </c>
      <c r="D840">
        <v>70</v>
      </c>
      <c r="E840">
        <v>80</v>
      </c>
    </row>
    <row r="841" spans="1:9" x14ac:dyDescent="0.3">
      <c r="B841" t="s">
        <v>400</v>
      </c>
      <c r="C841">
        <v>25</v>
      </c>
      <c r="D841">
        <v>80</v>
      </c>
      <c r="E841">
        <v>90</v>
      </c>
    </row>
    <row r="842" spans="1:9" x14ac:dyDescent="0.3">
      <c r="B842" t="s">
        <v>401</v>
      </c>
      <c r="C842">
        <v>16</v>
      </c>
      <c r="D842">
        <v>90</v>
      </c>
      <c r="E842">
        <v>100</v>
      </c>
    </row>
    <row r="843" spans="1:9" x14ac:dyDescent="0.3">
      <c r="B843" t="s">
        <v>402</v>
      </c>
      <c r="C843">
        <v>6</v>
      </c>
      <c r="D843">
        <v>100</v>
      </c>
      <c r="E843">
        <v>110</v>
      </c>
    </row>
    <row r="846" spans="1:9" x14ac:dyDescent="0.3">
      <c r="B846" t="s">
        <v>343</v>
      </c>
      <c r="E846" t="s">
        <v>404</v>
      </c>
    </row>
    <row r="847" spans="1:9" x14ac:dyDescent="0.3">
      <c r="B847" s="1" t="s">
        <v>374</v>
      </c>
      <c r="E847" t="s">
        <v>405</v>
      </c>
    </row>
    <row r="848" spans="1:9" x14ac:dyDescent="0.3">
      <c r="B848" s="1" t="s">
        <v>375</v>
      </c>
      <c r="E848" t="s">
        <v>379</v>
      </c>
    </row>
    <row r="849" spans="2:5" x14ac:dyDescent="0.3">
      <c r="E849" t="s">
        <v>380</v>
      </c>
    </row>
    <row r="850" spans="2:5" x14ac:dyDescent="0.3">
      <c r="B850" t="s">
        <v>376</v>
      </c>
      <c r="E850" t="s">
        <v>395</v>
      </c>
    </row>
    <row r="851" spans="2:5" x14ac:dyDescent="0.3">
      <c r="B851" s="1" t="s">
        <v>53</v>
      </c>
      <c r="E851" t="s">
        <v>381</v>
      </c>
    </row>
    <row r="853" spans="2:5" x14ac:dyDescent="0.3">
      <c r="E853" t="s">
        <v>377</v>
      </c>
    </row>
    <row r="854" spans="2:5" x14ac:dyDescent="0.3">
      <c r="B854" t="s">
        <v>411</v>
      </c>
    </row>
    <row r="855" spans="2:5" x14ac:dyDescent="0.3">
      <c r="B855" t="s">
        <v>382</v>
      </c>
    </row>
    <row r="859" spans="2:5" x14ac:dyDescent="0.3">
      <c r="B859" t="s">
        <v>81</v>
      </c>
    </row>
    <row r="860" spans="2:5" x14ac:dyDescent="0.3">
      <c r="B860" t="s">
        <v>406</v>
      </c>
    </row>
    <row r="861" spans="2:5" x14ac:dyDescent="0.3">
      <c r="B861" t="s">
        <v>407</v>
      </c>
    </row>
    <row r="862" spans="2:5" x14ac:dyDescent="0.3">
      <c r="B862" t="s">
        <v>408</v>
      </c>
    </row>
    <row r="863" spans="2:5" x14ac:dyDescent="0.3">
      <c r="B863" t="s">
        <v>280</v>
      </c>
      <c r="C863" t="s">
        <v>409</v>
      </c>
    </row>
    <row r="864" spans="2:5" x14ac:dyDescent="0.3">
      <c r="B864" t="s">
        <v>15</v>
      </c>
      <c r="C864" t="s">
        <v>410</v>
      </c>
    </row>
    <row r="866" spans="1:10" x14ac:dyDescent="0.3">
      <c r="A866" t="s">
        <v>44</v>
      </c>
    </row>
    <row r="872" spans="1:10" x14ac:dyDescent="0.3">
      <c r="B872" t="s">
        <v>370</v>
      </c>
      <c r="C872" t="s">
        <v>253</v>
      </c>
      <c r="D872" t="s">
        <v>371</v>
      </c>
      <c r="E872" t="s">
        <v>372</v>
      </c>
      <c r="F872" t="s">
        <v>412</v>
      </c>
      <c r="H872" t="s">
        <v>391</v>
      </c>
      <c r="I872" t="s">
        <v>389</v>
      </c>
      <c r="J872" t="s">
        <v>419</v>
      </c>
    </row>
    <row r="873" spans="1:10" x14ac:dyDescent="0.3">
      <c r="B873" t="s">
        <v>365</v>
      </c>
      <c r="C873">
        <v>9</v>
      </c>
      <c r="D873">
        <v>20</v>
      </c>
      <c r="E873">
        <v>30</v>
      </c>
    </row>
    <row r="874" spans="1:10" x14ac:dyDescent="0.3">
      <c r="B874" t="s">
        <v>366</v>
      </c>
      <c r="C874">
        <v>7</v>
      </c>
      <c r="D874">
        <v>30</v>
      </c>
      <c r="E874">
        <v>40</v>
      </c>
    </row>
    <row r="875" spans="1:10" x14ac:dyDescent="0.3">
      <c r="B875" t="s">
        <v>367</v>
      </c>
      <c r="C875">
        <v>12</v>
      </c>
      <c r="D875">
        <v>40</v>
      </c>
      <c r="E875">
        <v>50</v>
      </c>
    </row>
    <row r="876" spans="1:10" x14ac:dyDescent="0.3">
      <c r="B876" t="s">
        <v>368</v>
      </c>
      <c r="C876">
        <v>7</v>
      </c>
      <c r="D876">
        <v>50</v>
      </c>
      <c r="E876">
        <v>60</v>
      </c>
    </row>
    <row r="877" spans="1:10" x14ac:dyDescent="0.3">
      <c r="B877" t="s">
        <v>369</v>
      </c>
      <c r="C877">
        <v>5</v>
      </c>
      <c r="D877">
        <v>60</v>
      </c>
      <c r="E877">
        <v>70</v>
      </c>
    </row>
    <row r="880" spans="1:10" x14ac:dyDescent="0.3">
      <c r="B880" t="s">
        <v>413</v>
      </c>
    </row>
    <row r="881" spans="2:2" x14ac:dyDescent="0.3">
      <c r="B881" t="s">
        <v>343</v>
      </c>
    </row>
    <row r="882" spans="2:2" x14ac:dyDescent="0.3">
      <c r="B882" s="1" t="s">
        <v>374</v>
      </c>
    </row>
    <row r="883" spans="2:2" x14ac:dyDescent="0.3">
      <c r="B883" s="1" t="s">
        <v>416</v>
      </c>
    </row>
    <row r="885" spans="2:2" x14ac:dyDescent="0.3">
      <c r="B885" t="s">
        <v>376</v>
      </c>
    </row>
    <row r="886" spans="2:2" x14ac:dyDescent="0.3">
      <c r="B886" s="1" t="s">
        <v>53</v>
      </c>
    </row>
    <row r="888" spans="2:2" x14ac:dyDescent="0.3">
      <c r="B888" t="s">
        <v>417</v>
      </c>
    </row>
    <row r="890" spans="2:2" x14ac:dyDescent="0.3">
      <c r="B890" t="s">
        <v>418</v>
      </c>
    </row>
    <row r="891" spans="2:2" x14ac:dyDescent="0.3">
      <c r="B891" t="s">
        <v>253</v>
      </c>
    </row>
    <row r="892" spans="2:2" x14ac:dyDescent="0.3">
      <c r="B892" t="s">
        <v>419</v>
      </c>
    </row>
    <row r="893" spans="2:2" x14ac:dyDescent="0.3">
      <c r="B893" t="s">
        <v>395</v>
      </c>
    </row>
    <row r="894" spans="2:2" x14ac:dyDescent="0.3">
      <c r="B894" t="s">
        <v>381</v>
      </c>
    </row>
    <row r="896" spans="2:2" x14ac:dyDescent="0.3">
      <c r="B896" t="s">
        <v>420</v>
      </c>
    </row>
    <row r="898" spans="1:9" x14ac:dyDescent="0.3">
      <c r="B898" t="s">
        <v>421</v>
      </c>
    </row>
    <row r="902" spans="1:9" x14ac:dyDescent="0.3">
      <c r="B902" s="2" t="s">
        <v>422</v>
      </c>
      <c r="C902" s="2"/>
    </row>
    <row r="904" spans="1:9" x14ac:dyDescent="0.3">
      <c r="A904" t="s">
        <v>424</v>
      </c>
      <c r="B904" t="s">
        <v>423</v>
      </c>
    </row>
    <row r="905" spans="1:9" x14ac:dyDescent="0.3">
      <c r="B905" t="s">
        <v>425</v>
      </c>
    </row>
    <row r="906" spans="1:9" x14ac:dyDescent="0.3">
      <c r="B906" t="s">
        <v>426</v>
      </c>
    </row>
    <row r="907" spans="1:9" x14ac:dyDescent="0.3">
      <c r="B907" t="s">
        <v>427</v>
      </c>
    </row>
    <row r="908" spans="1:9" x14ac:dyDescent="0.3">
      <c r="B908" t="s">
        <v>428</v>
      </c>
    </row>
    <row r="909" spans="1:9" x14ac:dyDescent="0.3">
      <c r="H909">
        <v>66</v>
      </c>
      <c r="I909" s="23" t="s">
        <v>813</v>
      </c>
    </row>
    <row r="910" spans="1:9" x14ac:dyDescent="0.3">
      <c r="A910" t="s">
        <v>44</v>
      </c>
      <c r="H910">
        <v>35</v>
      </c>
      <c r="I910" s="24">
        <v>17</v>
      </c>
    </row>
    <row r="911" spans="1:9" x14ac:dyDescent="0.3">
      <c r="B911" t="s">
        <v>48</v>
      </c>
      <c r="D911">
        <f>30</f>
        <v>30</v>
      </c>
      <c r="E911" t="s">
        <v>647</v>
      </c>
      <c r="H911">
        <v>79</v>
      </c>
      <c r="I911" s="24">
        <v>19</v>
      </c>
    </row>
    <row r="912" spans="1:9" x14ac:dyDescent="0.3">
      <c r="B912" t="s">
        <v>431</v>
      </c>
      <c r="D912">
        <f>17</f>
        <v>17</v>
      </c>
      <c r="E912">
        <f>MIN(H909:H939)</f>
        <v>17</v>
      </c>
      <c r="F912" t="s">
        <v>649</v>
      </c>
      <c r="H912">
        <v>41</v>
      </c>
      <c r="I912" s="24">
        <v>26</v>
      </c>
    </row>
    <row r="913" spans="2:12" x14ac:dyDescent="0.3">
      <c r="B913" t="s">
        <v>432</v>
      </c>
      <c r="D913">
        <f>98</f>
        <v>98</v>
      </c>
      <c r="E913">
        <f>MAX(H909:H938)</f>
        <v>98</v>
      </c>
      <c r="F913" t="s">
        <v>648</v>
      </c>
      <c r="H913">
        <v>75</v>
      </c>
      <c r="I913" s="24">
        <v>27</v>
      </c>
    </row>
    <row r="914" spans="2:12" x14ac:dyDescent="0.3">
      <c r="B914" t="s">
        <v>430</v>
      </c>
      <c r="D914">
        <f>D913-D912</f>
        <v>81</v>
      </c>
      <c r="H914">
        <v>65</v>
      </c>
      <c r="I914" s="24">
        <v>30</v>
      </c>
    </row>
    <row r="915" spans="2:12" x14ac:dyDescent="0.3">
      <c r="B915" t="s">
        <v>429</v>
      </c>
      <c r="D915">
        <f>ROUND(1+3.322*LOG(D911),0)</f>
        <v>6</v>
      </c>
      <c r="E915" t="s">
        <v>650</v>
      </c>
      <c r="H915">
        <v>58</v>
      </c>
      <c r="I915" s="24">
        <v>35</v>
      </c>
    </row>
    <row r="916" spans="2:12" x14ac:dyDescent="0.3">
      <c r="B916" t="s">
        <v>433</v>
      </c>
      <c r="D916">
        <f>D914/D915</f>
        <v>13.5</v>
      </c>
      <c r="H916">
        <v>68</v>
      </c>
      <c r="I916" s="24">
        <v>39</v>
      </c>
      <c r="L916">
        <f>17+14</f>
        <v>31</v>
      </c>
    </row>
    <row r="917" spans="2:12" x14ac:dyDescent="0.3">
      <c r="H917">
        <v>17</v>
      </c>
      <c r="I917" s="24">
        <v>41</v>
      </c>
    </row>
    <row r="918" spans="2:12" x14ac:dyDescent="0.3">
      <c r="H918">
        <v>48</v>
      </c>
      <c r="I918" s="24">
        <v>48</v>
      </c>
    </row>
    <row r="919" spans="2:12" x14ac:dyDescent="0.3">
      <c r="B919" t="s">
        <v>370</v>
      </c>
      <c r="C919" t="s">
        <v>253</v>
      </c>
      <c r="D919" t="s">
        <v>434</v>
      </c>
      <c r="E919" t="s">
        <v>371</v>
      </c>
      <c r="F919" t="s">
        <v>372</v>
      </c>
      <c r="H919">
        <v>88</v>
      </c>
      <c r="I919" s="24">
        <v>49</v>
      </c>
    </row>
    <row r="920" spans="2:12" x14ac:dyDescent="0.3">
      <c r="B920" t="s">
        <v>435</v>
      </c>
      <c r="C920">
        <v>4</v>
      </c>
      <c r="D920">
        <f>C920</f>
        <v>4</v>
      </c>
      <c r="E920">
        <v>17</v>
      </c>
      <c r="F920">
        <v>31</v>
      </c>
      <c r="H920">
        <v>87</v>
      </c>
      <c r="I920" s="24">
        <v>57</v>
      </c>
    </row>
    <row r="921" spans="2:12" x14ac:dyDescent="0.3">
      <c r="B921" t="s">
        <v>436</v>
      </c>
      <c r="C921">
        <v>3</v>
      </c>
      <c r="D921">
        <f>D920+C921</f>
        <v>7</v>
      </c>
      <c r="E921">
        <v>31</v>
      </c>
      <c r="F921">
        <v>45</v>
      </c>
      <c r="H921">
        <v>49</v>
      </c>
      <c r="I921" s="24">
        <v>58</v>
      </c>
    </row>
    <row r="922" spans="2:12" x14ac:dyDescent="0.3">
      <c r="B922" t="s">
        <v>437</v>
      </c>
      <c r="C922">
        <v>5</v>
      </c>
      <c r="D922">
        <f t="shared" ref="D922:D925" si="8">D921+C922</f>
        <v>12</v>
      </c>
      <c r="E922">
        <v>45</v>
      </c>
      <c r="F922">
        <v>59</v>
      </c>
      <c r="H922">
        <v>26</v>
      </c>
      <c r="I922" s="24">
        <v>61</v>
      </c>
    </row>
    <row r="923" spans="2:12" x14ac:dyDescent="0.3">
      <c r="B923" t="s">
        <v>438</v>
      </c>
      <c r="C923">
        <v>6</v>
      </c>
      <c r="D923">
        <f t="shared" si="8"/>
        <v>18</v>
      </c>
      <c r="E923">
        <v>59</v>
      </c>
      <c r="F923">
        <v>73</v>
      </c>
      <c r="H923">
        <v>61</v>
      </c>
      <c r="I923" s="24">
        <v>65</v>
      </c>
    </row>
    <row r="924" spans="2:12" x14ac:dyDescent="0.3">
      <c r="B924" t="s">
        <v>439</v>
      </c>
      <c r="C924">
        <v>7</v>
      </c>
      <c r="D924">
        <f t="shared" si="8"/>
        <v>25</v>
      </c>
      <c r="E924">
        <v>73</v>
      </c>
      <c r="F924">
        <v>87</v>
      </c>
      <c r="H924">
        <v>72</v>
      </c>
      <c r="I924" s="24">
        <v>68</v>
      </c>
    </row>
    <row r="925" spans="2:12" x14ac:dyDescent="0.3">
      <c r="B925" t="s">
        <v>440</v>
      </c>
      <c r="C925">
        <v>5</v>
      </c>
      <c r="D925">
        <f t="shared" si="8"/>
        <v>30</v>
      </c>
      <c r="E925">
        <v>87</v>
      </c>
      <c r="F925">
        <v>101</v>
      </c>
      <c r="H925">
        <v>19</v>
      </c>
      <c r="I925" s="24">
        <v>70</v>
      </c>
    </row>
    <row r="926" spans="2:12" x14ac:dyDescent="0.3">
      <c r="H926">
        <v>58</v>
      </c>
      <c r="I926" s="24">
        <v>72</v>
      </c>
    </row>
    <row r="927" spans="2:12" x14ac:dyDescent="0.3">
      <c r="H927">
        <v>75</v>
      </c>
      <c r="I927" s="24">
        <v>75</v>
      </c>
    </row>
    <row r="928" spans="2:12" x14ac:dyDescent="0.3">
      <c r="B928" t="s">
        <v>343</v>
      </c>
      <c r="C928">
        <f>C926</f>
        <v>0</v>
      </c>
      <c r="H928">
        <v>78</v>
      </c>
      <c r="I928" s="24">
        <v>77</v>
      </c>
    </row>
    <row r="929" spans="2:11" x14ac:dyDescent="0.3">
      <c r="H929">
        <v>70</v>
      </c>
      <c r="I929" s="24">
        <v>78</v>
      </c>
    </row>
    <row r="930" spans="2:11" x14ac:dyDescent="0.3">
      <c r="H930">
        <v>97</v>
      </c>
      <c r="I930" s="24">
        <v>79</v>
      </c>
      <c r="K930" t="s">
        <v>644</v>
      </c>
    </row>
    <row r="931" spans="2:11" x14ac:dyDescent="0.3">
      <c r="B931" t="s">
        <v>441</v>
      </c>
      <c r="H931">
        <v>85</v>
      </c>
      <c r="I931" s="24">
        <v>84</v>
      </c>
    </row>
    <row r="932" spans="2:11" x14ac:dyDescent="0.3">
      <c r="H932">
        <v>77</v>
      </c>
      <c r="I932" s="24">
        <v>85</v>
      </c>
    </row>
    <row r="933" spans="2:11" x14ac:dyDescent="0.3">
      <c r="B933" t="s">
        <v>442</v>
      </c>
      <c r="H933">
        <v>84</v>
      </c>
      <c r="I933" s="24">
        <v>87</v>
      </c>
    </row>
    <row r="934" spans="2:11" x14ac:dyDescent="0.3">
      <c r="F934" t="s">
        <v>444</v>
      </c>
      <c r="H934">
        <v>27</v>
      </c>
      <c r="I934" s="24">
        <v>88</v>
      </c>
    </row>
    <row r="935" spans="2:11" x14ac:dyDescent="0.3">
      <c r="B935" t="s">
        <v>253</v>
      </c>
      <c r="H935">
        <v>94</v>
      </c>
      <c r="I935" s="24">
        <v>94</v>
      </c>
    </row>
    <row r="936" spans="2:11" x14ac:dyDescent="0.3">
      <c r="B936" t="s">
        <v>443</v>
      </c>
      <c r="H936">
        <v>57</v>
      </c>
      <c r="I936" s="24">
        <v>97</v>
      </c>
    </row>
    <row r="937" spans="2:11" x14ac:dyDescent="0.3">
      <c r="B937" t="s">
        <v>395</v>
      </c>
      <c r="H937">
        <v>39</v>
      </c>
      <c r="I937" s="24">
        <v>98</v>
      </c>
    </row>
    <row r="938" spans="2:11" x14ac:dyDescent="0.3">
      <c r="B938" t="s">
        <v>381</v>
      </c>
      <c r="H938">
        <v>98</v>
      </c>
      <c r="I938" s="24" t="s">
        <v>814</v>
      </c>
    </row>
    <row r="939" spans="2:11" x14ac:dyDescent="0.3">
      <c r="G939" t="s">
        <v>645</v>
      </c>
      <c r="H939">
        <f>COUNT(H909:H938)</f>
        <v>30</v>
      </c>
    </row>
    <row r="940" spans="2:11" x14ac:dyDescent="0.3">
      <c r="B940" t="s">
        <v>445</v>
      </c>
      <c r="G940" t="s">
        <v>646</v>
      </c>
    </row>
    <row r="942" spans="2:11" x14ac:dyDescent="0.3">
      <c r="B942" t="s">
        <v>446</v>
      </c>
    </row>
    <row r="944" spans="2:11" x14ac:dyDescent="0.3">
      <c r="B944" t="s">
        <v>253</v>
      </c>
    </row>
    <row r="945" spans="2:6" x14ac:dyDescent="0.3">
      <c r="B945" t="s">
        <v>447</v>
      </c>
      <c r="F945" t="s">
        <v>448</v>
      </c>
    </row>
    <row r="946" spans="2:6" x14ac:dyDescent="0.3">
      <c r="B946" t="s">
        <v>395</v>
      </c>
    </row>
    <row r="947" spans="2:6" x14ac:dyDescent="0.3">
      <c r="B947" t="s">
        <v>381</v>
      </c>
    </row>
    <row r="949" spans="2:6" x14ac:dyDescent="0.3">
      <c r="B949" t="s">
        <v>449</v>
      </c>
    </row>
    <row r="950" spans="2:6" x14ac:dyDescent="0.3">
      <c r="B950" t="s">
        <v>450</v>
      </c>
    </row>
    <row r="952" spans="2:6" x14ac:dyDescent="0.3">
      <c r="B952" t="s">
        <v>253</v>
      </c>
      <c r="F952" t="s">
        <v>451</v>
      </c>
    </row>
    <row r="953" spans="2:6" x14ac:dyDescent="0.3">
      <c r="B953" t="s">
        <v>447</v>
      </c>
    </row>
    <row r="954" spans="2:6" x14ac:dyDescent="0.3">
      <c r="B954" t="s">
        <v>395</v>
      </c>
    </row>
    <row r="955" spans="2:6" x14ac:dyDescent="0.3">
      <c r="B955" t="s">
        <v>381</v>
      </c>
    </row>
    <row r="957" spans="2:6" x14ac:dyDescent="0.3">
      <c r="B957" t="s">
        <v>452</v>
      </c>
    </row>
    <row r="958" spans="2:6" x14ac:dyDescent="0.3">
      <c r="B958" t="s">
        <v>453</v>
      </c>
    </row>
    <row r="959" spans="2:6" x14ac:dyDescent="0.3">
      <c r="B959" t="s">
        <v>454</v>
      </c>
    </row>
    <row r="960" spans="2:6" x14ac:dyDescent="0.3">
      <c r="B960" t="s">
        <v>253</v>
      </c>
      <c r="F960" t="s">
        <v>455</v>
      </c>
    </row>
    <row r="961" spans="2:2" x14ac:dyDescent="0.3">
      <c r="B961" t="s">
        <v>419</v>
      </c>
    </row>
    <row r="962" spans="2:2" x14ac:dyDescent="0.3">
      <c r="B962" t="s">
        <v>395</v>
      </c>
    </row>
    <row r="963" spans="2:2" x14ac:dyDescent="0.3">
      <c r="B963" t="s">
        <v>381</v>
      </c>
    </row>
    <row r="965" spans="2:2" x14ac:dyDescent="0.3">
      <c r="B965" t="s">
        <v>456</v>
      </c>
    </row>
    <row r="971" spans="2:2" x14ac:dyDescent="0.3">
      <c r="B971" s="2" t="s">
        <v>457</v>
      </c>
    </row>
    <row r="973" spans="2:2" x14ac:dyDescent="0.3">
      <c r="B973" s="2" t="s">
        <v>458</v>
      </c>
    </row>
    <row r="974" spans="2:2" x14ac:dyDescent="0.3">
      <c r="B974" t="s">
        <v>459</v>
      </c>
    </row>
    <row r="975" spans="2:2" x14ac:dyDescent="0.3">
      <c r="B975" s="2" t="s">
        <v>460</v>
      </c>
    </row>
    <row r="976" spans="2:2" x14ac:dyDescent="0.3">
      <c r="B976" t="s">
        <v>461</v>
      </c>
    </row>
    <row r="977" spans="2:6" x14ac:dyDescent="0.3">
      <c r="B977" s="2" t="s">
        <v>462</v>
      </c>
    </row>
    <row r="979" spans="2:6" x14ac:dyDescent="0.3">
      <c r="B979" s="2" t="s">
        <v>44</v>
      </c>
    </row>
    <row r="981" spans="2:6" x14ac:dyDescent="0.3">
      <c r="B981" s="2" t="s">
        <v>463</v>
      </c>
      <c r="C981" t="s">
        <v>465</v>
      </c>
    </row>
    <row r="982" spans="2:6" x14ac:dyDescent="0.3">
      <c r="B982" t="s">
        <v>464</v>
      </c>
      <c r="C982" t="s">
        <v>466</v>
      </c>
    </row>
    <row r="983" spans="2:6" x14ac:dyDescent="0.3">
      <c r="B983">
        <v>250</v>
      </c>
      <c r="C983">
        <v>280</v>
      </c>
    </row>
    <row r="984" spans="2:6" x14ac:dyDescent="0.3">
      <c r="B984">
        <v>255</v>
      </c>
      <c r="C984">
        <v>282</v>
      </c>
    </row>
    <row r="985" spans="2:6" x14ac:dyDescent="0.3">
      <c r="B985">
        <v>280</v>
      </c>
      <c r="C985">
        <v>290</v>
      </c>
    </row>
    <row r="986" spans="2:6" x14ac:dyDescent="0.3">
      <c r="B986">
        <v>290</v>
      </c>
      <c r="C986">
        <v>295</v>
      </c>
    </row>
    <row r="987" spans="2:6" x14ac:dyDescent="0.3">
      <c r="B987">
        <v>295</v>
      </c>
      <c r="C987">
        <v>298</v>
      </c>
    </row>
    <row r="988" spans="2:6" x14ac:dyDescent="0.3">
      <c r="B988">
        <v>300</v>
      </c>
      <c r="C988">
        <v>295</v>
      </c>
    </row>
    <row r="990" spans="2:6" x14ac:dyDescent="0.3">
      <c r="B990" t="s">
        <v>468</v>
      </c>
      <c r="E990" t="s">
        <v>469</v>
      </c>
    </row>
    <row r="991" spans="2:6" x14ac:dyDescent="0.3">
      <c r="B991" t="s">
        <v>85</v>
      </c>
      <c r="C991">
        <f>6</f>
        <v>6</v>
      </c>
      <c r="E991" t="s">
        <v>86</v>
      </c>
      <c r="F991">
        <f>6</f>
        <v>6</v>
      </c>
    </row>
    <row r="992" spans="2:6" x14ac:dyDescent="0.3">
      <c r="B992" t="s">
        <v>376</v>
      </c>
      <c r="E992" t="s">
        <v>376</v>
      </c>
    </row>
    <row r="993" spans="1:5" x14ac:dyDescent="0.3">
      <c r="B993" s="1" t="s">
        <v>472</v>
      </c>
      <c r="E993" s="1" t="s">
        <v>470</v>
      </c>
    </row>
    <row r="994" spans="1:5" x14ac:dyDescent="0.3">
      <c r="B994" s="1" t="s">
        <v>467</v>
      </c>
      <c r="E994" s="1" t="s">
        <v>471</v>
      </c>
    </row>
    <row r="1000" spans="1:5" x14ac:dyDescent="0.3">
      <c r="A1000" t="s">
        <v>473</v>
      </c>
      <c r="C1000" t="s">
        <v>474</v>
      </c>
    </row>
    <row r="1001" spans="1:5" x14ac:dyDescent="0.3">
      <c r="C1001" t="s">
        <v>475</v>
      </c>
    </row>
    <row r="1002" spans="1:5" x14ac:dyDescent="0.3">
      <c r="C1002" t="s">
        <v>476</v>
      </c>
    </row>
    <row r="1003" spans="1:5" x14ac:dyDescent="0.3">
      <c r="C1003" t="s">
        <v>477</v>
      </c>
    </row>
    <row r="1004" spans="1:5" x14ac:dyDescent="0.3">
      <c r="C1004" t="s">
        <v>478</v>
      </c>
    </row>
    <row r="1005" spans="1:5" x14ac:dyDescent="0.3">
      <c r="C1005" t="s">
        <v>479</v>
      </c>
    </row>
    <row r="1006" spans="1:5" x14ac:dyDescent="0.3">
      <c r="C1006" t="s">
        <v>480</v>
      </c>
    </row>
    <row r="1008" spans="1:5" x14ac:dyDescent="0.3">
      <c r="C1008" t="s">
        <v>481</v>
      </c>
    </row>
    <row r="1009" spans="1:11" x14ac:dyDescent="0.3">
      <c r="C1009" t="s">
        <v>482</v>
      </c>
    </row>
    <row r="1011" spans="1:11" x14ac:dyDescent="0.3">
      <c r="G1011" t="s">
        <v>484</v>
      </c>
      <c r="H1011" t="s">
        <v>485</v>
      </c>
    </row>
    <row r="1012" spans="1:11" x14ac:dyDescent="0.3">
      <c r="A1012" t="s">
        <v>44</v>
      </c>
      <c r="C1012" t="s">
        <v>371</v>
      </c>
      <c r="D1012" t="s">
        <v>372</v>
      </c>
      <c r="E1012" t="s">
        <v>483</v>
      </c>
      <c r="F1012" t="s">
        <v>488</v>
      </c>
      <c r="G1012" t="s">
        <v>253</v>
      </c>
      <c r="H1012" t="s">
        <v>253</v>
      </c>
      <c r="J1012" t="s">
        <v>725</v>
      </c>
      <c r="K1012" t="s">
        <v>726</v>
      </c>
    </row>
    <row r="1013" spans="1:11" x14ac:dyDescent="0.3">
      <c r="C1013">
        <v>0</v>
      </c>
      <c r="D1013">
        <v>5</v>
      </c>
      <c r="E1013">
        <f>(C1013+D1013)/2</f>
        <v>2.5</v>
      </c>
      <c r="F1013">
        <f>E1013^2</f>
        <v>6.25</v>
      </c>
      <c r="G1013">
        <v>8</v>
      </c>
      <c r="H1013">
        <v>6</v>
      </c>
      <c r="J1013" t="s">
        <v>727</v>
      </c>
      <c r="K1013" t="s">
        <v>728</v>
      </c>
    </row>
    <row r="1014" spans="1:11" x14ac:dyDescent="0.3">
      <c r="B1014" s="5"/>
      <c r="C1014">
        <v>5</v>
      </c>
      <c r="D1014">
        <v>10</v>
      </c>
      <c r="E1014">
        <f t="shared" ref="E1014:E1017" si="9">(C1014+D1014)/2</f>
        <v>7.5</v>
      </c>
      <c r="F1014">
        <f t="shared" ref="F1014:F1017" si="10">E1014^2</f>
        <v>56.25</v>
      </c>
      <c r="G1014">
        <v>12</v>
      </c>
      <c r="H1014">
        <v>10</v>
      </c>
    </row>
    <row r="1015" spans="1:11" x14ac:dyDescent="0.3">
      <c r="C1015">
        <v>10</v>
      </c>
      <c r="D1015">
        <v>15</v>
      </c>
      <c r="E1015">
        <f t="shared" si="9"/>
        <v>12.5</v>
      </c>
      <c r="F1015">
        <f t="shared" si="10"/>
        <v>156.25</v>
      </c>
      <c r="G1015">
        <v>20</v>
      </c>
      <c r="H1015">
        <v>20</v>
      </c>
    </row>
    <row r="1016" spans="1:11" x14ac:dyDescent="0.3">
      <c r="C1016">
        <v>15</v>
      </c>
      <c r="D1016">
        <v>20</v>
      </c>
      <c r="E1016">
        <f t="shared" si="9"/>
        <v>17.5</v>
      </c>
      <c r="F1016">
        <f t="shared" si="10"/>
        <v>306.25</v>
      </c>
      <c r="G1016">
        <v>7</v>
      </c>
      <c r="H1016">
        <v>10</v>
      </c>
    </row>
    <row r="1017" spans="1:11" x14ac:dyDescent="0.3">
      <c r="C1017">
        <v>20</v>
      </c>
      <c r="D1017">
        <v>25</v>
      </c>
      <c r="E1017">
        <f t="shared" si="9"/>
        <v>22.5</v>
      </c>
      <c r="F1017">
        <f t="shared" si="10"/>
        <v>506.25</v>
      </c>
      <c r="G1017">
        <v>3</v>
      </c>
      <c r="H1017">
        <v>4</v>
      </c>
    </row>
    <row r="1020" spans="1:11" x14ac:dyDescent="0.3">
      <c r="B1020" t="s">
        <v>486</v>
      </c>
      <c r="I1020" t="s">
        <v>490</v>
      </c>
    </row>
    <row r="1021" spans="1:11" x14ac:dyDescent="0.3">
      <c r="B1021" t="s">
        <v>487</v>
      </c>
      <c r="D1021">
        <f>SUM(G1013:G1017)</f>
        <v>50</v>
      </c>
      <c r="E1021" t="s">
        <v>729</v>
      </c>
      <c r="I1021" t="s">
        <v>491</v>
      </c>
      <c r="J1021">
        <f>SUM(H1013:H1017)</f>
        <v>50</v>
      </c>
      <c r="K1021" t="s">
        <v>735</v>
      </c>
    </row>
    <row r="1022" spans="1:11" x14ac:dyDescent="0.3">
      <c r="B1022" s="1" t="s">
        <v>374</v>
      </c>
      <c r="D1022">
        <f>SUMPRODUCT(E1013:E1017,G1013:G1017)</f>
        <v>550</v>
      </c>
      <c r="E1022" t="s">
        <v>730</v>
      </c>
      <c r="I1022" s="1" t="s">
        <v>374</v>
      </c>
      <c r="J1022">
        <f>SUMPRODUCT(H1013:H1017,E1013:E1017)</f>
        <v>605</v>
      </c>
      <c r="K1022" t="s">
        <v>736</v>
      </c>
    </row>
    <row r="1023" spans="1:11" x14ac:dyDescent="0.3">
      <c r="B1023" s="1" t="s">
        <v>375</v>
      </c>
      <c r="D1023">
        <f>SUMPRODUCT(G1013:G1017,F1013:F1017)</f>
        <v>7512.5</v>
      </c>
      <c r="E1023" t="s">
        <v>731</v>
      </c>
      <c r="I1023" s="1" t="s">
        <v>375</v>
      </c>
      <c r="J1023">
        <f>SUMPRODUCT(H1013:H1017,F1013:F1017)</f>
        <v>8812.5</v>
      </c>
      <c r="K1023" t="s">
        <v>737</v>
      </c>
    </row>
    <row r="1024" spans="1:11" x14ac:dyDescent="0.3">
      <c r="B1024" s="1" t="s">
        <v>376</v>
      </c>
      <c r="D1024">
        <f>D1022/D1021</f>
        <v>11</v>
      </c>
      <c r="E1024" t="s">
        <v>732</v>
      </c>
      <c r="I1024" s="1" t="s">
        <v>376</v>
      </c>
      <c r="J1024">
        <f>J1022/J1021</f>
        <v>12.1</v>
      </c>
      <c r="K1024" t="s">
        <v>738</v>
      </c>
    </row>
    <row r="1025" spans="2:11" x14ac:dyDescent="0.3">
      <c r="B1025" s="1" t="s">
        <v>472</v>
      </c>
      <c r="D1025">
        <f>SQRT((D1023/D1021)-(D1024)^2)</f>
        <v>5.4083269131959844</v>
      </c>
      <c r="E1025" t="s">
        <v>733</v>
      </c>
      <c r="I1025" s="1" t="s">
        <v>470</v>
      </c>
      <c r="J1025">
        <f>SQRT((J1023/J1021)-(J1024)^2)</f>
        <v>5.4626001134990654</v>
      </c>
      <c r="K1025" t="s">
        <v>739</v>
      </c>
    </row>
    <row r="1027" spans="2:11" x14ac:dyDescent="0.3">
      <c r="B1027" t="s">
        <v>489</v>
      </c>
      <c r="D1027">
        <f>D1025/D1024*100</f>
        <v>49.166608301781679</v>
      </c>
      <c r="E1027" t="s">
        <v>734</v>
      </c>
      <c r="I1027" t="s">
        <v>492</v>
      </c>
      <c r="J1027">
        <f>J1025/J1024*100</f>
        <v>45.145455483463351</v>
      </c>
      <c r="K1027" t="s">
        <v>740</v>
      </c>
    </row>
    <row r="1029" spans="2:11" x14ac:dyDescent="0.3">
      <c r="B1029" t="s">
        <v>741</v>
      </c>
    </row>
    <row r="1030" spans="2:11" x14ac:dyDescent="0.3">
      <c r="B1030" t="s">
        <v>742</v>
      </c>
      <c r="C1030" t="s">
        <v>743</v>
      </c>
    </row>
    <row r="1031" spans="2:11" x14ac:dyDescent="0.3">
      <c r="B1031" t="s">
        <v>744</v>
      </c>
      <c r="C1031" t="s">
        <v>745</v>
      </c>
    </row>
    <row r="1033" spans="2:11" x14ac:dyDescent="0.3">
      <c r="B1033" s="2" t="s">
        <v>493</v>
      </c>
    </row>
    <row r="1035" spans="2:11" x14ac:dyDescent="0.3">
      <c r="B1035" s="2" t="s">
        <v>494</v>
      </c>
    </row>
    <row r="1037" spans="2:11" x14ac:dyDescent="0.3">
      <c r="B1037" t="s">
        <v>495</v>
      </c>
    </row>
    <row r="1038" spans="2:11" x14ac:dyDescent="0.3">
      <c r="B1038" t="s">
        <v>496</v>
      </c>
    </row>
    <row r="1039" spans="2:11" x14ac:dyDescent="0.3">
      <c r="B1039" t="s">
        <v>497</v>
      </c>
    </row>
    <row r="1040" spans="2:11" x14ac:dyDescent="0.3">
      <c r="B1040" t="s">
        <v>498</v>
      </c>
    </row>
    <row r="1041" spans="2:6" x14ac:dyDescent="0.3">
      <c r="B1041" t="s">
        <v>499</v>
      </c>
    </row>
    <row r="1042" spans="2:6" x14ac:dyDescent="0.3">
      <c r="B1042" t="s">
        <v>500</v>
      </c>
    </row>
    <row r="1044" spans="2:6" x14ac:dyDescent="0.3">
      <c r="B1044" t="s">
        <v>336</v>
      </c>
    </row>
    <row r="1045" spans="2:6" x14ac:dyDescent="0.3">
      <c r="B1045" t="s">
        <v>501</v>
      </c>
    </row>
    <row r="1046" spans="2:6" x14ac:dyDescent="0.3">
      <c r="B1046" t="s">
        <v>502</v>
      </c>
    </row>
    <row r="1047" spans="2:6" x14ac:dyDescent="0.3">
      <c r="B1047" t="s">
        <v>503</v>
      </c>
    </row>
    <row r="1049" spans="2:6" x14ac:dyDescent="0.3">
      <c r="B1049" t="s">
        <v>44</v>
      </c>
    </row>
    <row r="1051" spans="2:6" x14ac:dyDescent="0.3">
      <c r="B1051" s="4" t="s">
        <v>504</v>
      </c>
      <c r="C1051" t="s">
        <v>253</v>
      </c>
      <c r="D1051" t="s">
        <v>434</v>
      </c>
      <c r="E1051" t="s">
        <v>371</v>
      </c>
      <c r="F1051" t="s">
        <v>372</v>
      </c>
    </row>
    <row r="1052" spans="2:6" x14ac:dyDescent="0.3">
      <c r="B1052" s="4" t="s">
        <v>638</v>
      </c>
      <c r="C1052">
        <v>5</v>
      </c>
      <c r="D1052">
        <f>5</f>
        <v>5</v>
      </c>
      <c r="E1052">
        <v>10</v>
      </c>
      <c r="F1052">
        <v>20</v>
      </c>
    </row>
    <row r="1053" spans="2:6" x14ac:dyDescent="0.3">
      <c r="B1053" t="s">
        <v>365</v>
      </c>
      <c r="C1053">
        <v>5</v>
      </c>
      <c r="D1053">
        <f>D1052+C1053</f>
        <v>10</v>
      </c>
      <c r="E1053">
        <v>20</v>
      </c>
      <c r="F1053">
        <v>30</v>
      </c>
    </row>
    <row r="1054" spans="2:6" x14ac:dyDescent="0.3">
      <c r="B1054" t="s">
        <v>366</v>
      </c>
      <c r="C1054">
        <v>14</v>
      </c>
      <c r="D1054">
        <f t="shared" ref="D1054:D1058" si="11">D1053+C1054</f>
        <v>24</v>
      </c>
      <c r="E1054">
        <v>30</v>
      </c>
      <c r="F1054">
        <v>40</v>
      </c>
    </row>
    <row r="1055" spans="2:6" x14ac:dyDescent="0.3">
      <c r="B1055" t="s">
        <v>367</v>
      </c>
      <c r="C1055">
        <v>10</v>
      </c>
      <c r="D1055">
        <f t="shared" si="11"/>
        <v>34</v>
      </c>
      <c r="E1055">
        <v>40</v>
      </c>
      <c r="F1055">
        <v>50</v>
      </c>
    </row>
    <row r="1056" spans="2:6" x14ac:dyDescent="0.3">
      <c r="B1056" t="s">
        <v>368</v>
      </c>
      <c r="C1056">
        <v>11</v>
      </c>
      <c r="D1056">
        <f t="shared" si="11"/>
        <v>45</v>
      </c>
      <c r="E1056">
        <v>50</v>
      </c>
      <c r="F1056">
        <v>60</v>
      </c>
    </row>
    <row r="1057" spans="1:6" x14ac:dyDescent="0.3">
      <c r="B1057" t="s">
        <v>369</v>
      </c>
      <c r="C1057">
        <v>3</v>
      </c>
      <c r="D1057">
        <f t="shared" si="11"/>
        <v>48</v>
      </c>
      <c r="E1057">
        <v>60</v>
      </c>
      <c r="F1057">
        <v>70</v>
      </c>
    </row>
    <row r="1058" spans="1:6" x14ac:dyDescent="0.3">
      <c r="B1058" t="s">
        <v>399</v>
      </c>
      <c r="C1058">
        <v>2</v>
      </c>
      <c r="D1058">
        <f t="shared" si="11"/>
        <v>50</v>
      </c>
      <c r="E1058">
        <v>70</v>
      </c>
      <c r="F1058">
        <v>80</v>
      </c>
    </row>
    <row r="1060" spans="1:6" x14ac:dyDescent="0.3">
      <c r="A1060" t="s">
        <v>505</v>
      </c>
    </row>
    <row r="1062" spans="1:6" x14ac:dyDescent="0.3">
      <c r="B1062" t="s">
        <v>506</v>
      </c>
    </row>
    <row r="1063" spans="1:6" x14ac:dyDescent="0.3">
      <c r="B1063" t="s">
        <v>343</v>
      </c>
      <c r="C1063">
        <f>50</f>
        <v>50</v>
      </c>
    </row>
    <row r="1064" spans="1:6" x14ac:dyDescent="0.3">
      <c r="B1064" t="s">
        <v>507</v>
      </c>
    </row>
    <row r="1066" spans="1:6" x14ac:dyDescent="0.3">
      <c r="B1066" t="s">
        <v>395</v>
      </c>
    </row>
    <row r="1067" spans="1:6" x14ac:dyDescent="0.3">
      <c r="B1067" t="s">
        <v>253</v>
      </c>
    </row>
    <row r="1068" spans="1:6" x14ac:dyDescent="0.3">
      <c r="B1068" t="s">
        <v>434</v>
      </c>
    </row>
    <row r="1069" spans="1:6" x14ac:dyDescent="0.3">
      <c r="B1069" t="s">
        <v>381</v>
      </c>
    </row>
    <row r="1071" spans="1:6" x14ac:dyDescent="0.3">
      <c r="B1071" t="s">
        <v>455</v>
      </c>
    </row>
    <row r="1073" spans="1:2" x14ac:dyDescent="0.3">
      <c r="A1073" t="s">
        <v>15</v>
      </c>
      <c r="B1073" t="s">
        <v>508</v>
      </c>
    </row>
    <row r="1074" spans="1:2" x14ac:dyDescent="0.3">
      <c r="B1074" t="s">
        <v>509</v>
      </c>
    </row>
    <row r="1075" spans="1:2" x14ac:dyDescent="0.3">
      <c r="B1075" t="s">
        <v>510</v>
      </c>
    </row>
    <row r="1076" spans="1:2" x14ac:dyDescent="0.3">
      <c r="B1076" t="s">
        <v>511</v>
      </c>
    </row>
    <row r="1077" spans="1:2" x14ac:dyDescent="0.3">
      <c r="B1077" t="s">
        <v>395</v>
      </c>
    </row>
    <row r="1078" spans="1:2" x14ac:dyDescent="0.3">
      <c r="B1078" t="s">
        <v>253</v>
      </c>
    </row>
    <row r="1079" spans="1:2" x14ac:dyDescent="0.3">
      <c r="B1079" t="s">
        <v>447</v>
      </c>
    </row>
    <row r="1080" spans="1:2" x14ac:dyDescent="0.3">
      <c r="B1080" t="s">
        <v>381</v>
      </c>
    </row>
    <row r="1082" spans="1:2" x14ac:dyDescent="0.3">
      <c r="B1082" t="s">
        <v>512</v>
      </c>
    </row>
    <row r="1086" spans="1:2" x14ac:dyDescent="0.3">
      <c r="A1086" t="s">
        <v>513</v>
      </c>
      <c r="B1086" t="s">
        <v>514</v>
      </c>
    </row>
    <row r="1088" spans="1:2" x14ac:dyDescent="0.3">
      <c r="B1088" t="s">
        <v>515</v>
      </c>
    </row>
    <row r="1089" spans="1:3" x14ac:dyDescent="0.3">
      <c r="B1089" t="s">
        <v>516</v>
      </c>
    </row>
    <row r="1091" spans="1:3" x14ac:dyDescent="0.3">
      <c r="B1091" t="s">
        <v>395</v>
      </c>
    </row>
    <row r="1092" spans="1:3" x14ac:dyDescent="0.3">
      <c r="B1092" t="s">
        <v>253</v>
      </c>
    </row>
    <row r="1093" spans="1:3" x14ac:dyDescent="0.3">
      <c r="B1093" t="s">
        <v>447</v>
      </c>
    </row>
    <row r="1094" spans="1:3" x14ac:dyDescent="0.3">
      <c r="B1094" t="s">
        <v>381</v>
      </c>
    </row>
    <row r="1096" spans="1:3" x14ac:dyDescent="0.3">
      <c r="B1096" t="s">
        <v>517</v>
      </c>
    </row>
    <row r="1098" spans="1:3" x14ac:dyDescent="0.3">
      <c r="A1098" t="s">
        <v>518</v>
      </c>
      <c r="B1098" t="s">
        <v>404</v>
      </c>
    </row>
    <row r="1099" spans="1:3" x14ac:dyDescent="0.3">
      <c r="B1099" t="s">
        <v>519</v>
      </c>
    </row>
    <row r="1100" spans="1:3" x14ac:dyDescent="0.3">
      <c r="C1100" t="s">
        <v>379</v>
      </c>
    </row>
    <row r="1101" spans="1:3" x14ac:dyDescent="0.3">
      <c r="C1101" t="s">
        <v>380</v>
      </c>
    </row>
    <row r="1102" spans="1:3" x14ac:dyDescent="0.3">
      <c r="C1102" t="s">
        <v>395</v>
      </c>
    </row>
    <row r="1103" spans="1:3" x14ac:dyDescent="0.3">
      <c r="C1103" t="s">
        <v>381</v>
      </c>
    </row>
    <row r="1105" spans="1:4" x14ac:dyDescent="0.3">
      <c r="B1105" t="s">
        <v>377</v>
      </c>
      <c r="D1105" t="s">
        <v>520</v>
      </c>
    </row>
    <row r="1107" spans="1:4" x14ac:dyDescent="0.3">
      <c r="A1107" t="s">
        <v>521</v>
      </c>
      <c r="B1107" t="s">
        <v>522</v>
      </c>
    </row>
    <row r="1108" spans="1:4" x14ac:dyDescent="0.3">
      <c r="B1108" t="s">
        <v>523</v>
      </c>
    </row>
    <row r="1109" spans="1:4" x14ac:dyDescent="0.3">
      <c r="B1109" t="s">
        <v>418</v>
      </c>
    </row>
    <row r="1110" spans="1:4" x14ac:dyDescent="0.3">
      <c r="B1110" t="s">
        <v>524</v>
      </c>
    </row>
    <row r="1111" spans="1:4" x14ac:dyDescent="0.3">
      <c r="B1111" t="s">
        <v>395</v>
      </c>
    </row>
    <row r="1112" spans="1:4" x14ac:dyDescent="0.3">
      <c r="B1112" t="s">
        <v>253</v>
      </c>
    </row>
    <row r="1113" spans="1:4" x14ac:dyDescent="0.3">
      <c r="B1113" t="s">
        <v>447</v>
      </c>
    </row>
    <row r="1114" spans="1:4" x14ac:dyDescent="0.3">
      <c r="B1114" t="s">
        <v>381</v>
      </c>
    </row>
    <row r="1116" spans="1:4" x14ac:dyDescent="0.3">
      <c r="B1116" t="s">
        <v>525</v>
      </c>
      <c r="D1116" t="s">
        <v>520</v>
      </c>
    </row>
    <row r="1119" spans="1:4" x14ac:dyDescent="0.3">
      <c r="B1119" s="2" t="s">
        <v>543</v>
      </c>
    </row>
    <row r="1121" spans="1:8" x14ac:dyDescent="0.3">
      <c r="A1121" t="s">
        <v>526</v>
      </c>
      <c r="B1121">
        <v>2015</v>
      </c>
      <c r="C1121" t="s">
        <v>662</v>
      </c>
    </row>
    <row r="1122" spans="1:8" x14ac:dyDescent="0.3">
      <c r="E1122" t="s">
        <v>663</v>
      </c>
    </row>
    <row r="1123" spans="1:8" ht="28.8" x14ac:dyDescent="0.3">
      <c r="A1123" t="s">
        <v>527</v>
      </c>
      <c r="C1123" t="s">
        <v>528</v>
      </c>
      <c r="E1123" t="s">
        <v>371</v>
      </c>
      <c r="F1123" s="15" t="s">
        <v>664</v>
      </c>
      <c r="G1123" t="s">
        <v>372</v>
      </c>
      <c r="H1123" t="s">
        <v>665</v>
      </c>
    </row>
    <row r="1124" spans="1:8" x14ac:dyDescent="0.3">
      <c r="F1124" s="15"/>
      <c r="H1124" t="s">
        <v>666</v>
      </c>
    </row>
    <row r="1125" spans="1:8" x14ac:dyDescent="0.3">
      <c r="A1125" t="s">
        <v>529</v>
      </c>
      <c r="B1125">
        <v>125</v>
      </c>
      <c r="C1125">
        <v>25</v>
      </c>
      <c r="E1125">
        <v>150</v>
      </c>
      <c r="F1125">
        <v>25</v>
      </c>
      <c r="G1125">
        <v>100</v>
      </c>
      <c r="H1125">
        <f>C1130</f>
        <v>230</v>
      </c>
    </row>
    <row r="1126" spans="1:8" x14ac:dyDescent="0.3">
      <c r="A1126" t="s">
        <v>530</v>
      </c>
      <c r="B1126">
        <v>175</v>
      </c>
      <c r="C1126">
        <v>50</v>
      </c>
      <c r="E1126">
        <v>200</v>
      </c>
      <c r="F1126">
        <f>F1125+C1126</f>
        <v>75</v>
      </c>
      <c r="G1126">
        <v>150</v>
      </c>
      <c r="H1126">
        <f>H1125-C1125</f>
        <v>205</v>
      </c>
    </row>
    <row r="1127" spans="1:8" x14ac:dyDescent="0.3">
      <c r="A1127" t="s">
        <v>531</v>
      </c>
      <c r="B1127">
        <v>225</v>
      </c>
      <c r="C1127">
        <v>100</v>
      </c>
      <c r="E1127">
        <v>250</v>
      </c>
      <c r="F1127">
        <f t="shared" ref="F1127:F1129" si="12">F1126+C1127</f>
        <v>175</v>
      </c>
      <c r="G1127">
        <v>200</v>
      </c>
      <c r="H1127">
        <f t="shared" ref="H1127:H1129" si="13">H1126-C1126</f>
        <v>155</v>
      </c>
    </row>
    <row r="1128" spans="1:8" x14ac:dyDescent="0.3">
      <c r="A1128" t="s">
        <v>532</v>
      </c>
      <c r="B1128">
        <v>275</v>
      </c>
      <c r="C1128">
        <v>40</v>
      </c>
      <c r="E1128">
        <v>300</v>
      </c>
      <c r="F1128">
        <f t="shared" si="12"/>
        <v>215</v>
      </c>
      <c r="G1128">
        <v>250</v>
      </c>
      <c r="H1128">
        <f t="shared" si="13"/>
        <v>55</v>
      </c>
    </row>
    <row r="1129" spans="1:8" x14ac:dyDescent="0.3">
      <c r="A1129" t="s">
        <v>533</v>
      </c>
      <c r="B1129">
        <v>325</v>
      </c>
      <c r="C1129">
        <v>15</v>
      </c>
      <c r="E1129">
        <v>350</v>
      </c>
      <c r="F1129">
        <f t="shared" si="12"/>
        <v>230</v>
      </c>
      <c r="G1129">
        <v>300</v>
      </c>
      <c r="H1129">
        <f t="shared" si="13"/>
        <v>15</v>
      </c>
    </row>
    <row r="1130" spans="1:8" x14ac:dyDescent="0.3">
      <c r="C1130">
        <f>SUM(C1125:C1129)</f>
        <v>230</v>
      </c>
    </row>
    <row r="1149" spans="2:14" x14ac:dyDescent="0.3"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2:14" x14ac:dyDescent="0.3">
      <c r="B1150" s="6"/>
      <c r="C1150" s="6" t="s">
        <v>534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2:14" x14ac:dyDescent="0.3"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2:14" x14ac:dyDescent="0.3">
      <c r="B1152" s="6"/>
      <c r="C1152" s="6" t="s">
        <v>535</v>
      </c>
      <c r="D1152" t="s">
        <v>536</v>
      </c>
      <c r="J1152" s="6"/>
      <c r="K1152" s="6"/>
      <c r="L1152" s="6"/>
      <c r="M1152" s="6"/>
      <c r="N1152" s="6"/>
    </row>
    <row r="1153" spans="2:14" x14ac:dyDescent="0.3">
      <c r="B1153" s="6"/>
      <c r="C1153" s="6" t="s">
        <v>537</v>
      </c>
      <c r="D1153">
        <v>10</v>
      </c>
      <c r="J1153" s="6"/>
      <c r="K1153" s="6"/>
      <c r="L1153" s="6"/>
      <c r="M1153" s="6"/>
      <c r="N1153" s="6"/>
    </row>
    <row r="1154" spans="2:14" x14ac:dyDescent="0.3">
      <c r="B1154" s="6"/>
      <c r="C1154" s="6" t="s">
        <v>538</v>
      </c>
      <c r="D1154">
        <v>15</v>
      </c>
      <c r="J1154" s="6"/>
      <c r="K1154" s="6"/>
      <c r="L1154" s="6"/>
      <c r="M1154" s="6"/>
      <c r="N1154" s="6"/>
    </row>
    <row r="1155" spans="2:14" x14ac:dyDescent="0.3">
      <c r="B1155" s="6"/>
      <c r="C1155" s="6" t="s">
        <v>539</v>
      </c>
      <c r="D1155">
        <v>30</v>
      </c>
      <c r="J1155" s="6"/>
      <c r="K1155" s="6"/>
      <c r="L1155" s="6"/>
      <c r="M1155" s="6"/>
      <c r="N1155" s="6"/>
    </row>
    <row r="1156" spans="2:14" x14ac:dyDescent="0.3">
      <c r="B1156" s="6"/>
      <c r="C1156" s="6" t="s">
        <v>540</v>
      </c>
      <c r="D1156">
        <v>12</v>
      </c>
      <c r="J1156" s="6"/>
      <c r="K1156" s="6"/>
      <c r="L1156" s="6"/>
      <c r="M1156" s="6"/>
      <c r="N1156" s="6"/>
    </row>
    <row r="1157" spans="2:14" x14ac:dyDescent="0.3">
      <c r="B1157" s="6"/>
      <c r="C1157" s="6" t="s">
        <v>541</v>
      </c>
      <c r="D1157">
        <v>8</v>
      </c>
      <c r="J1157" s="6"/>
      <c r="K1157" s="6"/>
      <c r="L1157" s="6"/>
      <c r="M1157" s="6"/>
      <c r="N1157" s="6"/>
    </row>
    <row r="1158" spans="2:14" x14ac:dyDescent="0.3">
      <c r="B1158" s="6"/>
      <c r="C1158" s="6" t="s">
        <v>542</v>
      </c>
      <c r="D1158">
        <v>5</v>
      </c>
      <c r="J1158" s="6"/>
      <c r="K1158" s="6"/>
      <c r="L1158" s="6"/>
      <c r="M1158" s="6"/>
      <c r="N1158" s="6"/>
    </row>
    <row r="1159" spans="2:14" x14ac:dyDescent="0.3">
      <c r="B1159" s="6"/>
      <c r="C1159" s="6"/>
      <c r="J1159" s="6"/>
      <c r="K1159" s="6"/>
      <c r="L1159" s="6"/>
      <c r="M1159" s="6"/>
      <c r="N1159" s="6"/>
    </row>
    <row r="1160" spans="2:14" x14ac:dyDescent="0.3">
      <c r="B1160" s="6"/>
      <c r="C1160" s="6"/>
      <c r="J1160" s="6"/>
      <c r="K1160" s="6"/>
      <c r="L1160" s="6"/>
      <c r="M1160" s="6"/>
      <c r="N1160" s="6"/>
    </row>
    <row r="1161" spans="2:14" x14ac:dyDescent="0.3">
      <c r="B1161" s="6"/>
      <c r="C1161" s="6"/>
      <c r="J1161" s="6"/>
      <c r="K1161" s="6"/>
      <c r="L1161" s="6"/>
      <c r="M1161" s="6"/>
      <c r="N1161" s="6"/>
    </row>
    <row r="1162" spans="2:14" x14ac:dyDescent="0.3">
      <c r="B1162" s="6"/>
      <c r="C1162" s="6"/>
      <c r="J1162" s="6"/>
      <c r="K1162" s="6"/>
      <c r="L1162" s="6"/>
      <c r="M1162" s="6"/>
      <c r="N1162" s="6"/>
    </row>
    <row r="1163" spans="2:14" x14ac:dyDescent="0.3">
      <c r="B1163" s="6"/>
      <c r="C1163" s="6"/>
      <c r="J1163" s="6"/>
      <c r="K1163" s="6"/>
      <c r="L1163" s="6"/>
      <c r="M1163" s="6"/>
      <c r="N1163" s="6"/>
    </row>
    <row r="1164" spans="2:14" x14ac:dyDescent="0.3">
      <c r="B1164" s="6"/>
      <c r="C1164" s="6"/>
      <c r="J1164" s="6"/>
      <c r="K1164" s="6"/>
      <c r="L1164" s="6"/>
      <c r="M1164" s="6"/>
      <c r="N1164" s="6"/>
    </row>
    <row r="1165" spans="2:14" x14ac:dyDescent="0.3">
      <c r="B1165" s="6"/>
      <c r="C1165" s="6"/>
      <c r="J1165" s="6"/>
      <c r="K1165" s="6"/>
      <c r="L1165" s="6"/>
      <c r="M1165" s="6"/>
      <c r="N1165" s="6"/>
    </row>
    <row r="1178" spans="1:2" x14ac:dyDescent="0.3">
      <c r="B1178" t="s">
        <v>544</v>
      </c>
    </row>
    <row r="1180" spans="1:2" x14ac:dyDescent="0.3">
      <c r="A1180" s="9"/>
      <c r="B1180" t="s">
        <v>545</v>
      </c>
    </row>
    <row r="1181" spans="1:2" x14ac:dyDescent="0.3">
      <c r="B1181" t="s">
        <v>546</v>
      </c>
    </row>
    <row r="1182" spans="1:2" x14ac:dyDescent="0.3">
      <c r="B1182" t="s">
        <v>547</v>
      </c>
    </row>
    <row r="1184" spans="1:2" x14ac:dyDescent="0.3">
      <c r="B1184" t="s">
        <v>44</v>
      </c>
    </row>
    <row r="1185" spans="2:12" x14ac:dyDescent="0.3">
      <c r="B1185" t="s">
        <v>48</v>
      </c>
      <c r="E1185">
        <v>500</v>
      </c>
    </row>
    <row r="1186" spans="2:12" x14ac:dyDescent="0.3">
      <c r="B1186" t="s">
        <v>548</v>
      </c>
      <c r="E1186">
        <v>110</v>
      </c>
    </row>
    <row r="1187" spans="2:12" x14ac:dyDescent="0.3">
      <c r="B1187" t="s">
        <v>549</v>
      </c>
      <c r="E1187">
        <v>112</v>
      </c>
    </row>
    <row r="1188" spans="2:12" x14ac:dyDescent="0.3">
      <c r="B1188" t="s">
        <v>550</v>
      </c>
      <c r="E1188">
        <v>100</v>
      </c>
    </row>
    <row r="1189" spans="2:12" x14ac:dyDescent="0.3">
      <c r="C1189" s="1" t="s">
        <v>53</v>
      </c>
      <c r="E1189">
        <f>SQRT(E1188)</f>
        <v>10</v>
      </c>
    </row>
    <row r="1192" spans="2:12" x14ac:dyDescent="0.3">
      <c r="B1192" t="s">
        <v>551</v>
      </c>
    </row>
    <row r="1193" spans="2:12" x14ac:dyDescent="0.3">
      <c r="B1193" t="s">
        <v>552</v>
      </c>
    </row>
    <row r="1195" spans="2:12" x14ac:dyDescent="0.3">
      <c r="B1195" t="s">
        <v>553</v>
      </c>
    </row>
    <row r="1197" spans="2:12" x14ac:dyDescent="0.3">
      <c r="B1197" t="s">
        <v>554</v>
      </c>
      <c r="H1197" t="s">
        <v>107</v>
      </c>
      <c r="I1197">
        <f>E1189/SQRT(E1185)</f>
        <v>0.44721359549995793</v>
      </c>
      <c r="J1197" t="s">
        <v>651</v>
      </c>
    </row>
    <row r="1198" spans="2:12" x14ac:dyDescent="0.3">
      <c r="B1198" t="s">
        <v>60</v>
      </c>
      <c r="C1198">
        <f>STANDARDIZE(E1186,E1187,I1197)</f>
        <v>-4.4721359549995796</v>
      </c>
      <c r="D1198" t="s">
        <v>652</v>
      </c>
    </row>
    <row r="1199" spans="2:12" ht="33.6" x14ac:dyDescent="0.65">
      <c r="C1199">
        <f>ABS(C1198)</f>
        <v>4.4721359549995796</v>
      </c>
      <c r="D1199" s="13" t="s">
        <v>746</v>
      </c>
      <c r="E1199" s="13"/>
      <c r="F1199" s="13"/>
      <c r="G1199" s="13"/>
      <c r="H1199" s="10"/>
      <c r="I1199" s="10"/>
      <c r="J1199" s="10"/>
      <c r="K1199" s="10"/>
      <c r="L1199" s="10"/>
    </row>
    <row r="1202" spans="2:8" x14ac:dyDescent="0.3">
      <c r="B1202" t="s">
        <v>96</v>
      </c>
      <c r="D1202" s="7">
        <v>0.05</v>
      </c>
      <c r="E1202">
        <f>5/100</f>
        <v>0.05</v>
      </c>
    </row>
    <row r="1204" spans="2:8" x14ac:dyDescent="0.3">
      <c r="B1204" t="s">
        <v>102</v>
      </c>
      <c r="D1204" t="s">
        <v>555</v>
      </c>
    </row>
    <row r="1206" spans="2:8" x14ac:dyDescent="0.3">
      <c r="D1206" t="s">
        <v>63</v>
      </c>
      <c r="E1206">
        <f>ABS(NORMSINV(1-E1202/2))</f>
        <v>1.9599639845400536</v>
      </c>
      <c r="F1206" t="s">
        <v>653</v>
      </c>
    </row>
    <row r="1209" spans="2:8" x14ac:dyDescent="0.3">
      <c r="B1209" t="s">
        <v>64</v>
      </c>
      <c r="C1209" t="str">
        <f>IF(E1207&lt;C1201,"Reject H0", "Do not reject H0")</f>
        <v>Do not reject H0</v>
      </c>
      <c r="E1209" t="s">
        <v>654</v>
      </c>
    </row>
    <row r="1210" spans="2:8" ht="25.8" x14ac:dyDescent="0.5">
      <c r="E1210" s="12" t="s">
        <v>655</v>
      </c>
      <c r="F1210" s="12"/>
      <c r="G1210" s="12"/>
      <c r="H1210" s="10"/>
    </row>
    <row r="1211" spans="2:8" ht="25.8" x14ac:dyDescent="0.5">
      <c r="E1211" s="12" t="s">
        <v>656</v>
      </c>
      <c r="F1211" s="12"/>
      <c r="G1211" s="12"/>
      <c r="H1211" s="10"/>
    </row>
    <row r="1212" spans="2:8" x14ac:dyDescent="0.3">
      <c r="B1212" t="s">
        <v>556</v>
      </c>
    </row>
    <row r="1214" spans="2:8" ht="33.6" x14ac:dyDescent="0.65">
      <c r="B1214" t="s">
        <v>99</v>
      </c>
      <c r="C1214" s="14">
        <f>2*(1-NORMSDIST(C1198))</f>
        <v>1.999992255783569</v>
      </c>
      <c r="D1214" s="13" t="s">
        <v>657</v>
      </c>
      <c r="E1214" s="13"/>
      <c r="F1214" s="11"/>
      <c r="G1214" s="11"/>
      <c r="H1214" s="11"/>
    </row>
    <row r="1216" spans="2:8" ht="31.2" x14ac:dyDescent="0.6">
      <c r="B1216" t="s">
        <v>103</v>
      </c>
      <c r="C1216" t="str">
        <f>IF(C1214&lt;E1202,"Reject Ho","Do not reject H0")</f>
        <v>Do not reject H0</v>
      </c>
      <c r="D1216" s="11" t="s">
        <v>658</v>
      </c>
      <c r="E1216" s="10"/>
      <c r="F1216" s="10"/>
      <c r="G1216" s="10"/>
    </row>
    <row r="1219" spans="2:5" x14ac:dyDescent="0.3">
      <c r="B1219" t="s">
        <v>557</v>
      </c>
    </row>
    <row r="1222" spans="2:5" x14ac:dyDescent="0.3">
      <c r="B1222" t="s">
        <v>551</v>
      </c>
    </row>
    <row r="1223" spans="2:5" x14ac:dyDescent="0.3">
      <c r="B1223" t="s">
        <v>552</v>
      </c>
    </row>
    <row r="1225" spans="2:5" x14ac:dyDescent="0.3">
      <c r="B1225" t="s">
        <v>107</v>
      </c>
    </row>
    <row r="1228" spans="2:5" x14ac:dyDescent="0.3">
      <c r="B1228" t="s">
        <v>96</v>
      </c>
      <c r="D1228">
        <f>5%</f>
        <v>0.05</v>
      </c>
      <c r="E1228">
        <f>5%</f>
        <v>0.05</v>
      </c>
    </row>
    <row r="1230" spans="2:5" x14ac:dyDescent="0.3">
      <c r="B1230" t="s">
        <v>558</v>
      </c>
      <c r="D1230">
        <f>ABS(NORMSINV(E1202/2))</f>
        <v>1.9599639845400538</v>
      </c>
      <c r="E1230" t="s">
        <v>659</v>
      </c>
    </row>
    <row r="1234" spans="2:8" x14ac:dyDescent="0.3">
      <c r="B1234" t="s">
        <v>128</v>
      </c>
      <c r="D1234">
        <f>E1187-D1230*I1197</f>
        <v>111.12347745942341</v>
      </c>
      <c r="E1234" t="s">
        <v>660</v>
      </c>
    </row>
    <row r="1236" spans="2:8" x14ac:dyDescent="0.3">
      <c r="B1236" t="s">
        <v>116</v>
      </c>
      <c r="D1236">
        <f>E1187+D1230*I1197</f>
        <v>112.87652254057659</v>
      </c>
      <c r="E1236" t="s">
        <v>661</v>
      </c>
    </row>
    <row r="1239" spans="2:8" x14ac:dyDescent="0.3">
      <c r="B1239" t="s">
        <v>559</v>
      </c>
    </row>
    <row r="1242" spans="2:8" x14ac:dyDescent="0.3">
      <c r="B1242" t="s">
        <v>560</v>
      </c>
    </row>
    <row r="1243" spans="2:8" x14ac:dyDescent="0.3">
      <c r="B1243" t="s">
        <v>561</v>
      </c>
    </row>
    <row r="1246" spans="2:8" x14ac:dyDescent="0.3">
      <c r="C1246" t="s">
        <v>564</v>
      </c>
      <c r="E1246" t="s">
        <v>565</v>
      </c>
      <c r="H1246" t="s">
        <v>566</v>
      </c>
    </row>
    <row r="1247" spans="2:8" x14ac:dyDescent="0.3">
      <c r="B1247" t="s">
        <v>562</v>
      </c>
      <c r="C1247">
        <v>6000</v>
      </c>
      <c r="E1247">
        <v>80</v>
      </c>
      <c r="H1247">
        <v>100</v>
      </c>
    </row>
    <row r="1249" spans="2:10" x14ac:dyDescent="0.3">
      <c r="B1249" t="s">
        <v>563</v>
      </c>
      <c r="C1249">
        <v>5980</v>
      </c>
      <c r="E1249">
        <v>90</v>
      </c>
      <c r="H1249">
        <v>100</v>
      </c>
    </row>
    <row r="1251" spans="2:10" x14ac:dyDescent="0.3">
      <c r="B1251" t="s">
        <v>567</v>
      </c>
      <c r="J1251" t="s">
        <v>568</v>
      </c>
    </row>
    <row r="1252" spans="2:10" x14ac:dyDescent="0.3">
      <c r="B1252" t="s">
        <v>569</v>
      </c>
    </row>
    <row r="1255" spans="2:10" x14ac:dyDescent="0.3">
      <c r="B1255" t="s">
        <v>44</v>
      </c>
      <c r="D1255" t="s">
        <v>83</v>
      </c>
      <c r="G1255" t="s">
        <v>571</v>
      </c>
    </row>
    <row r="1256" spans="2:10" x14ac:dyDescent="0.3">
      <c r="C1256" t="s">
        <v>85</v>
      </c>
      <c r="D1256">
        <v>100</v>
      </c>
      <c r="G1256" t="s">
        <v>86</v>
      </c>
      <c r="H1256">
        <v>100</v>
      </c>
    </row>
    <row r="1257" spans="2:10" x14ac:dyDescent="0.3">
      <c r="C1257" t="s">
        <v>87</v>
      </c>
      <c r="D1257">
        <v>6000</v>
      </c>
      <c r="G1257" t="s">
        <v>88</v>
      </c>
      <c r="H1257">
        <v>5980</v>
      </c>
    </row>
    <row r="1258" spans="2:10" x14ac:dyDescent="0.3">
      <c r="C1258" t="s">
        <v>570</v>
      </c>
      <c r="D1258">
        <v>80</v>
      </c>
      <c r="G1258" t="s">
        <v>90</v>
      </c>
      <c r="H1258">
        <v>90</v>
      </c>
    </row>
    <row r="1260" spans="2:10" x14ac:dyDescent="0.3">
      <c r="B1260" t="s">
        <v>572</v>
      </c>
    </row>
    <row r="1261" spans="2:10" x14ac:dyDescent="0.3">
      <c r="B1261" t="s">
        <v>573</v>
      </c>
    </row>
    <row r="1263" spans="2:10" x14ac:dyDescent="0.3">
      <c r="B1263" t="s">
        <v>574</v>
      </c>
      <c r="F1263" t="s">
        <v>575</v>
      </c>
    </row>
    <row r="1264" spans="2:10" x14ac:dyDescent="0.3">
      <c r="B1264" t="s">
        <v>576</v>
      </c>
    </row>
    <row r="1266" spans="2:6" x14ac:dyDescent="0.3">
      <c r="B1266" t="s">
        <v>577</v>
      </c>
    </row>
    <row r="1268" spans="2:6" x14ac:dyDescent="0.3">
      <c r="B1268" t="s">
        <v>554</v>
      </c>
      <c r="F1268" t="s">
        <v>107</v>
      </c>
    </row>
    <row r="1270" spans="2:6" x14ac:dyDescent="0.3">
      <c r="B1270" t="s">
        <v>60</v>
      </c>
    </row>
    <row r="1272" spans="2:6" x14ac:dyDescent="0.3">
      <c r="B1272" t="s">
        <v>195</v>
      </c>
      <c r="D1272">
        <f>5%</f>
        <v>0.05</v>
      </c>
    </row>
    <row r="1276" spans="2:6" x14ac:dyDescent="0.3">
      <c r="B1276" t="s">
        <v>578</v>
      </c>
    </row>
    <row r="1278" spans="2:6" x14ac:dyDescent="0.3">
      <c r="B1278" t="s">
        <v>103</v>
      </c>
      <c r="C1278" t="str">
        <f>IF(C1276&lt;D1272,"Reject Ho", "Do not reject Ho")</f>
        <v>Reject Ho</v>
      </c>
    </row>
    <row r="1283" spans="2:6" x14ac:dyDescent="0.3">
      <c r="B1283" t="s">
        <v>579</v>
      </c>
    </row>
    <row r="1285" spans="2:6" x14ac:dyDescent="0.3">
      <c r="B1285" t="s">
        <v>572</v>
      </c>
    </row>
    <row r="1286" spans="2:6" x14ac:dyDescent="0.3">
      <c r="B1286" t="s">
        <v>573</v>
      </c>
    </row>
    <row r="1288" spans="2:6" x14ac:dyDescent="0.3">
      <c r="B1288" t="s">
        <v>574</v>
      </c>
      <c r="F1288" t="s">
        <v>575</v>
      </c>
    </row>
    <row r="1289" spans="2:6" x14ac:dyDescent="0.3">
      <c r="B1289" t="s">
        <v>576</v>
      </c>
    </row>
    <row r="1291" spans="2:6" x14ac:dyDescent="0.3">
      <c r="B1291" t="s">
        <v>577</v>
      </c>
    </row>
    <row r="1293" spans="2:6" x14ac:dyDescent="0.3">
      <c r="B1293" t="s">
        <v>554</v>
      </c>
      <c r="F1293" t="s">
        <v>107</v>
      </c>
    </row>
    <row r="1295" spans="2:6" x14ac:dyDescent="0.3">
      <c r="B1295" t="s">
        <v>60</v>
      </c>
    </row>
    <row r="1297" spans="2:4" x14ac:dyDescent="0.3">
      <c r="B1297" t="s">
        <v>195</v>
      </c>
      <c r="D1297">
        <f>5%</f>
        <v>0.05</v>
      </c>
    </row>
    <row r="1300" spans="2:4" x14ac:dyDescent="0.3">
      <c r="B1300" t="s">
        <v>102</v>
      </c>
    </row>
    <row r="1303" spans="2:4" x14ac:dyDescent="0.3">
      <c r="B1303" t="s">
        <v>103</v>
      </c>
    </row>
    <row r="1305" spans="2:4" x14ac:dyDescent="0.3">
      <c r="B1305">
        <v>2017</v>
      </c>
      <c r="C1305" t="s">
        <v>580</v>
      </c>
    </row>
    <row r="1307" spans="2:4" x14ac:dyDescent="0.3">
      <c r="B1307" t="s">
        <v>581</v>
      </c>
    </row>
    <row r="1308" spans="2:4" x14ac:dyDescent="0.3">
      <c r="B1308" t="s">
        <v>582</v>
      </c>
    </row>
    <row r="1309" spans="2:4" x14ac:dyDescent="0.3">
      <c r="B1309" t="s">
        <v>583</v>
      </c>
    </row>
    <row r="1312" spans="2:4" x14ac:dyDescent="0.3">
      <c r="B1312" t="s">
        <v>44</v>
      </c>
    </row>
    <row r="1317" spans="7:9" x14ac:dyDescent="0.3">
      <c r="G1317" s="8"/>
      <c r="H1317" s="8"/>
      <c r="I1317" s="8"/>
    </row>
    <row r="1367" spans="2:11" x14ac:dyDescent="0.3">
      <c r="B1367">
        <v>2017</v>
      </c>
      <c r="C1367" t="s">
        <v>584</v>
      </c>
    </row>
    <row r="1369" spans="2:11" x14ac:dyDescent="0.3">
      <c r="B1369" t="s">
        <v>587</v>
      </c>
      <c r="K1369" t="s">
        <v>585</v>
      </c>
    </row>
    <row r="1370" spans="2:11" x14ac:dyDescent="0.3">
      <c r="B1370" t="s">
        <v>586</v>
      </c>
    </row>
    <row r="1371" spans="2:11" x14ac:dyDescent="0.3">
      <c r="G1371" t="s">
        <v>787</v>
      </c>
    </row>
    <row r="1372" spans="2:11" x14ac:dyDescent="0.3">
      <c r="B1372" t="s">
        <v>44</v>
      </c>
    </row>
    <row r="1373" spans="2:11" x14ac:dyDescent="0.3">
      <c r="C1373" t="s">
        <v>10</v>
      </c>
      <c r="D1373" t="s">
        <v>588</v>
      </c>
      <c r="E1373" t="s">
        <v>589</v>
      </c>
      <c r="F1373" t="s">
        <v>590</v>
      </c>
    </row>
    <row r="1374" spans="2:11" x14ac:dyDescent="0.3">
      <c r="C1374">
        <v>0</v>
      </c>
      <c r="D1374">
        <v>0.1</v>
      </c>
      <c r="E1374">
        <f>D1374*C1374</f>
        <v>0</v>
      </c>
      <c r="F1374">
        <f>D1374*C1374^2</f>
        <v>0</v>
      </c>
    </row>
    <row r="1375" spans="2:11" x14ac:dyDescent="0.3">
      <c r="C1375">
        <v>1</v>
      </c>
      <c r="D1375">
        <v>0.25</v>
      </c>
      <c r="E1375">
        <f t="shared" ref="E1375:E1379" si="14">D1375*C1375</f>
        <v>0.25</v>
      </c>
      <c r="F1375">
        <f t="shared" ref="F1375:F1379" si="15">D1375*C1375^2</f>
        <v>0.25</v>
      </c>
    </row>
    <row r="1376" spans="2:11" x14ac:dyDescent="0.3">
      <c r="C1376">
        <v>2</v>
      </c>
      <c r="D1376">
        <v>0.3</v>
      </c>
      <c r="E1376">
        <f t="shared" si="14"/>
        <v>0.6</v>
      </c>
      <c r="F1376">
        <f t="shared" si="15"/>
        <v>1.2</v>
      </c>
    </row>
    <row r="1377" spans="2:7" x14ac:dyDescent="0.3">
      <c r="C1377">
        <v>3</v>
      </c>
      <c r="D1377">
        <v>0.2</v>
      </c>
      <c r="E1377">
        <f t="shared" si="14"/>
        <v>0.60000000000000009</v>
      </c>
      <c r="F1377">
        <f t="shared" si="15"/>
        <v>1.8</v>
      </c>
    </row>
    <row r="1378" spans="2:7" x14ac:dyDescent="0.3">
      <c r="C1378">
        <v>4</v>
      </c>
      <c r="D1378">
        <v>0.15</v>
      </c>
      <c r="E1378">
        <f t="shared" si="14"/>
        <v>0.6</v>
      </c>
      <c r="F1378">
        <f t="shared" si="15"/>
        <v>2.4</v>
      </c>
    </row>
    <row r="1379" spans="2:7" x14ac:dyDescent="0.3">
      <c r="C1379">
        <v>5</v>
      </c>
      <c r="D1379">
        <v>0.1</v>
      </c>
      <c r="E1379">
        <f t="shared" si="14"/>
        <v>0.5</v>
      </c>
      <c r="F1379">
        <f t="shared" si="15"/>
        <v>2.5</v>
      </c>
    </row>
    <row r="1383" spans="2:7" x14ac:dyDescent="0.3">
      <c r="C1383" t="s">
        <v>591</v>
      </c>
      <c r="D1383">
        <f>SUM(E1374:E1379)</f>
        <v>2.5500000000000003</v>
      </c>
    </row>
    <row r="1385" spans="2:7" x14ac:dyDescent="0.3">
      <c r="C1385" s="1" t="s">
        <v>592</v>
      </c>
      <c r="D1385">
        <f>SUM(F1374:F1379)</f>
        <v>8.15</v>
      </c>
    </row>
    <row r="1388" spans="2:7" x14ac:dyDescent="0.3">
      <c r="B1388" t="s">
        <v>593</v>
      </c>
    </row>
    <row r="1389" spans="2:7" x14ac:dyDescent="0.3">
      <c r="B1389" t="s">
        <v>594</v>
      </c>
      <c r="E1389">
        <f>4*D1383+7</f>
        <v>17.200000000000003</v>
      </c>
      <c r="F1389" s="10" t="s">
        <v>788</v>
      </c>
      <c r="G1389" s="10"/>
    </row>
    <row r="1390" spans="2:7" x14ac:dyDescent="0.3">
      <c r="F1390" s="10" t="s">
        <v>789</v>
      </c>
      <c r="G1390" s="10"/>
    </row>
    <row r="1391" spans="2:7" x14ac:dyDescent="0.3">
      <c r="B1391" t="s">
        <v>595</v>
      </c>
      <c r="C1391" t="s">
        <v>596</v>
      </c>
      <c r="E1391">
        <f>D1385-D1383^2</f>
        <v>1.6474999999999991</v>
      </c>
      <c r="F1391" s="10"/>
      <c r="G1391" s="10"/>
    </row>
    <row r="1392" spans="2:7" x14ac:dyDescent="0.3">
      <c r="E1392">
        <f>SQRT(E1391)</f>
        <v>1.2835497652993433</v>
      </c>
      <c r="F1392" s="10"/>
      <c r="G1392" s="10"/>
    </row>
    <row r="1393" spans="2:9" x14ac:dyDescent="0.3">
      <c r="B1393" t="s">
        <v>593</v>
      </c>
      <c r="F1393" s="10"/>
      <c r="G1393" s="10"/>
    </row>
    <row r="1394" spans="2:9" x14ac:dyDescent="0.3">
      <c r="B1394" t="s">
        <v>597</v>
      </c>
      <c r="E1394">
        <f>4^2*E1391</f>
        <v>26.359999999999985</v>
      </c>
      <c r="F1394" s="10" t="s">
        <v>790</v>
      </c>
      <c r="G1394" s="10"/>
      <c r="H1394">
        <f>E1392*4</f>
        <v>5.1341990611973731</v>
      </c>
      <c r="I1394" t="s">
        <v>822</v>
      </c>
    </row>
    <row r="1395" spans="2:9" x14ac:dyDescent="0.3">
      <c r="F1395" s="10"/>
      <c r="G1395" s="10"/>
    </row>
    <row r="1396" spans="2:9" x14ac:dyDescent="0.3">
      <c r="B1396" t="s">
        <v>598</v>
      </c>
      <c r="E1396">
        <f>SQRT(E1394)</f>
        <v>5.1341990611973731</v>
      </c>
      <c r="F1396" s="10" t="s">
        <v>791</v>
      </c>
      <c r="G1396" s="10"/>
    </row>
    <row r="1397" spans="2:9" x14ac:dyDescent="0.3">
      <c r="F1397" s="10"/>
      <c r="G1397" s="10"/>
    </row>
    <row r="1398" spans="2:9" x14ac:dyDescent="0.3">
      <c r="B1398" t="s">
        <v>599</v>
      </c>
    </row>
    <row r="1401" spans="2:9" x14ac:dyDescent="0.3">
      <c r="B1401" t="s">
        <v>600</v>
      </c>
    </row>
    <row r="1402" spans="2:9" x14ac:dyDescent="0.3">
      <c r="B1402" t="s">
        <v>601</v>
      </c>
      <c r="H1402" s="10"/>
      <c r="I1402" s="10"/>
    </row>
    <row r="1403" spans="2:9" x14ac:dyDescent="0.3">
      <c r="B1403" t="s">
        <v>602</v>
      </c>
    </row>
    <row r="1405" spans="2:9" x14ac:dyDescent="0.3">
      <c r="B1405" t="s">
        <v>603</v>
      </c>
    </row>
    <row r="1410" spans="2:9" x14ac:dyDescent="0.3">
      <c r="B1410" t="s">
        <v>334</v>
      </c>
    </row>
    <row r="1411" spans="2:9" x14ac:dyDescent="0.3">
      <c r="B1411" t="s">
        <v>343</v>
      </c>
      <c r="C1411">
        <f>5</f>
        <v>5</v>
      </c>
    </row>
    <row r="1412" spans="2:9" x14ac:dyDescent="0.3">
      <c r="B1412" t="s">
        <v>48</v>
      </c>
      <c r="C1412">
        <v>2</v>
      </c>
    </row>
    <row r="1414" spans="2:9" x14ac:dyDescent="0.3">
      <c r="B1414" t="s">
        <v>604</v>
      </c>
    </row>
    <row r="1415" spans="2:9" x14ac:dyDescent="0.3">
      <c r="B1415" t="s">
        <v>605</v>
      </c>
      <c r="C1415">
        <f>COMBIN(C1411,C1412)</f>
        <v>10</v>
      </c>
      <c r="D1415" t="s">
        <v>771</v>
      </c>
    </row>
    <row r="1417" spans="2:9" x14ac:dyDescent="0.3">
      <c r="B1417" t="s">
        <v>606</v>
      </c>
    </row>
    <row r="1418" spans="2:9" x14ac:dyDescent="0.3">
      <c r="B1418" t="s">
        <v>607</v>
      </c>
    </row>
    <row r="1419" spans="2:9" x14ac:dyDescent="0.3">
      <c r="H1419" t="s">
        <v>778</v>
      </c>
    </row>
    <row r="1420" spans="2:9" x14ac:dyDescent="0.3">
      <c r="B1420" t="s">
        <v>608</v>
      </c>
      <c r="E1420" t="s">
        <v>548</v>
      </c>
    </row>
    <row r="1421" spans="2:9" x14ac:dyDescent="0.3">
      <c r="H1421" t="s">
        <v>616</v>
      </c>
    </row>
    <row r="1422" spans="2:9" ht="57.6" x14ac:dyDescent="0.3">
      <c r="B1422">
        <v>2</v>
      </c>
      <c r="C1422">
        <v>4</v>
      </c>
      <c r="E1422">
        <f>AVERAGE(B1422,C1422)</f>
        <v>3</v>
      </c>
      <c r="F1422" s="15" t="s">
        <v>772</v>
      </c>
      <c r="G1422">
        <f>$F$1434</f>
        <v>6.4</v>
      </c>
      <c r="H1422">
        <f>(E1422-G1422)^2</f>
        <v>11.560000000000002</v>
      </c>
      <c r="I1422" t="s">
        <v>775</v>
      </c>
    </row>
    <row r="1423" spans="2:9" x14ac:dyDescent="0.3">
      <c r="B1423">
        <v>2</v>
      </c>
      <c r="C1423">
        <v>6</v>
      </c>
      <c r="E1423">
        <f t="shared" ref="E1423:E1431" si="16">AVERAGE(B1423,C1423)</f>
        <v>4</v>
      </c>
      <c r="G1423">
        <f t="shared" ref="G1423:G1431" si="17">$F$1434</f>
        <v>6.4</v>
      </c>
      <c r="H1423">
        <f t="shared" ref="H1423:H1431" si="18">(E1423-G1423)^2</f>
        <v>5.7600000000000016</v>
      </c>
    </row>
    <row r="1424" spans="2:9" x14ac:dyDescent="0.3">
      <c r="B1424">
        <v>2</v>
      </c>
      <c r="C1424">
        <v>9</v>
      </c>
      <c r="E1424">
        <f t="shared" si="16"/>
        <v>5.5</v>
      </c>
      <c r="G1424">
        <f t="shared" si="17"/>
        <v>6.4</v>
      </c>
      <c r="H1424">
        <f t="shared" si="18"/>
        <v>0.81000000000000061</v>
      </c>
    </row>
    <row r="1425" spans="2:14" x14ac:dyDescent="0.3">
      <c r="B1425">
        <v>2</v>
      </c>
      <c r="C1425">
        <v>11</v>
      </c>
      <c r="E1425">
        <f t="shared" si="16"/>
        <v>6.5</v>
      </c>
      <c r="G1425">
        <f t="shared" si="17"/>
        <v>6.4</v>
      </c>
      <c r="H1425">
        <f t="shared" si="18"/>
        <v>9.9999999999999291E-3</v>
      </c>
    </row>
    <row r="1426" spans="2:14" x14ac:dyDescent="0.3">
      <c r="B1426">
        <v>4</v>
      </c>
      <c r="C1426">
        <v>6</v>
      </c>
      <c r="E1426">
        <f t="shared" si="16"/>
        <v>5</v>
      </c>
      <c r="G1426">
        <f t="shared" si="17"/>
        <v>6.4</v>
      </c>
      <c r="H1426">
        <f t="shared" si="18"/>
        <v>1.9600000000000011</v>
      </c>
    </row>
    <row r="1427" spans="2:14" x14ac:dyDescent="0.3">
      <c r="B1427">
        <v>4</v>
      </c>
      <c r="C1427">
        <v>9</v>
      </c>
      <c r="E1427">
        <f t="shared" si="16"/>
        <v>6.5</v>
      </c>
      <c r="G1427">
        <f t="shared" si="17"/>
        <v>6.4</v>
      </c>
      <c r="H1427">
        <f t="shared" si="18"/>
        <v>9.9999999999999291E-3</v>
      </c>
    </row>
    <row r="1428" spans="2:14" x14ac:dyDescent="0.3">
      <c r="B1428">
        <v>4</v>
      </c>
      <c r="C1428">
        <v>11</v>
      </c>
      <c r="E1428">
        <f t="shared" si="16"/>
        <v>7.5</v>
      </c>
      <c r="G1428">
        <f t="shared" si="17"/>
        <v>6.4</v>
      </c>
      <c r="H1428">
        <f t="shared" si="18"/>
        <v>1.2099999999999993</v>
      </c>
    </row>
    <row r="1429" spans="2:14" x14ac:dyDescent="0.3">
      <c r="B1429">
        <v>6</v>
      </c>
      <c r="C1429">
        <v>9</v>
      </c>
      <c r="E1429">
        <f t="shared" si="16"/>
        <v>7.5</v>
      </c>
      <c r="G1429">
        <f t="shared" si="17"/>
        <v>6.4</v>
      </c>
      <c r="H1429">
        <f t="shared" si="18"/>
        <v>1.2099999999999993</v>
      </c>
    </row>
    <row r="1430" spans="2:14" x14ac:dyDescent="0.3">
      <c r="B1430">
        <v>6</v>
      </c>
      <c r="C1430">
        <v>11</v>
      </c>
      <c r="E1430">
        <f t="shared" si="16"/>
        <v>8.5</v>
      </c>
      <c r="G1430">
        <f t="shared" si="17"/>
        <v>6.4</v>
      </c>
      <c r="H1430">
        <f t="shared" si="18"/>
        <v>4.4099999999999984</v>
      </c>
    </row>
    <row r="1431" spans="2:14" x14ac:dyDescent="0.3">
      <c r="B1431">
        <v>9</v>
      </c>
      <c r="C1431">
        <v>11</v>
      </c>
      <c r="E1431">
        <f t="shared" si="16"/>
        <v>10</v>
      </c>
      <c r="G1431">
        <f t="shared" si="17"/>
        <v>6.4</v>
      </c>
      <c r="H1431">
        <f t="shared" si="18"/>
        <v>12.959999999999997</v>
      </c>
    </row>
    <row r="1432" spans="2:14" x14ac:dyDescent="0.3">
      <c r="H1432">
        <f>SUM(H1422:H1431)</f>
        <v>39.900000000000006</v>
      </c>
    </row>
    <row r="1433" spans="2:14" x14ac:dyDescent="0.3">
      <c r="C1433" t="s">
        <v>773</v>
      </c>
      <c r="H1433" s="10"/>
    </row>
    <row r="1434" spans="2:14" x14ac:dyDescent="0.3">
      <c r="C1434" t="s">
        <v>609</v>
      </c>
      <c r="F1434">
        <f>AVERAGE(E1422:E1431)</f>
        <v>6.4</v>
      </c>
      <c r="G1434" t="s">
        <v>774</v>
      </c>
    </row>
    <row r="1437" spans="2:14" x14ac:dyDescent="0.3">
      <c r="B1437" t="s">
        <v>610</v>
      </c>
      <c r="E1437" t="s">
        <v>613</v>
      </c>
      <c r="I1437">
        <v>1</v>
      </c>
      <c r="J1437">
        <f>RANK(I1437,$I$1437:$I$1441,0)</f>
        <v>5</v>
      </c>
    </row>
    <row r="1438" spans="2:14" x14ac:dyDescent="0.3">
      <c r="B1438">
        <v>2</v>
      </c>
      <c r="E1438">
        <f>B1438^2</f>
        <v>4</v>
      </c>
      <c r="F1438" t="s">
        <v>776</v>
      </c>
      <c r="I1438">
        <v>5</v>
      </c>
      <c r="J1438">
        <v>1</v>
      </c>
      <c r="L1438" t="s">
        <v>817</v>
      </c>
      <c r="M1438">
        <f>SUM(J1437:J1439)</f>
        <v>7</v>
      </c>
      <c r="N1438" t="s">
        <v>818</v>
      </c>
    </row>
    <row r="1439" spans="2:14" x14ac:dyDescent="0.3">
      <c r="B1439">
        <v>4</v>
      </c>
      <c r="E1439">
        <f t="shared" ref="E1439:E1442" si="19">B1439^2</f>
        <v>16</v>
      </c>
      <c r="I1439">
        <v>5</v>
      </c>
      <c r="J1439">
        <f t="shared" ref="J1439:J1441" si="20">RANK(I1439,$I$1437:$I$1441,0)</f>
        <v>1</v>
      </c>
      <c r="M1439">
        <f>POISSON(I1439,3,TRUE)</f>
        <v>0.91608205796869657</v>
      </c>
      <c r="N1439" t="s">
        <v>819</v>
      </c>
    </row>
    <row r="1440" spans="2:14" x14ac:dyDescent="0.3">
      <c r="B1440">
        <v>6</v>
      </c>
      <c r="E1440">
        <f t="shared" si="19"/>
        <v>36</v>
      </c>
      <c r="I1440">
        <v>2</v>
      </c>
      <c r="J1440">
        <f t="shared" si="20"/>
        <v>3</v>
      </c>
    </row>
    <row r="1441" spans="2:11" x14ac:dyDescent="0.3">
      <c r="B1441">
        <v>9</v>
      </c>
      <c r="E1441">
        <f t="shared" si="19"/>
        <v>81</v>
      </c>
      <c r="I1441">
        <v>2</v>
      </c>
      <c r="J1441">
        <f t="shared" si="20"/>
        <v>3</v>
      </c>
    </row>
    <row r="1442" spans="2:11" x14ac:dyDescent="0.3">
      <c r="B1442">
        <v>11</v>
      </c>
      <c r="E1442">
        <f t="shared" si="19"/>
        <v>121</v>
      </c>
    </row>
    <row r="1444" spans="2:11" x14ac:dyDescent="0.3">
      <c r="J1444" t="s">
        <v>820</v>
      </c>
      <c r="K1444">
        <v>2</v>
      </c>
    </row>
    <row r="1445" spans="2:11" x14ac:dyDescent="0.3">
      <c r="J1445" t="s">
        <v>821</v>
      </c>
      <c r="K1445">
        <v>2</v>
      </c>
    </row>
    <row r="1446" spans="2:11" x14ac:dyDescent="0.3">
      <c r="B1446" t="s">
        <v>611</v>
      </c>
      <c r="E1446">
        <f>AVERAGE(B1438:B1442)</f>
        <v>6.4</v>
      </c>
      <c r="F1446" t="s">
        <v>777</v>
      </c>
    </row>
    <row r="1447" spans="2:11" x14ac:dyDescent="0.3">
      <c r="F1447" t="s">
        <v>118</v>
      </c>
    </row>
    <row r="1453" spans="2:11" x14ac:dyDescent="0.3">
      <c r="B1453" t="s">
        <v>612</v>
      </c>
    </row>
    <row r="1455" spans="2:11" x14ac:dyDescent="0.3">
      <c r="B1455" t="s">
        <v>780</v>
      </c>
    </row>
    <row r="1458" spans="2:9" x14ac:dyDescent="0.3">
      <c r="B1458" t="s">
        <v>614</v>
      </c>
      <c r="E1458">
        <f>STDEVP(B1438:B1442)</f>
        <v>3.2619012860600183</v>
      </c>
      <c r="F1458" t="s">
        <v>779</v>
      </c>
    </row>
    <row r="1460" spans="2:9" x14ac:dyDescent="0.3">
      <c r="B1460" t="s">
        <v>615</v>
      </c>
      <c r="D1460">
        <f>E1458/SQRT(C1412)*SQRT((C1411-C1412)/(C1411-1))</f>
        <v>1.9974984355438179</v>
      </c>
      <c r="E1460" s="10" t="s">
        <v>781</v>
      </c>
      <c r="F1460" s="10"/>
      <c r="G1460" s="10"/>
      <c r="H1460" s="10"/>
      <c r="I1460" s="10"/>
    </row>
    <row r="1461" spans="2:9" x14ac:dyDescent="0.3">
      <c r="E1461" s="10"/>
      <c r="F1461" s="10"/>
      <c r="G1461" s="10"/>
      <c r="H1461" s="10"/>
      <c r="I1461" s="10"/>
    </row>
    <row r="1462" spans="2:9" x14ac:dyDescent="0.3">
      <c r="B1462" t="s">
        <v>222</v>
      </c>
      <c r="D1462">
        <f>SQRT(H1432/C1415)</f>
        <v>1.9974984355438181</v>
      </c>
      <c r="E1462" s="10" t="s">
        <v>782</v>
      </c>
      <c r="F1462" s="10"/>
      <c r="G1462" s="10"/>
      <c r="H1462" s="10"/>
      <c r="I1462" s="10"/>
    </row>
    <row r="1465" spans="2:9" s="2" customFormat="1" x14ac:dyDescent="0.3">
      <c r="B1465" s="2">
        <v>2017</v>
      </c>
    </row>
    <row r="1466" spans="2:9" x14ac:dyDescent="0.3">
      <c r="B1466" t="s">
        <v>617</v>
      </c>
    </row>
    <row r="1467" spans="2:9" x14ac:dyDescent="0.3">
      <c r="B1467" t="s">
        <v>618</v>
      </c>
    </row>
    <row r="1469" spans="2:9" x14ac:dyDescent="0.3">
      <c r="B1469" t="s">
        <v>619</v>
      </c>
      <c r="D1469" t="s">
        <v>621</v>
      </c>
    </row>
    <row r="1471" spans="2:9" x14ac:dyDescent="0.3">
      <c r="B1471" t="s">
        <v>620</v>
      </c>
      <c r="D1471" t="s">
        <v>622</v>
      </c>
      <c r="G1471">
        <v>200</v>
      </c>
    </row>
    <row r="1473" spans="2:8" x14ac:dyDescent="0.3">
      <c r="B1473" t="s">
        <v>623</v>
      </c>
    </row>
    <row r="1477" spans="2:8" x14ac:dyDescent="0.3">
      <c r="C1477" t="s">
        <v>7</v>
      </c>
    </row>
    <row r="1478" spans="2:8" x14ac:dyDescent="0.3">
      <c r="G1478" t="s">
        <v>712</v>
      </c>
    </row>
    <row r="1479" spans="2:8" ht="57.6" x14ac:dyDescent="0.3">
      <c r="C1479" t="s">
        <v>259</v>
      </c>
      <c r="D1479" t="s">
        <v>253</v>
      </c>
      <c r="E1479" t="s">
        <v>391</v>
      </c>
      <c r="F1479" s="21" t="s">
        <v>711</v>
      </c>
      <c r="G1479" t="s">
        <v>625</v>
      </c>
      <c r="H1479" s="15" t="s">
        <v>632</v>
      </c>
    </row>
    <row r="1480" spans="2:8" x14ac:dyDescent="0.3">
      <c r="C1480">
        <v>0</v>
      </c>
      <c r="D1480">
        <v>50</v>
      </c>
      <c r="E1480">
        <f>C1480*D1480</f>
        <v>0</v>
      </c>
      <c r="G1480">
        <f>POISSON(C1480,$D$1490,FALSE)</f>
        <v>0.19789869908361465</v>
      </c>
      <c r="H1480">
        <f>$D$1492*G1480</f>
        <v>39.579739816722928</v>
      </c>
    </row>
    <row r="1481" spans="2:8" x14ac:dyDescent="0.3">
      <c r="C1481">
        <v>1</v>
      </c>
      <c r="D1481">
        <v>60</v>
      </c>
      <c r="E1481">
        <f t="shared" ref="E1481:E1485" si="21">C1481*D1481</f>
        <v>60</v>
      </c>
      <c r="G1481">
        <f t="shared" ref="G1481:G1485" si="22">POISSON(C1481,$D$1490,FALSE)</f>
        <v>0.32059589251545573</v>
      </c>
      <c r="H1481">
        <f t="shared" ref="H1481:H1485" si="23">$D$1492*G1481</f>
        <v>64.119178503091149</v>
      </c>
    </row>
    <row r="1482" spans="2:8" x14ac:dyDescent="0.3">
      <c r="C1482">
        <v>2</v>
      </c>
      <c r="D1482">
        <v>40</v>
      </c>
      <c r="E1482">
        <f t="shared" si="21"/>
        <v>80</v>
      </c>
      <c r="G1482">
        <f t="shared" si="22"/>
        <v>0.25968267293751923</v>
      </c>
      <c r="H1482">
        <f t="shared" si="23"/>
        <v>51.936534587503843</v>
      </c>
    </row>
    <row r="1483" spans="2:8" x14ac:dyDescent="0.3">
      <c r="C1483">
        <v>3</v>
      </c>
      <c r="D1483">
        <v>25</v>
      </c>
      <c r="E1483">
        <f t="shared" si="21"/>
        <v>75</v>
      </c>
      <c r="G1483">
        <f t="shared" si="22"/>
        <v>0.14022864338626043</v>
      </c>
      <c r="H1483">
        <f t="shared" si="23"/>
        <v>28.045728677252086</v>
      </c>
    </row>
    <row r="1484" spans="2:8" x14ac:dyDescent="0.3">
      <c r="C1484">
        <v>4</v>
      </c>
      <c r="D1484">
        <v>16</v>
      </c>
      <c r="E1484">
        <f t="shared" si="21"/>
        <v>64</v>
      </c>
      <c r="G1484">
        <f t="shared" si="22"/>
        <v>5.6792600571435474E-2</v>
      </c>
      <c r="H1484">
        <f t="shared" si="23"/>
        <v>11.358520114287094</v>
      </c>
    </row>
    <row r="1485" spans="2:8" x14ac:dyDescent="0.3">
      <c r="C1485">
        <v>5</v>
      </c>
      <c r="D1485">
        <v>9</v>
      </c>
      <c r="E1485">
        <f t="shared" si="21"/>
        <v>45</v>
      </c>
      <c r="G1485">
        <f t="shared" si="22"/>
        <v>1.8400802585145086E-2</v>
      </c>
      <c r="H1485">
        <f t="shared" si="23"/>
        <v>3.6801605170290173</v>
      </c>
    </row>
    <row r="1490" spans="3:8" x14ac:dyDescent="0.3">
      <c r="C1490" t="s">
        <v>624</v>
      </c>
      <c r="D1490">
        <f>SUMPRODUCT(C1480:C1485,D1480:D1485)/SUM(D1480:D1485)</f>
        <v>1.62</v>
      </c>
    </row>
    <row r="1492" spans="3:8" x14ac:dyDescent="0.3">
      <c r="C1492" t="s">
        <v>343</v>
      </c>
      <c r="D1492">
        <f>SUM(D1480:D1485)</f>
        <v>200</v>
      </c>
    </row>
    <row r="1496" spans="3:8" x14ac:dyDescent="0.3">
      <c r="C1496" t="s">
        <v>626</v>
      </c>
    </row>
    <row r="1497" spans="3:8" x14ac:dyDescent="0.3">
      <c r="C1497" t="s">
        <v>627</v>
      </c>
    </row>
    <row r="1499" spans="3:8" x14ac:dyDescent="0.3">
      <c r="C1499" t="s">
        <v>628</v>
      </c>
    </row>
    <row r="1500" spans="3:8" x14ac:dyDescent="0.3">
      <c r="E1500" t="s">
        <v>343</v>
      </c>
      <c r="F1500">
        <v>120</v>
      </c>
    </row>
    <row r="1501" spans="3:8" x14ac:dyDescent="0.3">
      <c r="E1501" t="s">
        <v>48</v>
      </c>
      <c r="F1501">
        <f>5</f>
        <v>5</v>
      </c>
    </row>
    <row r="1502" spans="3:8" x14ac:dyDescent="0.3">
      <c r="C1502" t="s">
        <v>44</v>
      </c>
      <c r="E1502" t="s">
        <v>274</v>
      </c>
      <c r="F1502">
        <v>0.5</v>
      </c>
    </row>
    <row r="1503" spans="3:8" x14ac:dyDescent="0.3">
      <c r="E1503" t="s">
        <v>275</v>
      </c>
      <c r="F1503">
        <f>1-F1502</f>
        <v>0.5</v>
      </c>
    </row>
    <row r="1504" spans="3:8" x14ac:dyDescent="0.3">
      <c r="C1504" t="s">
        <v>259</v>
      </c>
      <c r="D1504" t="s">
        <v>253</v>
      </c>
      <c r="E1504" t="s">
        <v>629</v>
      </c>
      <c r="F1504" t="s">
        <v>630</v>
      </c>
      <c r="H1504" t="s">
        <v>631</v>
      </c>
    </row>
    <row r="1505" spans="3:9" x14ac:dyDescent="0.3">
      <c r="C1505">
        <v>0</v>
      </c>
      <c r="D1505">
        <v>13</v>
      </c>
      <c r="E1505">
        <f>BINOMDIST(C1505,$F$1501,$F$1502,FALSE)</f>
        <v>3.125E-2</v>
      </c>
      <c r="F1505">
        <f>$F$1500*E1505</f>
        <v>3.75</v>
      </c>
    </row>
    <row r="1506" spans="3:9" x14ac:dyDescent="0.3">
      <c r="C1506">
        <v>1</v>
      </c>
      <c r="D1506">
        <v>19</v>
      </c>
      <c r="E1506">
        <f t="shared" ref="E1506:E1510" si="24">BINOMDIST(C1506,$F$1501,$F$1502,FALSE)</f>
        <v>0.15624999999999992</v>
      </c>
      <c r="F1506">
        <f t="shared" ref="F1506:F1510" si="25">$F$1500*E1506</f>
        <v>18.749999999999989</v>
      </c>
    </row>
    <row r="1507" spans="3:9" x14ac:dyDescent="0.3">
      <c r="C1507">
        <v>2</v>
      </c>
      <c r="D1507">
        <v>35</v>
      </c>
      <c r="E1507">
        <f t="shared" si="24"/>
        <v>0.3125</v>
      </c>
      <c r="F1507">
        <f t="shared" si="25"/>
        <v>37.5</v>
      </c>
    </row>
    <row r="1508" spans="3:9" x14ac:dyDescent="0.3">
      <c r="C1508">
        <v>3</v>
      </c>
      <c r="D1508">
        <v>30</v>
      </c>
      <c r="E1508">
        <f t="shared" si="24"/>
        <v>0.3125</v>
      </c>
      <c r="F1508">
        <f t="shared" si="25"/>
        <v>37.5</v>
      </c>
    </row>
    <row r="1509" spans="3:9" x14ac:dyDescent="0.3">
      <c r="C1509">
        <v>4</v>
      </c>
      <c r="D1509">
        <v>15</v>
      </c>
      <c r="E1509">
        <f t="shared" si="24"/>
        <v>0.15624999999999992</v>
      </c>
      <c r="F1509">
        <f t="shared" si="25"/>
        <v>18.749999999999989</v>
      </c>
    </row>
    <row r="1510" spans="3:9" x14ac:dyDescent="0.3">
      <c r="C1510">
        <v>5</v>
      </c>
      <c r="D1510">
        <v>8</v>
      </c>
      <c r="E1510">
        <f t="shared" si="24"/>
        <v>3.125E-2</v>
      </c>
      <c r="F1510">
        <f t="shared" si="25"/>
        <v>3.75</v>
      </c>
    </row>
    <row r="1511" spans="3:9" ht="72" x14ac:dyDescent="0.3">
      <c r="C1511" s="20" t="s">
        <v>629</v>
      </c>
      <c r="D1511" s="15" t="s">
        <v>707</v>
      </c>
    </row>
    <row r="1512" spans="3:9" x14ac:dyDescent="0.3">
      <c r="C1512" s="20" t="s">
        <v>708</v>
      </c>
      <c r="D1512" s="15"/>
    </row>
    <row r="1513" spans="3:9" x14ac:dyDescent="0.3">
      <c r="C1513" s="20" t="s">
        <v>709</v>
      </c>
      <c r="D1513" s="15">
        <v>0</v>
      </c>
      <c r="E1513">
        <v>1</v>
      </c>
      <c r="F1513">
        <v>2</v>
      </c>
      <c r="G1513">
        <v>3</v>
      </c>
      <c r="H1513">
        <v>4</v>
      </c>
      <c r="I1513">
        <v>5</v>
      </c>
    </row>
    <row r="1514" spans="3:9" x14ac:dyDescent="0.3">
      <c r="C1514" s="20" t="s">
        <v>710</v>
      </c>
      <c r="D1514" s="15">
        <v>3.75</v>
      </c>
      <c r="E1514">
        <v>18.75</v>
      </c>
      <c r="F1514">
        <v>37.5</v>
      </c>
      <c r="G1514">
        <v>37.5</v>
      </c>
      <c r="H1514">
        <v>18.75</v>
      </c>
      <c r="I1514">
        <v>3.75</v>
      </c>
    </row>
    <row r="1517" spans="3:9" x14ac:dyDescent="0.3">
      <c r="C1517" t="s">
        <v>633</v>
      </c>
    </row>
    <row r="1519" spans="3:9" x14ac:dyDescent="0.3">
      <c r="C1519" t="s">
        <v>634</v>
      </c>
    </row>
    <row r="1521" spans="3:11" x14ac:dyDescent="0.3">
      <c r="C1521" t="s">
        <v>635</v>
      </c>
      <c r="G1521">
        <v>1000</v>
      </c>
    </row>
    <row r="1523" spans="3:11" x14ac:dyDescent="0.3">
      <c r="E1523" t="s">
        <v>48</v>
      </c>
      <c r="F1523">
        <v>5</v>
      </c>
    </row>
    <row r="1524" spans="3:11" x14ac:dyDescent="0.3">
      <c r="C1524" t="s">
        <v>72</v>
      </c>
      <c r="E1524" t="s">
        <v>343</v>
      </c>
      <c r="F1524">
        <v>1000</v>
      </c>
    </row>
    <row r="1526" spans="3:11" x14ac:dyDescent="0.3">
      <c r="C1526" t="s">
        <v>713</v>
      </c>
      <c r="D1526" t="s">
        <v>253</v>
      </c>
      <c r="E1526" t="s">
        <v>715</v>
      </c>
      <c r="F1526" t="s">
        <v>717</v>
      </c>
      <c r="G1526" t="s">
        <v>718</v>
      </c>
      <c r="I1526" t="s">
        <v>721</v>
      </c>
      <c r="K1526" t="s">
        <v>722</v>
      </c>
    </row>
    <row r="1527" spans="3:11" x14ac:dyDescent="0.3">
      <c r="C1527">
        <v>0</v>
      </c>
      <c r="D1527">
        <v>38</v>
      </c>
      <c r="E1527">
        <f>BINOMDIST(C1527,$F$1523,$D$1535,FALSE)</f>
        <v>3.3170543247775998E-2</v>
      </c>
      <c r="F1527">
        <f>$F$1524*E1527</f>
        <v>33.170543247775996</v>
      </c>
      <c r="G1527">
        <f>ROUND(F1527,0)</f>
        <v>33</v>
      </c>
      <c r="I1527" t="s">
        <v>719</v>
      </c>
      <c r="K1527" t="s">
        <v>720</v>
      </c>
    </row>
    <row r="1528" spans="3:11" x14ac:dyDescent="0.3">
      <c r="C1528">
        <v>1</v>
      </c>
      <c r="D1528">
        <v>144</v>
      </c>
      <c r="E1528">
        <f t="shared" ref="E1528:E1532" si="26">BINOMDIST(C1528,$F$1523,$D$1535,FALSE)</f>
        <v>0.16191945024112003</v>
      </c>
      <c r="F1528">
        <f t="shared" ref="F1528:F1532" si="27">$F$1524*E1528</f>
        <v>161.91945024112005</v>
      </c>
      <c r="G1528">
        <f t="shared" ref="G1528:G1532" si="28">ROUND(F1528,0)</f>
        <v>162</v>
      </c>
      <c r="I1528" t="s">
        <v>718</v>
      </c>
      <c r="K1528" t="s">
        <v>723</v>
      </c>
    </row>
    <row r="1529" spans="3:11" x14ac:dyDescent="0.3">
      <c r="C1529">
        <v>2</v>
      </c>
      <c r="D1529">
        <v>342</v>
      </c>
      <c r="E1529">
        <f t="shared" si="26"/>
        <v>0.31615892655775996</v>
      </c>
      <c r="F1529">
        <f t="shared" si="27"/>
        <v>316.15892655775997</v>
      </c>
      <c r="G1529">
        <f t="shared" si="28"/>
        <v>316</v>
      </c>
    </row>
    <row r="1530" spans="3:11" x14ac:dyDescent="0.3">
      <c r="C1530">
        <v>3</v>
      </c>
      <c r="D1530">
        <v>287</v>
      </c>
      <c r="E1530">
        <f t="shared" si="26"/>
        <v>0.30866108640223999</v>
      </c>
      <c r="F1530">
        <f t="shared" si="27"/>
        <v>308.66108640224002</v>
      </c>
      <c r="G1530">
        <f t="shared" si="28"/>
        <v>309</v>
      </c>
    </row>
    <row r="1531" spans="3:11" x14ac:dyDescent="0.3">
      <c r="C1531">
        <v>4</v>
      </c>
      <c r="D1531">
        <v>164</v>
      </c>
      <c r="E1531">
        <f t="shared" si="26"/>
        <v>0.15067053031887995</v>
      </c>
      <c r="F1531">
        <f t="shared" si="27"/>
        <v>150.67053031887994</v>
      </c>
      <c r="G1531">
        <f t="shared" si="28"/>
        <v>151</v>
      </c>
    </row>
    <row r="1532" spans="3:11" x14ac:dyDescent="0.3">
      <c r="C1532">
        <v>5</v>
      </c>
      <c r="D1532">
        <v>25</v>
      </c>
      <c r="E1532">
        <f t="shared" si="26"/>
        <v>2.9419463232224018E-2</v>
      </c>
      <c r="F1532">
        <f t="shared" si="27"/>
        <v>29.419463232224018</v>
      </c>
      <c r="G1532">
        <f t="shared" si="28"/>
        <v>29</v>
      </c>
    </row>
    <row r="1533" spans="3:11" x14ac:dyDescent="0.3">
      <c r="F1533">
        <f>SUM(F1527:F1532)</f>
        <v>1000</v>
      </c>
      <c r="G1533">
        <f>SUM(G1527:G1532)</f>
        <v>1000</v>
      </c>
    </row>
    <row r="1534" spans="3:11" x14ac:dyDescent="0.3">
      <c r="C1534" t="s">
        <v>714</v>
      </c>
      <c r="D1534">
        <f>SUMPRODUCT(C1527:C1532,D1527:D1532)/SUM(D1527:D1532)</f>
        <v>2.4700000000000002</v>
      </c>
    </row>
    <row r="1535" spans="3:11" x14ac:dyDescent="0.3">
      <c r="C1535" t="s">
        <v>716</v>
      </c>
      <c r="D1535">
        <f>D1534/F1523</f>
        <v>0.49400000000000005</v>
      </c>
    </row>
    <row r="1540" spans="2:8" x14ac:dyDescent="0.3">
      <c r="B1540" t="s">
        <v>636</v>
      </c>
    </row>
    <row r="1541" spans="2:8" x14ac:dyDescent="0.3">
      <c r="B1541" t="s">
        <v>637</v>
      </c>
      <c r="C1541">
        <v>0</v>
      </c>
      <c r="D1541">
        <v>1</v>
      </c>
      <c r="E1541">
        <v>2</v>
      </c>
      <c r="F1541">
        <v>3</v>
      </c>
      <c r="G1541">
        <v>4</v>
      </c>
      <c r="H1541">
        <v>5</v>
      </c>
    </row>
    <row r="1542" spans="2:8" ht="43.2" x14ac:dyDescent="0.3">
      <c r="B1542" s="15" t="s">
        <v>724</v>
      </c>
      <c r="C1542">
        <v>33</v>
      </c>
      <c r="D1542">
        <v>162</v>
      </c>
      <c r="E1542">
        <v>316</v>
      </c>
      <c r="F1542">
        <v>309</v>
      </c>
      <c r="G1542">
        <v>151</v>
      </c>
      <c r="H1542">
        <v>29</v>
      </c>
    </row>
  </sheetData>
  <printOptions gridLines="1"/>
  <pageMargins left="0.7" right="0.7" top="0.75" bottom="0.75" header="0.3" footer="0.3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shibu Sharma</cp:lastModifiedBy>
  <dcterms:created xsi:type="dcterms:W3CDTF">2017-05-01T01:36:22Z</dcterms:created>
  <dcterms:modified xsi:type="dcterms:W3CDTF">2024-01-19T16:34:55Z</dcterms:modified>
</cp:coreProperties>
</file>