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A5CB427E-8AA9-4A49-A060-FCF4018C4DD5}" xr6:coauthVersionLast="47" xr6:coauthVersionMax="47" xr10:uidLastSave="{00000000-0000-0000-0000-000000000000}"/>
  <bookViews>
    <workbookView xWindow="13410" yWindow="0" windowWidth="22680" windowHeight="20985" tabRatio="809" activeTab="1" xr2:uid="{939E3A0E-BA0B-442B-84B0-B7815D6CBC2B}"/>
  </bookViews>
  <sheets>
    <sheet name="Species" sheetId="17" r:id="rId1"/>
    <sheet name="Species_Stats" sheetId="16" r:id="rId2"/>
    <sheet name="Species_OLD" sheetId="1" r:id="rId3"/>
    <sheet name="_TMPLT_Character" sheetId="8" r:id="rId4"/>
    <sheet name="Calculator" sheetId="5" r:id="rId5"/>
    <sheet name="Wryonin" sheetId="13" r:id="rId6"/>
    <sheet name="Cat Soldier" sheetId="14" r:id="rId7"/>
    <sheet name="Weapons" sheetId="9" r:id="rId8"/>
    <sheet name="Features" sheetId="11" r:id="rId9"/>
    <sheet name="Features (Species)" sheetId="12" r:id="rId10"/>
    <sheet name="STAT COSTS" sheetId="7" r:id="rId11"/>
    <sheet name="Sources" sheetId="4" r:id="rId12"/>
    <sheet name="Changelog" sheetId="10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5" l="1"/>
  <c r="O14" i="5"/>
  <c r="A7" i="5"/>
  <c r="A5" i="5"/>
  <c r="G19" i="5" a="1"/>
  <c r="G27" i="5" a="1"/>
  <c r="G20" i="5" a="1"/>
  <c r="G21" i="5" a="1"/>
  <c r="G22" i="5" a="1"/>
  <c r="G25" i="5" a="1"/>
  <c r="G26" i="5" a="1"/>
  <c r="G23" i="5" a="1"/>
  <c r="G24" i="5" a="1"/>
  <c r="G18" i="5" a="1"/>
  <c r="E19" i="5" a="1"/>
  <c r="E27" i="5" a="1"/>
  <c r="E22" i="5" a="1"/>
  <c r="E24" i="5" a="1"/>
  <c r="E25" i="5" a="1"/>
  <c r="E20" i="5" a="1"/>
  <c r="E23" i="5" a="1"/>
  <c r="E21" i="5" a="1"/>
  <c r="E26" i="5" a="1"/>
  <c r="C19" i="5" a="1"/>
  <c r="C27" i="5" a="1"/>
  <c r="C21" i="5" a="1"/>
  <c r="C24" i="5" a="1"/>
  <c r="C20" i="5" a="1"/>
  <c r="C25" i="5" a="1"/>
  <c r="C22" i="5" a="1"/>
  <c r="C26" i="5" a="1"/>
  <c r="C23" i="5" a="1"/>
  <c r="C18" i="5" a="1"/>
  <c r="B19" i="5" a="1"/>
  <c r="B27" i="5" a="1"/>
  <c r="B21" i="5" a="1"/>
  <c r="B22" i="5" a="1"/>
  <c r="B25" i="5" a="1"/>
  <c r="B26" i="5" a="1"/>
  <c r="B20" i="5" a="1"/>
  <c r="B24" i="5" a="1"/>
  <c r="B23" i="5" a="1"/>
  <c r="B18" i="5" a="1"/>
  <c r="G24" i="5" l="1"/>
  <c r="F24" i="5" s="1"/>
  <c r="G23" i="5"/>
  <c r="F23" i="5" s="1"/>
  <c r="G26" i="5"/>
  <c r="F26" i="5" s="1"/>
  <c r="G25" i="5"/>
  <c r="F25" i="5" s="1"/>
  <c r="G22" i="5"/>
  <c r="F22" i="5" s="1"/>
  <c r="G21" i="5"/>
  <c r="F21" i="5" s="1"/>
  <c r="G20" i="5"/>
  <c r="F20" i="5" s="1"/>
  <c r="G27" i="5"/>
  <c r="F27" i="5" s="1"/>
  <c r="G19" i="5"/>
  <c r="F19" i="5" s="1"/>
  <c r="G18" i="5"/>
  <c r="F18" i="5" s="1"/>
  <c r="E26" i="5"/>
  <c r="D26" i="5" s="1"/>
  <c r="E21" i="5"/>
  <c r="D21" i="5" s="1"/>
  <c r="E23" i="5"/>
  <c r="D23" i="5" s="1"/>
  <c r="E20" i="5"/>
  <c r="D20" i="5" s="1"/>
  <c r="E25" i="5"/>
  <c r="D25" i="5" s="1"/>
  <c r="E24" i="5"/>
  <c r="D24" i="5" s="1"/>
  <c r="E22" i="5"/>
  <c r="D22" i="5" s="1"/>
  <c r="E27" i="5"/>
  <c r="D27" i="5" s="1"/>
  <c r="E19" i="5"/>
  <c r="D19" i="5" s="1"/>
  <c r="C23" i="5"/>
  <c r="C26" i="5"/>
  <c r="C22" i="5"/>
  <c r="C25" i="5"/>
  <c r="C20" i="5"/>
  <c r="C24" i="5"/>
  <c r="C21" i="5"/>
  <c r="C27" i="5"/>
  <c r="C19" i="5"/>
  <c r="C18" i="5"/>
  <c r="B23" i="5"/>
  <c r="B24" i="5"/>
  <c r="B20" i="5"/>
  <c r="B26" i="5"/>
  <c r="B25" i="5"/>
  <c r="B22" i="5"/>
  <c r="B21" i="5"/>
  <c r="B27" i="5"/>
  <c r="B19" i="5"/>
  <c r="B18" i="5"/>
  <c r="A12" i="5" l="1"/>
  <c r="A11" i="5"/>
  <c r="A10" i="5"/>
  <c r="A9" i="5"/>
  <c r="A8" i="5"/>
  <c r="D6" i="14"/>
  <c r="D6" i="13"/>
  <c r="F6" i="14"/>
  <c r="E6" i="14"/>
  <c r="B6" i="14"/>
  <c r="F6" i="13"/>
  <c r="E10" i="14"/>
  <c r="E9" i="14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E23" i="14"/>
  <c r="D23" i="14"/>
  <c r="E22" i="14"/>
  <c r="D22" i="14"/>
  <c r="D21" i="14"/>
  <c r="F21" i="14" s="1"/>
  <c r="D20" i="14"/>
  <c r="D19" i="14"/>
  <c r="F19" i="14" s="1"/>
  <c r="D18" i="14"/>
  <c r="D17" i="14"/>
  <c r="F17" i="14" s="1"/>
  <c r="D16" i="14"/>
  <c r="D15" i="14"/>
  <c r="F15" i="14" s="1"/>
  <c r="D14" i="14"/>
  <c r="F14" i="14" s="1"/>
  <c r="D13" i="14"/>
  <c r="F13" i="14" s="1"/>
  <c r="E12" i="14"/>
  <c r="D12" i="14"/>
  <c r="D11" i="14"/>
  <c r="F11" i="14" s="1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E23" i="13"/>
  <c r="D23" i="13"/>
  <c r="E22" i="13"/>
  <c r="D22" i="13"/>
  <c r="D21" i="13"/>
  <c r="F21" i="13" s="1"/>
  <c r="D20" i="13"/>
  <c r="D19" i="13"/>
  <c r="F19" i="13" s="1"/>
  <c r="D18" i="13"/>
  <c r="D17" i="13"/>
  <c r="F17" i="13" s="1"/>
  <c r="D16" i="13"/>
  <c r="D15" i="13"/>
  <c r="F15" i="13" s="1"/>
  <c r="D14" i="13"/>
  <c r="F14" i="13" s="1"/>
  <c r="D13" i="13"/>
  <c r="F13" i="13" s="1"/>
  <c r="E12" i="13"/>
  <c r="D12" i="13"/>
  <c r="D11" i="13"/>
  <c r="F11" i="13" s="1"/>
  <c r="E10" i="13"/>
  <c r="D10" i="13"/>
  <c r="E9" i="13"/>
  <c r="D9" i="13"/>
  <c r="F9" i="13" s="1"/>
  <c r="E18" i="5" a="1"/>
  <c r="E12" i="5" a="1"/>
  <c r="C12" i="5" a="1"/>
  <c r="E11" i="5" a="1"/>
  <c r="C11" i="5" a="1"/>
  <c r="E10" i="5" a="1"/>
  <c r="C10" i="5" a="1"/>
  <c r="E8" i="5" a="1"/>
  <c r="C8" i="5" a="1"/>
  <c r="E7" i="5" a="1"/>
  <c r="C7" i="5" a="1"/>
  <c r="F9" i="5" a="1"/>
  <c r="E6" i="5" a="1"/>
  <c r="E5" i="5" a="1"/>
  <c r="C6" i="5" a="1"/>
  <c r="C5" i="5" a="1"/>
  <c r="E18" i="5" l="1"/>
  <c r="D18" i="5" s="1"/>
  <c r="E12" i="5"/>
  <c r="C12" i="5"/>
  <c r="E11" i="5"/>
  <c r="C11" i="5"/>
  <c r="E10" i="5"/>
  <c r="C10" i="5"/>
  <c r="E8" i="5"/>
  <c r="C8" i="5"/>
  <c r="E7" i="5"/>
  <c r="C7" i="5"/>
  <c r="F9" i="5"/>
  <c r="E6" i="5"/>
  <c r="E5" i="5"/>
  <c r="C6" i="5"/>
  <c r="G6" i="5" s="1"/>
  <c r="C5" i="5"/>
  <c r="F23" i="14"/>
  <c r="F22" i="13"/>
  <c r="F10" i="14"/>
  <c r="F22" i="14"/>
  <c r="F12" i="14"/>
  <c r="F9" i="14"/>
  <c r="E20" i="14"/>
  <c r="F20" i="14" s="1"/>
  <c r="E18" i="14"/>
  <c r="F18" i="14" s="1"/>
  <c r="E16" i="14"/>
  <c r="F16" i="14" s="1"/>
  <c r="F23" i="13"/>
  <c r="F12" i="13"/>
  <c r="F10" i="13"/>
  <c r="E18" i="13"/>
  <c r="F18" i="13" s="1"/>
  <c r="E16" i="13"/>
  <c r="F16" i="13" s="1"/>
  <c r="E20" i="13"/>
  <c r="F20" i="13" s="1"/>
  <c r="G11" i="5" l="1"/>
  <c r="G12" i="5"/>
  <c r="G10" i="5"/>
  <c r="G7" i="5"/>
  <c r="G5" i="5"/>
  <c r="H9" i="5" l="1"/>
  <c r="F8" i="5" a="1"/>
  <c r="F8" i="5" l="1"/>
  <c r="G8" i="5" s="1"/>
  <c r="G9" i="5" l="1"/>
  <c r="H12" i="5"/>
  <c r="H10" i="5" l="1"/>
  <c r="H11" i="5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<sst xmlns="http://schemas.openxmlformats.org/spreadsheetml/2006/main" count="456" uniqueCount="147">
  <si>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</si>
  <si>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</si>
  <si>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</si>
  <si>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</si>
  <si>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</si>
  <si>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</si>
  <si>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</si>
  <si>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</si>
  <si>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</si>
  <si>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</si>
  <si>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</si>
  <si>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</si>
  <si>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</si>
  <si>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</si>
  <si>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</si>
  <si>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</si>
  <si>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</si>
  <si>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</si>
  <si>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</si>
  <si>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</si>
  <si>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</si>
  <si>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</si>
  <si>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</si>
  <si>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</si>
  <si>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</si>
  <si>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</si>
  <si>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</si>
  <si>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</si>
  <si>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</si>
  <si>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</si>
  <si>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</si>
  <si>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</si>
  <si>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</si>
  <si>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</si>
  <si>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</si>
  <si>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</si>
  <si>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</si>
  <si>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</si>
  <si>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</si>
  <si>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</si>
  <si>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</si>
  <si>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</si>
  <si>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</si>
  <si>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</si>
  <si>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</si>
  <si>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</si>
  <si>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</si>
  <si>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</si>
  <si>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</si>
  <si>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</si>
  <si>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</si>
  <si>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</si>
  <si>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</si>
  <si>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</si>
  <si>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</si>
  <si>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</si>
  <si>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</si>
  <si>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</si>
  <si>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</si>
  <si>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</si>
  <si>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</si>
  <si>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</si>
  <si>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</si>
  <si>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</si>
  <si>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</si>
  <si>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</si>
  <si>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</si>
  <si>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</si>
  <si>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</si>
  <si>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</si>
  <si>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</si>
  <si>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</si>
  <si>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</si>
  <si>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</si>
  <si>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</si>
  <si>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</si>
  <si>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</si>
  <si>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</si>
  <si>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</si>
  <si>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</si>
  <si>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</si>
  <si>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</si>
  <si>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</si>
  <si>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</si>
  <si>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</si>
  <si>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</si>
  <si>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</si>
  <si>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</si>
  <si>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</si>
  <si>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</si>
  <si>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</si>
  <si>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</si>
  <si>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</si>
  <si>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</si>
  <si>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</si>
  <si>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</si>
  <si>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</si>
  <si>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</si>
  <si>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</si>
  <si>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</si>
  <si>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</si>
  <si>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</si>
  <si>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</si>
  <si>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</si>
  <si>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</si>
  <si>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</si>
  <si>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</si>
  <si>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</si>
  <si>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</si>
  <si>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</si>
  <si>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</si>
  <si>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</si>
  <si>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</si>
  <si>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</si>
  <si>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</si>
  <si>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</si>
  <si>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</si>
  <si>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</si>
  <si>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</si>
  <si>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</si>
  <si>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</si>
  <si>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</si>
  <si>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</si>
  <si>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</si>
  <si>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</si>
  <si>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</si>
  <si>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</si>
  <si>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</si>
  <si>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</si>
  <si>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</si>
  <si>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</si>
  <si>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</si>
  <si>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</si>
  <si>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</si>
  <si>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</si>
  <si>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UNCONSCIOUS</t>
  </si>
  <si>
    <t>WOUNDED</t>
  </si>
  <si>
    <t>WP</t>
  </si>
  <si>
    <t>Max WP</t>
  </si>
  <si>
    <t>Time</t>
  </si>
  <si>
    <t>Attacker WP</t>
  </si>
  <si>
    <t>Defender WP</t>
  </si>
  <si>
    <t>DEAD</t>
  </si>
  <si>
    <t>Age Factor</t>
  </si>
  <si>
    <t>Max Health Factor</t>
  </si>
  <si>
    <t>Group</t>
  </si>
  <si>
    <t>Strength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</si>
</sst>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164" fontId="4" fillId="4" borderId="0" xfId="0" applyNumberFormat="1" applyFont="1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eld\Documents\Story\AgranariTTRPG\Test\test_runs_combat.xlsx" TargetMode="External"/><Relationship Id="rId1" Type="http://schemas.openxmlformats.org/officeDocument/2006/relationships/externalLinkPath" Target="Test/test_runs_comb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TEST_Runs"/>
      <sheetName val="_TEST_Characters"/>
    </sheetNames>
    <sheetDataSet>
      <sheetData sheetId="0">
        <row r="262">
          <cell r="C262" t="e">
            <v>#REF!</v>
          </cell>
        </row>
        <row r="263">
          <cell r="C263" t="e">
            <v>#REF!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513-BF32-474C-B61F-C58DA5E495C3}">
  <dimension ref="A3:A10"/>
  <sheetViews>
    <sheetView workbookViewId="0">
      <selection activeCell="A11" sqref="A11"/>
    </sheetView>
  </sheetViews>
  <sheetFormatPr defaultRowHeight="15" x14ac:dyDescent="0.25"/>
  <sheetData>
    <row r="3" spans="1:1" s="1" customFormat="1" x14ac:dyDescent="0.25">
      <c r="A3" s="1" t="s">
        <v>1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1A73-5AE0-4FAB-8706-E355FE46DD1E}">
  <dimension ref="A3:G18"/>
  <sheetViews>
    <sheetView tabSelected="1" workbookViewId="0">
      <selection activeCell="F16" sqref="F16"/>
    </sheetView>
  </sheetViews>
  <sheetFormatPr defaultRowHeight="15" x14ac:dyDescent="0.25"/>
  <cols>
    <col min="2" max="2" width="22.85546875" bestFit="1" customWidth="1"/>
    <col min="3" max="3" width="8.5703125" customWidth="1"/>
    <col min="5" max="5" width="10.28515625" bestFit="1" customWidth="1"/>
  </cols>
  <sheetData>
    <row r="3" spans="1:7" s="1" customFormat="1" x14ac:dyDescent="0.25">
      <c r="A3" s="1" t="s">
        <v>1</v>
      </c>
      <c r="B3" s="1" t="s">
        <v>59</v>
      </c>
      <c r="C3" s="1" t="s">
        <v>145</v>
      </c>
      <c r="D3" s="1" t="s">
        <v>64</v>
      </c>
      <c r="E3" s="1" t="s">
        <v>143</v>
      </c>
      <c r="F3" s="1" t="s">
        <v>144</v>
      </c>
      <c r="G3" s="1" t="s">
        <v>146</v>
      </c>
    </row>
    <row r="4" spans="1:7" x14ac:dyDescent="0.25">
      <c r="A4" t="s">
        <v>23</v>
      </c>
      <c r="B4" t="s">
        <v>2</v>
      </c>
      <c r="E4">
        <v>15</v>
      </c>
    </row>
    <row r="5" spans="1:7" x14ac:dyDescent="0.25">
      <c r="A5" t="s">
        <v>23</v>
      </c>
      <c r="B5" t="s">
        <v>16</v>
      </c>
      <c r="E5">
        <v>3.5</v>
      </c>
    </row>
    <row r="6" spans="1:7" x14ac:dyDescent="0.25">
      <c r="A6" t="s">
        <v>23</v>
      </c>
      <c r="B6" t="s">
        <v>22</v>
      </c>
      <c r="E6">
        <v>0.15</v>
      </c>
    </row>
    <row r="7" spans="1:7" x14ac:dyDescent="0.25">
      <c r="A7" t="s">
        <v>23</v>
      </c>
      <c r="B7" t="s">
        <v>13</v>
      </c>
      <c r="F7">
        <v>0.1</v>
      </c>
    </row>
    <row r="8" spans="1:7" x14ac:dyDescent="0.25">
      <c r="A8" t="s">
        <v>23</v>
      </c>
      <c r="B8" t="s">
        <v>14</v>
      </c>
      <c r="F8">
        <v>0.1</v>
      </c>
    </row>
    <row r="9" spans="1:7" x14ac:dyDescent="0.25">
      <c r="A9" t="s">
        <v>23</v>
      </c>
      <c r="B9" t="s">
        <v>11</v>
      </c>
      <c r="F9">
        <v>0.05</v>
      </c>
    </row>
    <row r="10" spans="1:7" x14ac:dyDescent="0.25">
      <c r="A10" t="s">
        <v>23</v>
      </c>
      <c r="B10" t="s">
        <v>12</v>
      </c>
      <c r="F10">
        <v>0.05</v>
      </c>
    </row>
    <row r="11" spans="1:7" x14ac:dyDescent="0.25">
      <c r="A11" t="s">
        <v>23</v>
      </c>
      <c r="B11" t="s">
        <v>19</v>
      </c>
      <c r="F11">
        <v>0.5</v>
      </c>
    </row>
    <row r="12" spans="1:7" x14ac:dyDescent="0.25">
      <c r="A12" t="s">
        <v>23</v>
      </c>
      <c r="B12" t="s">
        <v>20</v>
      </c>
      <c r="F12">
        <v>0.3</v>
      </c>
    </row>
    <row r="13" spans="1:7" x14ac:dyDescent="0.25">
      <c r="A13" t="s">
        <v>23</v>
      </c>
      <c r="B13" t="s">
        <v>17</v>
      </c>
      <c r="E13">
        <v>1.75</v>
      </c>
    </row>
    <row r="14" spans="1:7" x14ac:dyDescent="0.25">
      <c r="A14" t="s">
        <v>23</v>
      </c>
      <c r="B14" t="s">
        <v>18</v>
      </c>
      <c r="E14">
        <v>0.01</v>
      </c>
    </row>
    <row r="15" spans="1:7" x14ac:dyDescent="0.25">
      <c r="A15" t="s">
        <v>23</v>
      </c>
      <c r="B15" t="s">
        <v>7</v>
      </c>
      <c r="C15" t="s">
        <v>68</v>
      </c>
      <c r="G15">
        <v>0.1</v>
      </c>
    </row>
    <row r="16" spans="1:7" x14ac:dyDescent="0.25">
      <c r="A16" t="s">
        <v>23</v>
      </c>
      <c r="B16" t="s">
        <v>10</v>
      </c>
      <c r="E16">
        <v>1</v>
      </c>
    </row>
    <row r="17" spans="1:5" x14ac:dyDescent="0.25">
      <c r="A17" t="s">
        <v>26</v>
      </c>
      <c r="B17" t="s">
        <v>17</v>
      </c>
      <c r="E17">
        <v>2.5</v>
      </c>
    </row>
    <row r="18" spans="1:5" x14ac:dyDescent="0.25">
      <c r="A18" t="s">
        <v>26</v>
      </c>
      <c r="B18" t="s">
        <v>18</v>
      </c>
      <c r="E18">
        <v>0.05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EF07E6-785A-45E2-B6B5-E7C3D0E3F99C}">
          <x14:formula1>
            <xm:f>'STAT COSTS'!$A:$A</xm:f>
          </x14:formula1>
          <xm:sqref>B4:B1048576</xm:sqref>
        </x14:dataValidation>
        <x14:dataValidation type="list" allowBlank="1" showInputMessage="1" showErrorMessage="1" xr:uid="{B9EAA7AC-64BF-48E6-972B-DA5475C10FE4}">
          <x14:formula1>
            <xm:f>Species!$A$4:$A$10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A16" sqref="A16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3:P42"/>
  <sheetViews>
    <sheetView workbookViewId="0">
      <selection activeCell="A3" sqref="A3:P37"/>
    </sheetView>
  </sheetViews>
  <sheetFormatPr defaultRowHeight="15" x14ac:dyDescent="0.25"/>
  <cols>
    <col min="1" max="1" width="10.5703125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  <col min="12" max="13" width="10.42578125" bestFit="1" customWidth="1"/>
    <col min="15" max="15" width="11.85546875" bestFit="1" customWidth="1"/>
    <col min="16" max="16" width="12.5703125" customWidth="1"/>
  </cols>
  <sheetData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K3" s="1" t="s">
        <v>139</v>
      </c>
      <c r="L3" s="1" t="s">
        <v>128</v>
      </c>
      <c r="M3" s="1" t="s">
        <v>129</v>
      </c>
      <c r="N3" s="1" t="s">
        <v>50</v>
      </c>
      <c r="O3" s="1" t="s">
        <v>140</v>
      </c>
      <c r="P3" s="1" t="s">
        <v>141</v>
      </c>
    </row>
    <row r="4" spans="1:16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K4">
        <v>1</v>
      </c>
      <c r="L4" t="s">
        <v>45</v>
      </c>
      <c r="M4" t="s">
        <v>51</v>
      </c>
      <c r="N4" s="8">
        <v>53.2</v>
      </c>
      <c r="O4" s="8"/>
      <c r="P4" s="8"/>
    </row>
    <row r="5" spans="1:16" x14ac:dyDescent="0.25">
      <c r="A5" s="15" t="str">
        <f>LOOKUP(MAX(K:K),K:K,L:L)</f>
        <v>Wryonin</v>
      </c>
      <c r="B5" s="12" t="s">
        <v>8</v>
      </c>
      <c r="C5" s="5" cm="1">
        <f t="array" aca="1" ref="C5" ca="1">INDIRECT("'"&amp;A5&amp;"'!B6")</f>
        <v>6.8181818181818183</v>
      </c>
      <c r="D5" s="5"/>
      <c r="E5" s="6" cm="1">
        <f t="array" aca="1" ref="E5" ca="1">RAND()*INDIRECT("'"&amp;A5&amp;"'!C6")</f>
        <v>8.5242923166677063</v>
      </c>
      <c r="F5" s="5">
        <v>1</v>
      </c>
      <c r="G5" s="13">
        <f ca="1">SUM(C5:E5)*F5</f>
        <v>15.342474134849525</v>
      </c>
      <c r="H5" s="3"/>
      <c r="I5" s="2"/>
      <c r="K5">
        <v>2</v>
      </c>
      <c r="N5" s="8"/>
      <c r="O5" s="8"/>
      <c r="P5" s="8"/>
    </row>
    <row r="6" spans="1:16" hidden="1" x14ac:dyDescent="0.25">
      <c r="A6" s="2"/>
      <c r="B6" s="12" t="s">
        <v>53</v>
      </c>
      <c r="C6" s="5" t="e" cm="1">
        <f t="array" aca="1" ref="C6" ca="1">INDIRECT("'"&amp;A6&amp;"'!B6")</f>
        <v>#REF!</v>
      </c>
      <c r="D6" s="5"/>
      <c r="E6" s="6" t="e" cm="1">
        <f t="array" aca="1" ref="E6" ca="1">RAND()*INDIRECT("'"&amp;A6&amp;"'!C6")</f>
        <v>#REF!</v>
      </c>
      <c r="F6" s="5">
        <v>1</v>
      </c>
      <c r="G6" s="13" t="e">
        <f t="shared" ref="G6:G12" ca="1" si="0">SUM(C6:E6)*F6</f>
        <v>#REF!</v>
      </c>
      <c r="H6" s="3"/>
      <c r="I6" s="2"/>
      <c r="N6" s="8"/>
      <c r="O6" s="8"/>
      <c r="P6" s="8"/>
    </row>
    <row r="7" spans="1:16" x14ac:dyDescent="0.25">
      <c r="A7" s="15" t="str">
        <f>LOOKUP(MAX(K:K),K:K,M:M)</f>
        <v>Cat Soldier</v>
      </c>
      <c r="B7" s="12" t="s">
        <v>9</v>
      </c>
      <c r="C7" s="5" cm="1">
        <f t="array" aca="1" ref="C7" ca="1">INDIRECT("'"&amp;A7&amp;"'!F14")</f>
        <v>0.4</v>
      </c>
      <c r="D7" s="5"/>
      <c r="E7" s="6" cm="1">
        <f t="array" aca="1" ref="E7" ca="1">RAND()*INDIRECT("'"&amp;A7&amp;"'!F15")</f>
        <v>19.189702794059762</v>
      </c>
      <c r="F7" s="5">
        <v>1</v>
      </c>
      <c r="G7" s="13">
        <f t="shared" ca="1" si="0"/>
        <v>19.589702794059761</v>
      </c>
      <c r="H7" s="3"/>
      <c r="I7" s="2"/>
      <c r="K7">
        <v>3</v>
      </c>
      <c r="L7" t="s">
        <v>45</v>
      </c>
      <c r="M7" t="s">
        <v>51</v>
      </c>
      <c r="N7" s="8">
        <v>31.6</v>
      </c>
      <c r="O7" s="8"/>
      <c r="P7" s="8"/>
    </row>
    <row r="8" spans="1:16" x14ac:dyDescent="0.25">
      <c r="A8" s="2" t="str">
        <f>A5</f>
        <v>Wryonin</v>
      </c>
      <c r="B8" s="12" t="s">
        <v>50</v>
      </c>
      <c r="C8" s="5" cm="1">
        <f t="array" aca="1" ref="C8" ca="1">INDIRECT("'"&amp;A8&amp;"'!D6")</f>
        <v>40</v>
      </c>
      <c r="D8" s="5"/>
      <c r="E8" s="6" cm="1">
        <f t="array" aca="1" ref="E8" ca="1">RAND()*INDIRECT("'"&amp;A8&amp;"'!E6")</f>
        <v>5.7305183571749483</v>
      </c>
      <c r="F8" s="5" cm="1">
        <f t="array" aca="1" ref="F8" ca="1">IF(G5&gt;G7*2,INDIRECT("'"&amp;A8&amp;"'!F6"),1)</f>
        <v>1</v>
      </c>
      <c r="G8" s="13">
        <f ca="1">IF(G5&gt;G7,SUM(C8:E8)*F8,0)</f>
        <v>0</v>
      </c>
      <c r="H8" s="3"/>
      <c r="I8" s="2"/>
      <c r="K8">
        <v>4</v>
      </c>
      <c r="N8" s="8"/>
      <c r="O8" s="8"/>
      <c r="P8" s="8"/>
    </row>
    <row r="9" spans="1:16" x14ac:dyDescent="0.25">
      <c r="A9" s="2" t="str">
        <f>A7</f>
        <v>Cat Soldier</v>
      </c>
      <c r="B9" s="12" t="s">
        <v>131</v>
      </c>
      <c r="C9" s="5"/>
      <c r="D9" s="5"/>
      <c r="E9" s="5"/>
      <c r="F9" s="5" cm="1">
        <f t="array" aca="1" ref="F9" ca="1">100/(100+INDIRECT("'"&amp;A9&amp;"'!G6"))</f>
        <v>0.76923076923076927</v>
      </c>
      <c r="G9" s="14">
        <f ca="1">IF(G5&gt;G7,G8*(F9),0)</f>
        <v>0</v>
      </c>
      <c r="H9" s="3" t="str">
        <f ca="1">IF(G5&gt;G7*2, "CRIT!",IF(G5&gt;G7,"HIT","miss"))</f>
        <v>miss</v>
      </c>
      <c r="I9" s="2"/>
      <c r="K9">
        <v>5</v>
      </c>
      <c r="L9" t="s">
        <v>45</v>
      </c>
      <c r="M9" t="s">
        <v>51</v>
      </c>
      <c r="N9" s="8">
        <v>106.2</v>
      </c>
      <c r="O9" s="8"/>
      <c r="P9" s="8"/>
    </row>
    <row r="10" spans="1:16" x14ac:dyDescent="0.25">
      <c r="A10" s="2" t="str">
        <f>A7</f>
        <v>Cat Soldier</v>
      </c>
      <c r="B10" s="12" t="s">
        <v>13</v>
      </c>
      <c r="C10" s="5" cm="1">
        <f t="array" aca="1" ref="C10" ca="1">INDIRECT("'"&amp;A10&amp;"'!F16")</f>
        <v>10.916666666666666</v>
      </c>
      <c r="D10" s="5"/>
      <c r="E10" s="6" cm="1">
        <f t="array" aca="1" ref="E10" ca="1">RAND()*INDIRECT("'"&amp;A10&amp;"'!F17")</f>
        <v>0.18539162500531212</v>
      </c>
      <c r="F10" s="5">
        <v>1</v>
      </c>
      <c r="G10" s="13">
        <f t="shared" ca="1" si="0"/>
        <v>11.102058291671979</v>
      </c>
      <c r="H10" s="3" t="str">
        <f ca="1">IF(G9&gt;G10,"WOUNDED","")</f>
        <v/>
      </c>
      <c r="I10" s="2"/>
      <c r="K10">
        <v>6</v>
      </c>
      <c r="N10" s="8"/>
      <c r="O10" s="8"/>
      <c r="P10" s="8"/>
    </row>
    <row r="11" spans="1:16" x14ac:dyDescent="0.25">
      <c r="A11" s="2" t="str">
        <f>A7</f>
        <v>Cat Soldier</v>
      </c>
      <c r="B11" s="12" t="s">
        <v>11</v>
      </c>
      <c r="C11" s="5" cm="1">
        <f t="array" aca="1" ref="C11" ca="1">INDIRECT("'"&amp;A11&amp;"'!F18")</f>
        <v>5.7045454545454541</v>
      </c>
      <c r="D11" s="5"/>
      <c r="E11" s="6" cm="1">
        <f t="array" aca="1" ref="E11" ca="1">RAND()*INDIRECT("'"&amp;A11&amp;"'!F19")</f>
        <v>0.23483524624876587</v>
      </c>
      <c r="F11" s="5">
        <v>1</v>
      </c>
      <c r="G11" s="13">
        <f t="shared" ca="1" si="0"/>
        <v>5.9393807007942199</v>
      </c>
      <c r="H11" s="3" t="str">
        <f ca="1">IF(G9&gt;G11,"WINCED","")</f>
        <v/>
      </c>
      <c r="I11" s="2"/>
      <c r="K11">
        <v>7</v>
      </c>
      <c r="L11" t="s">
        <v>45</v>
      </c>
      <c r="M11" t="s">
        <v>51</v>
      </c>
      <c r="N11" s="8">
        <v>42.5</v>
      </c>
      <c r="O11" s="8"/>
      <c r="P11" s="8"/>
    </row>
    <row r="12" spans="1:16" x14ac:dyDescent="0.25">
      <c r="A12" s="2" t="str">
        <f>A7</f>
        <v>Cat Soldier</v>
      </c>
      <c r="B12" s="12" t="s">
        <v>19</v>
      </c>
      <c r="C12" s="5" cm="1">
        <f t="array" aca="1" ref="C12" ca="1">INDIRECT("'"&amp;A12&amp;"'!F20")</f>
        <v>53</v>
      </c>
      <c r="D12" s="5"/>
      <c r="E12" s="6" cm="1">
        <f t="array" aca="1" ref="E12" ca="1">RAND()*INDIRECT("'"&amp;A12&amp;"'!F21")</f>
        <v>1.9527938617613558</v>
      </c>
      <c r="F12" s="5">
        <v>1</v>
      </c>
      <c r="G12" s="13">
        <f t="shared" ca="1" si="0"/>
        <v>54.952793861761357</v>
      </c>
      <c r="H12" s="3" t="e">
        <f ca="1">IF([1]_TEST_Runs!C262-[1]_TEST_Runs!C263&gt;G12,"UNCONSCIOUS","")</f>
        <v>#REF!</v>
      </c>
      <c r="I12" s="2"/>
      <c r="K12">
        <v>8</v>
      </c>
      <c r="N12" s="8"/>
      <c r="O12" s="8"/>
      <c r="P12" s="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K13">
        <v>9</v>
      </c>
      <c r="L13" t="s">
        <v>45</v>
      </c>
      <c r="M13" t="s">
        <v>51</v>
      </c>
      <c r="N13" s="8">
        <v>0</v>
      </c>
      <c r="O13" s="8"/>
      <c r="P13" s="8"/>
    </row>
    <row r="14" spans="1:16" x14ac:dyDescent="0.25">
      <c r="K14">
        <v>9.1</v>
      </c>
      <c r="L14" t="s">
        <v>51</v>
      </c>
      <c r="M14" t="s">
        <v>45</v>
      </c>
      <c r="N14" s="8">
        <v>12</v>
      </c>
      <c r="O14" s="8">
        <f>(7.9-4.4)/1.2</f>
        <v>2.916666666666667</v>
      </c>
      <c r="P14" s="8"/>
    </row>
    <row r="15" spans="1:16" x14ac:dyDescent="0.25">
      <c r="K15">
        <v>10</v>
      </c>
      <c r="L15" t="s">
        <v>51</v>
      </c>
      <c r="M15" t="s">
        <v>45</v>
      </c>
      <c r="N15" s="8">
        <v>12.9</v>
      </c>
      <c r="O15" s="8"/>
      <c r="P15" s="8"/>
    </row>
    <row r="16" spans="1:16" x14ac:dyDescent="0.25">
      <c r="K16">
        <v>10.1</v>
      </c>
      <c r="L16" t="s">
        <v>51</v>
      </c>
      <c r="M16" t="s">
        <v>45</v>
      </c>
      <c r="N16" s="8">
        <v>14.7</v>
      </c>
      <c r="O16" s="8"/>
      <c r="P16" s="8"/>
    </row>
    <row r="17" spans="1:16" x14ac:dyDescent="0.25">
      <c r="A17" s="1" t="s">
        <v>47</v>
      </c>
      <c r="B17" s="1" t="s">
        <v>1</v>
      </c>
      <c r="C17" s="1" t="s">
        <v>46</v>
      </c>
      <c r="D17" s="1" t="s">
        <v>132</v>
      </c>
      <c r="E17" s="1" t="s">
        <v>133</v>
      </c>
      <c r="F17" s="1" t="s">
        <v>137</v>
      </c>
      <c r="G17" s="1" t="s">
        <v>138</v>
      </c>
      <c r="H17" s="1" t="s">
        <v>134</v>
      </c>
      <c r="K17">
        <v>11</v>
      </c>
      <c r="L17" t="s">
        <v>45</v>
      </c>
      <c r="M17" t="s">
        <v>51</v>
      </c>
      <c r="N17" s="8">
        <v>65.900000000000006</v>
      </c>
      <c r="O17" s="8"/>
      <c r="P17" s="8"/>
    </row>
    <row r="18" spans="1:16" x14ac:dyDescent="0.25">
      <c r="A18" t="s">
        <v>45</v>
      </c>
      <c r="B18" s="8" t="str" cm="1">
        <f t="array" aca="1" ref="B18" ca="1">INDIRECT("'"&amp;$A18&amp;"'!D3")</f>
        <v>Wolf</v>
      </c>
      <c r="C18" s="8" cm="1">
        <f t="array" aca="1" ref="C18" ca="1">INDIRECT("'"&amp;$A18&amp;"'!B3")</f>
        <v>16</v>
      </c>
      <c r="D18" s="8">
        <f ca="1">E18-SUMIF(M:M,A18,N:N)</f>
        <v>127</v>
      </c>
      <c r="E18" s="8" cm="1">
        <f t="array" aca="1" ref="E18" ca="1">INDIRECT("'"&amp;$A18&amp;"'!F9")</f>
        <v>241.5</v>
      </c>
      <c r="F18" s="8">
        <f ca="1">G18-SUMIF(L:L,A18,O:O)-SUMIF(M:M,A18,P:P)</f>
        <v>25.066666666666666</v>
      </c>
      <c r="G18" s="8" cm="1">
        <f t="array" aca="1" ref="G18" ca="1">INDIRECT("'"&amp;$A18&amp;"'!F22")</f>
        <v>28.666666666666668</v>
      </c>
      <c r="H18" s="8"/>
      <c r="K18">
        <v>11.1</v>
      </c>
      <c r="L18" t="s">
        <v>51</v>
      </c>
      <c r="M18" t="s">
        <v>45</v>
      </c>
      <c r="N18" s="8">
        <v>0</v>
      </c>
      <c r="O18" s="8"/>
      <c r="P18" s="8"/>
    </row>
    <row r="19" spans="1:16" x14ac:dyDescent="0.25">
      <c r="A19" t="s">
        <v>51</v>
      </c>
      <c r="B19" s="8" t="str" cm="1">
        <f t="array" aca="1" ref="B19" ca="1">INDIRECT("'"&amp;$A19&amp;"'!D3")</f>
        <v>Cat</v>
      </c>
      <c r="C19" s="8" cm="1">
        <f t="array" aca="1" ref="C19" ca="1">INDIRECT("'"&amp;$A19&amp;"'!B3")</f>
        <v>21</v>
      </c>
      <c r="D19" s="8">
        <f t="shared" ref="D19:D27" ca="1" si="1">E19-SUMIF(M:M,A19,N:N)</f>
        <v>-454.9</v>
      </c>
      <c r="E19" s="8" cm="1">
        <f t="array" aca="1" ref="E19" ca="1">INDIRECT("'"&amp;$A19&amp;"'!F9")</f>
        <v>105</v>
      </c>
      <c r="F19" s="8">
        <f t="shared" ref="F19:F27" ca="1" si="2">G19-SUMIF(L:L,A19,O:O)-SUMIF(M:M,A19,P:P)</f>
        <v>40.5</v>
      </c>
      <c r="G19" s="8" cm="1">
        <f t="array" aca="1" ref="G19" ca="1">INDIRECT("'"&amp;$A19&amp;"'!F22")</f>
        <v>43.416666666666664</v>
      </c>
      <c r="H19" s="8" t="s">
        <v>136</v>
      </c>
      <c r="K19">
        <v>11.2</v>
      </c>
      <c r="L19" t="s">
        <v>51</v>
      </c>
      <c r="M19" t="s">
        <v>45</v>
      </c>
      <c r="N19" s="8">
        <v>9.1999999999999993</v>
      </c>
      <c r="O19" s="8"/>
      <c r="P19" s="8"/>
    </row>
    <row r="20" spans="1:16" x14ac:dyDescent="0.25">
      <c r="A20" t="s">
        <v>51</v>
      </c>
      <c r="B20" s="8" t="str" cm="1">
        <f t="array" aca="1" ref="B20" ca="1">INDIRECT("'"&amp;$A20&amp;"'!D3")</f>
        <v>Cat</v>
      </c>
      <c r="C20" s="8" cm="1">
        <f t="array" aca="1" ref="C20" ca="1">INDIRECT("'"&amp;$A20&amp;"'!B3")</f>
        <v>21</v>
      </c>
      <c r="D20" s="8">
        <f t="shared" ca="1" si="1"/>
        <v>-454.9</v>
      </c>
      <c r="E20" s="8" cm="1">
        <f t="array" aca="1" ref="E20" ca="1">INDIRECT("'"&amp;$A20&amp;"'!F9")</f>
        <v>105</v>
      </c>
      <c r="F20" s="8">
        <f t="shared" ca="1" si="2"/>
        <v>40.5</v>
      </c>
      <c r="G20" s="8" cm="1">
        <f t="array" aca="1" ref="G20" ca="1">INDIRECT("'"&amp;$A20&amp;"'!F22")</f>
        <v>43.416666666666664</v>
      </c>
      <c r="H20" s="8" t="s">
        <v>136</v>
      </c>
      <c r="K20">
        <v>12</v>
      </c>
      <c r="L20" t="s">
        <v>51</v>
      </c>
      <c r="M20" t="s">
        <v>45</v>
      </c>
      <c r="N20" s="8">
        <v>0</v>
      </c>
      <c r="O20" s="8"/>
      <c r="P20" s="8"/>
    </row>
    <row r="21" spans="1:16" x14ac:dyDescent="0.25">
      <c r="A21" t="s">
        <v>51</v>
      </c>
      <c r="B21" s="8" t="str" cm="1">
        <f t="array" aca="1" ref="B21" ca="1">INDIRECT("'"&amp;$A21&amp;"'!D3")</f>
        <v>Cat</v>
      </c>
      <c r="C21" s="8" cm="1">
        <f t="array" aca="1" ref="C21" ca="1">INDIRECT("'"&amp;$A21&amp;"'!B3")</f>
        <v>21</v>
      </c>
      <c r="D21" s="8">
        <f t="shared" ca="1" si="1"/>
        <v>-454.9</v>
      </c>
      <c r="E21" s="8" cm="1">
        <f t="array" aca="1" ref="E21" ca="1">INDIRECT("'"&amp;$A21&amp;"'!F9")</f>
        <v>105</v>
      </c>
      <c r="F21" s="8">
        <f t="shared" ca="1" si="2"/>
        <v>40.5</v>
      </c>
      <c r="G21" s="8" cm="1">
        <f t="array" aca="1" ref="G21" ca="1">INDIRECT("'"&amp;$A21&amp;"'!F22")</f>
        <v>43.416666666666664</v>
      </c>
      <c r="H21" s="8" t="s">
        <v>142</v>
      </c>
      <c r="K21">
        <v>12.1</v>
      </c>
      <c r="L21" t="s">
        <v>51</v>
      </c>
      <c r="M21" t="s">
        <v>45</v>
      </c>
      <c r="N21" s="8">
        <v>14.1</v>
      </c>
      <c r="O21" s="8"/>
      <c r="P21" s="8"/>
    </row>
    <row r="22" spans="1:16" x14ac:dyDescent="0.25">
      <c r="A22" t="s">
        <v>51</v>
      </c>
      <c r="B22" s="8" t="str" cm="1">
        <f t="array" aca="1" ref="B22" ca="1">INDIRECT("'"&amp;$A22&amp;"'!D3")</f>
        <v>Cat</v>
      </c>
      <c r="C22" s="8" cm="1">
        <f t="array" aca="1" ref="C22" ca="1">INDIRECT("'"&amp;$A22&amp;"'!B3")</f>
        <v>21</v>
      </c>
      <c r="D22" s="8">
        <f t="shared" ca="1" si="1"/>
        <v>-454.9</v>
      </c>
      <c r="E22" s="8" cm="1">
        <f t="array" aca="1" ref="E22" ca="1">INDIRECT("'"&amp;$A22&amp;"'!F9")</f>
        <v>105</v>
      </c>
      <c r="F22" s="8">
        <f t="shared" ca="1" si="2"/>
        <v>40.5</v>
      </c>
      <c r="G22" s="8" cm="1">
        <f t="array" aca="1" ref="G22" ca="1">INDIRECT("'"&amp;$A22&amp;"'!F22")</f>
        <v>43.416666666666664</v>
      </c>
      <c r="H22" s="8" t="s">
        <v>136</v>
      </c>
      <c r="K22">
        <v>12.2</v>
      </c>
      <c r="L22" t="s">
        <v>51</v>
      </c>
      <c r="M22" t="s">
        <v>45</v>
      </c>
      <c r="N22" s="8">
        <v>9.1</v>
      </c>
      <c r="O22" s="8"/>
      <c r="P22" s="8"/>
    </row>
    <row r="23" spans="1:16" x14ac:dyDescent="0.25">
      <c r="A23" t="s">
        <v>51</v>
      </c>
      <c r="B23" s="8" t="str" cm="1">
        <f t="array" aca="1" ref="B23" ca="1">INDIRECT("'"&amp;$A23&amp;"'!D3")</f>
        <v>Cat</v>
      </c>
      <c r="C23" s="8" cm="1">
        <f t="array" aca="1" ref="C23" ca="1">INDIRECT("'"&amp;$A23&amp;"'!B3")</f>
        <v>21</v>
      </c>
      <c r="D23" s="8">
        <f t="shared" ca="1" si="1"/>
        <v>-454.9</v>
      </c>
      <c r="E23" s="8" cm="1">
        <f t="array" aca="1" ref="E23" ca="1">INDIRECT("'"&amp;$A23&amp;"'!F9")</f>
        <v>105</v>
      </c>
      <c r="F23" s="8">
        <f t="shared" ca="1" si="2"/>
        <v>40.5</v>
      </c>
      <c r="G23" s="8" cm="1">
        <f t="array" aca="1" ref="G23" ca="1">INDIRECT("'"&amp;$A23&amp;"'!F22")</f>
        <v>43.416666666666664</v>
      </c>
      <c r="H23" s="8" t="s">
        <v>136</v>
      </c>
      <c r="K23">
        <v>13</v>
      </c>
      <c r="L23" t="s">
        <v>45</v>
      </c>
      <c r="M23" t="s">
        <v>51</v>
      </c>
      <c r="N23" s="8">
        <v>67.900000000000006</v>
      </c>
      <c r="O23" s="8"/>
      <c r="P23" s="8"/>
    </row>
    <row r="24" spans="1:16" x14ac:dyDescent="0.25">
      <c r="A24" t="s">
        <v>51</v>
      </c>
      <c r="B24" s="8" t="str" cm="1">
        <f t="array" aca="1" ref="B24" ca="1">INDIRECT("'"&amp;$A24&amp;"'!D3")</f>
        <v>Cat</v>
      </c>
      <c r="C24" s="8" cm="1">
        <f t="array" aca="1" ref="C24" ca="1">INDIRECT("'"&amp;$A24&amp;"'!B3")</f>
        <v>21</v>
      </c>
      <c r="D24" s="8">
        <f t="shared" ca="1" si="1"/>
        <v>-454.9</v>
      </c>
      <c r="E24" s="8" cm="1">
        <f t="array" aca="1" ref="E24" ca="1">INDIRECT("'"&amp;$A24&amp;"'!F9")</f>
        <v>105</v>
      </c>
      <c r="F24" s="8">
        <f t="shared" ca="1" si="2"/>
        <v>40.5</v>
      </c>
      <c r="G24" s="8" cm="1">
        <f t="array" aca="1" ref="G24" ca="1">INDIRECT("'"&amp;$A24&amp;"'!F22")</f>
        <v>43.416666666666664</v>
      </c>
      <c r="H24" s="8" t="s">
        <v>135</v>
      </c>
      <c r="K24">
        <v>13.1</v>
      </c>
      <c r="L24" t="s">
        <v>51</v>
      </c>
      <c r="M24" t="s">
        <v>45</v>
      </c>
      <c r="N24" s="8">
        <v>9.6999999999999993</v>
      </c>
      <c r="O24" s="8"/>
      <c r="P24" s="8"/>
    </row>
    <row r="25" spans="1:16" x14ac:dyDescent="0.25">
      <c r="A25" t="s">
        <v>51</v>
      </c>
      <c r="B25" s="8" t="str" cm="1">
        <f t="array" aca="1" ref="B25" ca="1">INDIRECT("'"&amp;$A25&amp;"'!D3")</f>
        <v>Cat</v>
      </c>
      <c r="C25" s="8" cm="1">
        <f t="array" aca="1" ref="C25" ca="1">INDIRECT("'"&amp;$A25&amp;"'!B3")</f>
        <v>21</v>
      </c>
      <c r="D25" s="8">
        <f t="shared" ca="1" si="1"/>
        <v>-454.9</v>
      </c>
      <c r="E25" s="8" cm="1">
        <f t="array" aca="1" ref="E25" ca="1">INDIRECT("'"&amp;$A25&amp;"'!F9")</f>
        <v>105</v>
      </c>
      <c r="F25" s="8">
        <f t="shared" ca="1" si="2"/>
        <v>40.5</v>
      </c>
      <c r="G25" s="8" cm="1">
        <f t="array" aca="1" ref="G25" ca="1">INDIRECT("'"&amp;$A25&amp;"'!F22")</f>
        <v>43.416666666666664</v>
      </c>
      <c r="H25" s="8" t="s">
        <v>136</v>
      </c>
      <c r="K25">
        <v>13.2</v>
      </c>
      <c r="L25" t="s">
        <v>51</v>
      </c>
      <c r="M25" t="s">
        <v>45</v>
      </c>
      <c r="N25" s="8">
        <v>0</v>
      </c>
      <c r="O25" s="8"/>
      <c r="P25" s="8"/>
    </row>
    <row r="26" spans="1:16" x14ac:dyDescent="0.25">
      <c r="A26" t="s">
        <v>51</v>
      </c>
      <c r="B26" s="8" t="str" cm="1">
        <f t="array" aca="1" ref="B26" ca="1">INDIRECT("'"&amp;$A26&amp;"'!D3")</f>
        <v>Cat</v>
      </c>
      <c r="C26" s="8" cm="1">
        <f t="array" aca="1" ref="C26" ca="1">INDIRECT("'"&amp;$A26&amp;"'!B3")</f>
        <v>21</v>
      </c>
      <c r="D26" s="8">
        <f t="shared" ca="1" si="1"/>
        <v>-454.9</v>
      </c>
      <c r="E26" s="8" cm="1">
        <f t="array" aca="1" ref="E26" ca="1">INDIRECT("'"&amp;$A26&amp;"'!F9")</f>
        <v>105</v>
      </c>
      <c r="F26" s="8">
        <f t="shared" ca="1" si="2"/>
        <v>40.5</v>
      </c>
      <c r="G26" s="8" cm="1">
        <f t="array" aca="1" ref="G26" ca="1">INDIRECT("'"&amp;$A26&amp;"'!F22")</f>
        <v>43.416666666666664</v>
      </c>
      <c r="H26" s="8" t="s">
        <v>135</v>
      </c>
      <c r="K26">
        <v>14</v>
      </c>
      <c r="L26" t="s">
        <v>51</v>
      </c>
      <c r="M26" t="s">
        <v>45</v>
      </c>
      <c r="N26" s="8">
        <v>0</v>
      </c>
      <c r="O26" s="8"/>
      <c r="P26" s="8"/>
    </row>
    <row r="27" spans="1:16" x14ac:dyDescent="0.25">
      <c r="A27" t="s">
        <v>51</v>
      </c>
      <c r="B27" s="8" t="str" cm="1">
        <f t="array" aca="1" ref="B27" ca="1">INDIRECT("'"&amp;$A27&amp;"'!D3")</f>
        <v>Cat</v>
      </c>
      <c r="C27" s="8" cm="1">
        <f t="array" aca="1" ref="C27" ca="1">INDIRECT("'"&amp;$A27&amp;"'!B3")</f>
        <v>21</v>
      </c>
      <c r="D27" s="8">
        <f t="shared" ca="1" si="1"/>
        <v>-454.9</v>
      </c>
      <c r="E27" s="8" cm="1">
        <f t="array" aca="1" ref="E27" ca="1">INDIRECT("'"&amp;$A27&amp;"'!F9")</f>
        <v>105</v>
      </c>
      <c r="F27" s="8">
        <f t="shared" ca="1" si="2"/>
        <v>40.5</v>
      </c>
      <c r="G27" s="8" cm="1">
        <f t="array" aca="1" ref="G27" ca="1">INDIRECT("'"&amp;$A27&amp;"'!F22")</f>
        <v>43.416666666666664</v>
      </c>
      <c r="H27" s="8" t="s">
        <v>135</v>
      </c>
      <c r="K27">
        <v>14.1</v>
      </c>
      <c r="L27" t="s">
        <v>51</v>
      </c>
      <c r="M27" t="s">
        <v>45</v>
      </c>
      <c r="N27" s="8">
        <v>0</v>
      </c>
      <c r="O27" s="8"/>
      <c r="P27" s="8"/>
    </row>
    <row r="28" spans="1:16" x14ac:dyDescent="0.25">
      <c r="K28">
        <v>14.2</v>
      </c>
      <c r="L28" t="s">
        <v>51</v>
      </c>
      <c r="M28" t="s">
        <v>45</v>
      </c>
      <c r="N28" s="8">
        <v>9.3000000000000007</v>
      </c>
      <c r="O28" s="8"/>
      <c r="P28" s="8"/>
    </row>
    <row r="29" spans="1:16" x14ac:dyDescent="0.25">
      <c r="K29">
        <v>15</v>
      </c>
      <c r="L29" t="s">
        <v>45</v>
      </c>
      <c r="M29" t="s">
        <v>51</v>
      </c>
      <c r="N29" s="8">
        <v>50.6</v>
      </c>
      <c r="O29" s="8">
        <f>(17.3-11.9)/1.5</f>
        <v>3.6</v>
      </c>
    </row>
    <row r="30" spans="1:16" x14ac:dyDescent="0.25">
      <c r="K30">
        <v>15.1</v>
      </c>
      <c r="L30" t="s">
        <v>51</v>
      </c>
      <c r="M30" t="s">
        <v>45</v>
      </c>
      <c r="N30" s="8">
        <v>0</v>
      </c>
      <c r="O30" s="8"/>
      <c r="P30" s="8"/>
    </row>
    <row r="31" spans="1:16" x14ac:dyDescent="0.25">
      <c r="K31">
        <v>15.2</v>
      </c>
      <c r="L31" t="s">
        <v>51</v>
      </c>
      <c r="M31" t="s">
        <v>45</v>
      </c>
      <c r="N31" s="8">
        <v>14.8</v>
      </c>
      <c r="O31" s="8"/>
      <c r="P31" s="8"/>
    </row>
    <row r="32" spans="1:16" x14ac:dyDescent="0.25">
      <c r="K32">
        <v>16</v>
      </c>
      <c r="L32" t="s">
        <v>51</v>
      </c>
      <c r="M32" t="s">
        <v>45</v>
      </c>
      <c r="N32" s="8">
        <v>0</v>
      </c>
      <c r="O32" s="8"/>
      <c r="P32" s="8"/>
    </row>
    <row r="33" spans="11:16" x14ac:dyDescent="0.25">
      <c r="K33">
        <v>16.100000000000001</v>
      </c>
      <c r="L33" t="s">
        <v>51</v>
      </c>
      <c r="M33" t="s">
        <v>45</v>
      </c>
      <c r="N33" s="8">
        <v>0</v>
      </c>
      <c r="O33" s="8"/>
      <c r="P33" s="8"/>
    </row>
    <row r="34" spans="11:16" x14ac:dyDescent="0.25">
      <c r="K34">
        <v>17</v>
      </c>
      <c r="L34" t="s">
        <v>45</v>
      </c>
      <c r="M34" t="s">
        <v>51</v>
      </c>
      <c r="N34" s="8">
        <v>75.099999999999994</v>
      </c>
      <c r="O34" s="8"/>
      <c r="P34" s="8"/>
    </row>
    <row r="35" spans="11:16" x14ac:dyDescent="0.25">
      <c r="K35">
        <v>17.100000000000001</v>
      </c>
      <c r="L35" t="s">
        <v>51</v>
      </c>
      <c r="M35" t="s">
        <v>45</v>
      </c>
      <c r="N35" s="8">
        <v>8.6999999999999993</v>
      </c>
      <c r="O35" s="8"/>
      <c r="P35" s="8"/>
    </row>
    <row r="36" spans="11:16" x14ac:dyDescent="0.25">
      <c r="K36">
        <v>18</v>
      </c>
      <c r="L36" t="s">
        <v>51</v>
      </c>
      <c r="M36" t="s">
        <v>45</v>
      </c>
      <c r="N36" s="8">
        <v>0</v>
      </c>
      <c r="O36" s="8"/>
      <c r="P36" s="8"/>
    </row>
    <row r="37" spans="11:16" x14ac:dyDescent="0.25">
      <c r="K37">
        <v>19</v>
      </c>
      <c r="L37" t="s">
        <v>45</v>
      </c>
      <c r="M37" t="s">
        <v>51</v>
      </c>
      <c r="N37" s="8">
        <v>66.900000000000006</v>
      </c>
      <c r="O37" s="8"/>
      <c r="P37" s="8"/>
    </row>
    <row r="38" spans="11:16" x14ac:dyDescent="0.25">
      <c r="N38" s="8"/>
      <c r="O38" s="8"/>
      <c r="P38" s="8"/>
    </row>
    <row r="39" spans="11:16" x14ac:dyDescent="0.25">
      <c r="N39" s="8"/>
      <c r="O39" s="8"/>
      <c r="P39" s="8"/>
    </row>
    <row r="40" spans="11:16" x14ac:dyDescent="0.25">
      <c r="N40" s="8"/>
      <c r="O40" s="8"/>
      <c r="P40" s="8"/>
    </row>
    <row r="41" spans="11:16" x14ac:dyDescent="0.25">
      <c r="N41" s="8"/>
      <c r="O41" s="8"/>
      <c r="P41" s="8"/>
    </row>
    <row r="42" spans="11:16" x14ac:dyDescent="0.25">
      <c r="N42" s="8"/>
      <c r="O42" s="8"/>
      <c r="P42" s="8"/>
    </row>
  </sheetData>
  <dataValidations count="1">
    <dataValidation type="list" allowBlank="1" showInputMessage="1" showErrorMessage="1" sqref="L4:M42" xr:uid="{0126374D-DE0E-4077-BD4A-F73046C559D1}">
      <formula1>$A$18:$A$27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2:J34"/>
  <sheetViews>
    <sheetView workbookViewId="0">
      <selection activeCell="E23" sqref="E23"/>
    </sheetView>
  </sheetViews>
  <sheetFormatPr defaultRowHeight="15" x14ac:dyDescent="0.25"/>
  <cols>
    <col min="1" max="1" width="22.85546875" bestFit="1" customWidth="1"/>
    <col min="2" max="2" width="10.5703125" bestFit="1" customWidth="1"/>
    <col min="9" max="9" width="11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45</v>
      </c>
      <c r="B3">
        <v>16</v>
      </c>
      <c r="C3">
        <f>SUM(C9:C103)+SUM(J9:J103)</f>
        <v>1475</v>
      </c>
      <c r="D3" t="s">
        <v>23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>
        <f>B3*15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>
        <f>(MIN(B3,30)*3.5)</f>
        <v>56</v>
      </c>
      <c r="F10" s="8">
        <f t="shared" ref="F10:F33" si="1">D10+E10</f>
        <v>57.111111111111114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F11" s="8">
        <f t="shared" si="1"/>
        <v>2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>
        <f>MIN(B3,30)*0.15</f>
        <v>2.4</v>
      </c>
      <c r="F12" s="8">
        <f t="shared" si="1"/>
        <v>5.1777777777777771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F13" s="8">
        <f t="shared" si="1"/>
        <v>2.5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F15" s="8">
        <f t="shared" si="1"/>
        <v>20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>
        <f>F9*0.1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F17" s="8">
        <f t="shared" si="1"/>
        <v>2.5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>
        <f>F9*0.05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F19" s="8">
        <f t="shared" si="1"/>
        <v>7.5</v>
      </c>
    </row>
    <row r="20" spans="1:6" x14ac:dyDescent="0.25">
      <c r="A20" t="s">
        <v>19</v>
      </c>
      <c r="C20">
        <v>20</v>
      </c>
      <c r="D20" s="8">
        <f>$C20/LOOKUP($A20,'STAT COSTS'!$A:$A,'STAT COSTS'!$B:$B)</f>
        <v>2</v>
      </c>
      <c r="E20">
        <f>F9*0.5</f>
        <v>120.75</v>
      </c>
      <c r="F20" s="8">
        <f t="shared" si="1"/>
        <v>122.75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F21" s="8">
        <f t="shared" si="1"/>
        <v>15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>
        <f>B3*1.75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>
        <f>1</f>
        <v>1</v>
      </c>
      <c r="F23" s="8">
        <f t="shared" si="1"/>
        <v>1.2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250</v>
      </c>
      <c r="D28" s="8">
        <f>$C28/LOOKUP($A28,'STAT COSTS'!$A:$A,'STAT COSTS'!$B:$B)</f>
        <v>0.25</v>
      </c>
      <c r="E28">
        <v>0.1</v>
      </c>
      <c r="F28" s="8">
        <f t="shared" si="1"/>
        <v>0.35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F32" s="8">
        <f>D32+E32</f>
        <v>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>
        <v>1</v>
      </c>
      <c r="F34" s="8">
        <f>D34+E34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workbookViewId="0">
      <selection activeCell="H24" sqref="H24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0</v>
      </c>
      <c r="D9" s="8">
        <f>$C9/LOOKUP($A9,'STAT COSTS'!$A:$A,'STAT COSTS'!$B:$B)</f>
        <v>0</v>
      </c>
      <c r="E9">
        <f>B3*5</f>
        <v>105</v>
      </c>
      <c r="F9" s="8">
        <f>D9+E9</f>
        <v>105</v>
      </c>
    </row>
    <row r="10" spans="1:10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>
        <f>(MIN(B3,30)*1.5)</f>
        <v>31.5</v>
      </c>
      <c r="F10" s="8">
        <f t="shared" ref="F10:F27" si="1">D10+E10</f>
        <v>32.055555555555557</v>
      </c>
    </row>
    <row r="11" spans="1:10" x14ac:dyDescent="0.25">
      <c r="A11" t="s">
        <v>16</v>
      </c>
      <c r="C11">
        <v>10</v>
      </c>
      <c r="D11" s="8">
        <f>$C11/LOOKUP($A11,'STAT COSTS'!$A:$A,'STAT COSTS'!$B:$B)</f>
        <v>1</v>
      </c>
      <c r="F11" s="8">
        <f t="shared" si="1"/>
        <v>1</v>
      </c>
    </row>
    <row r="12" spans="1:10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>
        <f>MIN(B3,30)*0.15</f>
        <v>3.15</v>
      </c>
      <c r="F12" s="8">
        <f t="shared" si="1"/>
        <v>4.8166666666666664</v>
      </c>
    </row>
    <row r="13" spans="1:10" x14ac:dyDescent="0.25">
      <c r="A13" t="s">
        <v>22</v>
      </c>
      <c r="C13">
        <v>15</v>
      </c>
      <c r="D13" s="8">
        <f>$C13/LOOKUP($A13,'STAT COSTS'!$A:$A,'STAT COSTS'!$B:$B)</f>
        <v>1.875</v>
      </c>
      <c r="F13" s="8">
        <f t="shared" si="1"/>
        <v>1.875</v>
      </c>
    </row>
    <row r="14" spans="1:10" x14ac:dyDescent="0.25">
      <c r="A14" t="s">
        <v>9</v>
      </c>
      <c r="C14">
        <v>10</v>
      </c>
      <c r="D14" s="8">
        <f>$C14/LOOKUP($A14,'STAT COSTS'!$A:$A,'STAT COSTS'!$B:$B)</f>
        <v>0.4</v>
      </c>
      <c r="F14" s="8">
        <f t="shared" si="1"/>
        <v>0.4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F15" s="8">
        <f t="shared" si="1"/>
        <v>20</v>
      </c>
    </row>
    <row r="16" spans="1:10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>
        <f>F9*0.1</f>
        <v>10.5</v>
      </c>
      <c r="F16" s="8">
        <f t="shared" si="1"/>
        <v>10.916666666666666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F17" s="8">
        <f t="shared" si="1"/>
        <v>1.25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>
        <f>F9*0.05</f>
        <v>5.25</v>
      </c>
      <c r="F18" s="8">
        <f t="shared" si="1"/>
        <v>5.7045454545454541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F19" s="8">
        <f t="shared" si="1"/>
        <v>1.25</v>
      </c>
    </row>
    <row r="20" spans="1:6" x14ac:dyDescent="0.25">
      <c r="A20" t="s">
        <v>19</v>
      </c>
      <c r="C20">
        <v>5</v>
      </c>
      <c r="D20" s="8">
        <f>$C20/LOOKUP($A20,'STAT COSTS'!$A:$A,'STAT COSTS'!$B:$B)</f>
        <v>0.5</v>
      </c>
      <c r="E20">
        <f>F9*0.5</f>
        <v>52.5</v>
      </c>
      <c r="F20" s="8">
        <f t="shared" si="1"/>
        <v>53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>
        <f>B3*1.75</f>
        <v>36.75</v>
      </c>
      <c r="F22" s="8">
        <f t="shared" si="1"/>
        <v>43.416666666666664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>
        <f>1</f>
        <v>1</v>
      </c>
      <c r="F23" s="8">
        <f t="shared" si="1"/>
        <v>1.2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Species_Stats</vt:lpstr>
      <vt:lpstr>Species_OLD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2024-12-05T20:32:25Z</dcterms:modified>
</cp:coreProperties>
</file>