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eld\Documents\Story\AgranariTTRPG\"/>
    </mc:Choice>
  </mc:AlternateContent>
  <xr:revisionPtr revIDLastSave="0" documentId="13_ncr:1_{2BF4AF6B-F887-4F94-830A-37523CF60302}" xr6:coauthVersionLast="47" xr6:coauthVersionMax="47" xr10:uidLastSave="{00000000-0000-0000-0000-000000000000}"/>
  <bookViews>
    <workbookView xWindow="13410" yWindow="0" windowWidth="22680" windowHeight="20985" tabRatio="809" activeTab="4" xr2:uid="{939E3A0E-BA0B-442B-84B0-B7815D6CBC2B}"/>
  </bookViews>
  <sheets>
    <sheet name="Species" sheetId="17" r:id="rId1"/>
    <sheet name="Species_Stats" sheetId="16" r:id="rId2"/>
    <sheet name="Species_OLD" sheetId="1" r:id="rId3"/>
    <sheet name="_TMPLT_Character" sheetId="8" r:id="rId4"/>
    <sheet name="Calculator" sheetId="5" r:id="rId5"/>
    <sheet name="Wryonin" sheetId="13" r:id="rId6"/>
    <sheet name="Cat Soldier" sheetId="14" r:id="rId7"/>
    <sheet name="Weapons" sheetId="9" r:id="rId8"/>
    <sheet name="Features" sheetId="11" r:id="rId9"/>
    <sheet name="Features (Species)" sheetId="12" r:id="rId10"/>
    <sheet name="STAT COSTS" sheetId="7" r:id="rId11"/>
    <sheet name="Sources" sheetId="4" r:id="rId12"/>
    <sheet name="Changelog" sheetId="10" r:id="rId13"/>
  </sheets>
  <externalReferences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4" i="5" l="1"/>
  <c r="O29" i="5"/>
  <c r="K40" i="16"/>
  <c r="K30" i="16"/>
  <c r="K31" i="16"/>
  <c r="K32" i="16"/>
  <c r="K33" i="16"/>
  <c r="K34" i="16"/>
  <c r="K35" i="16"/>
  <c r="K36" i="16"/>
  <c r="K37" i="16"/>
  <c r="K38" i="16"/>
  <c r="K39" i="16"/>
  <c r="K19" i="16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20" i="16"/>
  <c r="K21" i="16"/>
  <c r="K22" i="16"/>
  <c r="K23" i="16"/>
  <c r="K24" i="16"/>
  <c r="K25" i="16"/>
  <c r="K26" i="16"/>
  <c r="K27" i="16"/>
  <c r="K28" i="16"/>
  <c r="K29" i="16"/>
  <c r="K4" i="16"/>
  <c r="E9" i="14"/>
  <c r="E9" i="13"/>
  <c r="A7" i="5" l="1"/>
  <c r="A5" i="5"/>
  <c r="C19" i="5" a="1"/>
  <c r="C27" i="5" a="1"/>
  <c r="C21" i="5" a="1"/>
  <c r="C24" i="5" a="1"/>
  <c r="C20" i="5" a="1"/>
  <c r="C25" i="5" a="1"/>
  <c r="C22" i="5" a="1"/>
  <c r="C26" i="5" a="1"/>
  <c r="C23" i="5" a="1"/>
  <c r="C18" i="5" a="1"/>
  <c r="B19" i="5" a="1"/>
  <c r="B27" i="5" a="1"/>
  <c r="B21" i="5" a="1"/>
  <c r="B22" i="5" a="1"/>
  <c r="B25" i="5" a="1"/>
  <c r="B26" i="5" a="1"/>
  <c r="B20" i="5" a="1"/>
  <c r="B24" i="5" a="1"/>
  <c r="B23" i="5" a="1"/>
  <c r="B18" i="5" a="1"/>
  <c r="C23" i="5" l="1"/>
  <c r="C26" i="5"/>
  <c r="C22" i="5"/>
  <c r="C25" i="5"/>
  <c r="C20" i="5"/>
  <c r="C24" i="5"/>
  <c r="C21" i="5"/>
  <c r="C27" i="5"/>
  <c r="C19" i="5"/>
  <c r="C18" i="5"/>
  <c r="B23" i="5"/>
  <c r="B24" i="5"/>
  <c r="B20" i="5"/>
  <c r="B26" i="5"/>
  <c r="B25" i="5"/>
  <c r="B22" i="5"/>
  <c r="B21" i="5"/>
  <c r="B27" i="5"/>
  <c r="B19" i="5"/>
  <c r="B18" i="5"/>
  <c r="A12" i="5" l="1"/>
  <c r="A11" i="5"/>
  <c r="A10" i="5"/>
  <c r="A9" i="5"/>
  <c r="A8" i="5"/>
  <c r="D6" i="14"/>
  <c r="D6" i="13"/>
  <c r="F6" i="14"/>
  <c r="E6" i="14"/>
  <c r="B6" i="14"/>
  <c r="F6" i="13"/>
  <c r="D30" i="14"/>
  <c r="F30" i="14" s="1"/>
  <c r="D31" i="14"/>
  <c r="F31" i="14" s="1"/>
  <c r="D32" i="14"/>
  <c r="F32" i="14" s="1"/>
  <c r="D33" i="14"/>
  <c r="F33" i="14" s="1"/>
  <c r="D29" i="14"/>
  <c r="F29" i="14" s="1"/>
  <c r="D28" i="14"/>
  <c r="F28" i="14" s="1"/>
  <c r="D27" i="14"/>
  <c r="F27" i="14" s="1"/>
  <c r="D26" i="14"/>
  <c r="F26" i="14" s="1"/>
  <c r="D25" i="14"/>
  <c r="F25" i="14" s="1"/>
  <c r="C6" i="14" s="1"/>
  <c r="D24" i="14"/>
  <c r="F24" i="14" s="1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C3" i="14"/>
  <c r="D28" i="13"/>
  <c r="F28" i="13" s="1"/>
  <c r="C3" i="13"/>
  <c r="D27" i="8"/>
  <c r="D28" i="8"/>
  <c r="D29" i="8"/>
  <c r="D30" i="8"/>
  <c r="F30" i="8" s="1"/>
  <c r="D34" i="13"/>
  <c r="F34" i="13" s="1"/>
  <c r="C3" i="8"/>
  <c r="D24" i="8"/>
  <c r="F24" i="8" s="1"/>
  <c r="D27" i="13"/>
  <c r="F27" i="13" s="1"/>
  <c r="D33" i="13"/>
  <c r="F33" i="13" s="1"/>
  <c r="D32" i="13"/>
  <c r="F32" i="13" s="1"/>
  <c r="D31" i="13"/>
  <c r="F31" i="13" s="1"/>
  <c r="D30" i="13"/>
  <c r="F30" i="13" s="1"/>
  <c r="D29" i="13"/>
  <c r="F29" i="13" s="1"/>
  <c r="D26" i="13"/>
  <c r="F26" i="13" s="1"/>
  <c r="E6" i="13" s="1"/>
  <c r="D25" i="13"/>
  <c r="F25" i="13" s="1"/>
  <c r="C6" i="13" s="1"/>
  <c r="D24" i="13"/>
  <c r="F24" i="13" s="1"/>
  <c r="B6" i="13" s="1"/>
  <c r="D23" i="13"/>
  <c r="D22" i="13"/>
  <c r="D21" i="13"/>
  <c r="D20" i="13"/>
  <c r="D19" i="13"/>
  <c r="D18" i="13"/>
  <c r="D17" i="13"/>
  <c r="D16" i="13"/>
  <c r="D15" i="13"/>
  <c r="D14" i="13"/>
  <c r="D13" i="13"/>
  <c r="D12" i="13"/>
  <c r="D11" i="13"/>
  <c r="D10" i="13"/>
  <c r="D9" i="13"/>
  <c r="E8" i="5" a="1"/>
  <c r="C8" i="5" a="1"/>
  <c r="F9" i="5" a="1"/>
  <c r="E6" i="5" a="1"/>
  <c r="E5" i="5" a="1"/>
  <c r="C6" i="5" a="1"/>
  <c r="C5" i="5" a="1"/>
  <c r="E8" i="5" l="1"/>
  <c r="C8" i="5"/>
  <c r="F9" i="5"/>
  <c r="E6" i="5"/>
  <c r="E5" i="5"/>
  <c r="C6" i="5"/>
  <c r="G6" i="5" s="1"/>
  <c r="C5" i="5"/>
  <c r="F9" i="14"/>
  <c r="E26" i="5" a="1"/>
  <c r="E21" i="5" a="1"/>
  <c r="E23" i="5" a="1"/>
  <c r="E20" i="5" a="1"/>
  <c r="E25" i="5" a="1"/>
  <c r="E24" i="5" a="1"/>
  <c r="E22" i="5" a="1"/>
  <c r="E27" i="5" a="1"/>
  <c r="E19" i="5" a="1"/>
  <c r="E11" i="14" l="1"/>
  <c r="F11" i="14" s="1"/>
  <c r="E12" i="14"/>
  <c r="F12" i="14" s="1"/>
  <c r="E13" i="14"/>
  <c r="F13" i="14" s="1"/>
  <c r="E14" i="14"/>
  <c r="F14" i="14" s="1"/>
  <c r="E15" i="14"/>
  <c r="F15" i="14" s="1"/>
  <c r="E16" i="14"/>
  <c r="F16" i="14" s="1"/>
  <c r="E17" i="14"/>
  <c r="F17" i="14" s="1"/>
  <c r="E18" i="14"/>
  <c r="F18" i="14" s="1"/>
  <c r="E19" i="14"/>
  <c r="F19" i="14" s="1"/>
  <c r="E20" i="14"/>
  <c r="F20" i="14" s="1"/>
  <c r="E21" i="14"/>
  <c r="F21" i="14" s="1"/>
  <c r="E22" i="14"/>
  <c r="F22" i="14" s="1"/>
  <c r="E23" i="14"/>
  <c r="F23" i="14" s="1"/>
  <c r="E10" i="14"/>
  <c r="F10" i="14" s="1"/>
  <c r="E19" i="5"/>
  <c r="D19" i="5" s="1"/>
  <c r="E27" i="5"/>
  <c r="D27" i="5" s="1"/>
  <c r="E22" i="5"/>
  <c r="D22" i="5" s="1"/>
  <c r="E24" i="5"/>
  <c r="D24" i="5" s="1"/>
  <c r="E25" i="5"/>
  <c r="D25" i="5" s="1"/>
  <c r="E20" i="5"/>
  <c r="D20" i="5" s="1"/>
  <c r="E23" i="5"/>
  <c r="D23" i="5" s="1"/>
  <c r="E21" i="5"/>
  <c r="D21" i="5" s="1"/>
  <c r="E26" i="5"/>
  <c r="D26" i="5" s="1"/>
  <c r="G5" i="5"/>
  <c r="G19" i="5" a="1"/>
  <c r="G27" i="5" a="1"/>
  <c r="G20" i="5" a="1"/>
  <c r="G21" i="5" a="1"/>
  <c r="G22" i="5" a="1"/>
  <c r="G25" i="5" a="1"/>
  <c r="G26" i="5" a="1"/>
  <c r="G23" i="5" a="1"/>
  <c r="G24" i="5" a="1"/>
  <c r="C7" i="5" a="1"/>
  <c r="C12" i="5" a="1"/>
  <c r="E7" i="5" a="1"/>
  <c r="E12" i="5" a="1"/>
  <c r="C10" i="5" a="1"/>
  <c r="E10" i="5" a="1"/>
  <c r="C11" i="5" a="1"/>
  <c r="E11" i="5" a="1"/>
  <c r="E11" i="5" l="1"/>
  <c r="C11" i="5"/>
  <c r="E10" i="5"/>
  <c r="C10" i="5"/>
  <c r="E12" i="5"/>
  <c r="E7" i="5"/>
  <c r="C12" i="5"/>
  <c r="G12" i="5" s="1"/>
  <c r="C7" i="5"/>
  <c r="G7" i="5" s="1"/>
  <c r="H9" i="5" s="1"/>
  <c r="G24" i="5"/>
  <c r="F24" i="5" s="1"/>
  <c r="G23" i="5"/>
  <c r="F23" i="5" s="1"/>
  <c r="G26" i="5"/>
  <c r="F26" i="5" s="1"/>
  <c r="G25" i="5"/>
  <c r="F25" i="5" s="1"/>
  <c r="G22" i="5"/>
  <c r="F22" i="5" s="1"/>
  <c r="G21" i="5"/>
  <c r="F21" i="5" s="1"/>
  <c r="G20" i="5"/>
  <c r="F20" i="5" s="1"/>
  <c r="G27" i="5"/>
  <c r="F27" i="5" s="1"/>
  <c r="G19" i="5"/>
  <c r="F19" i="5" s="1"/>
  <c r="F8" i="5" a="1"/>
  <c r="G11" i="5" l="1"/>
  <c r="G10" i="5"/>
  <c r="F8" i="5"/>
  <c r="G8" i="5" s="1"/>
  <c r="G9" i="5" l="1"/>
  <c r="H12" i="5"/>
  <c r="H10" i="5" l="1"/>
  <c r="H11" i="5"/>
  <c r="F27" i="8" l="1"/>
  <c r="F28" i="8"/>
  <c r="F29" i="8"/>
  <c r="D25" i="8"/>
  <c r="F25" i="8" s="1"/>
  <c r="D26" i="8"/>
  <c r="F26" i="8" s="1"/>
  <c r="E20" i="8"/>
  <c r="E19" i="8"/>
  <c r="E7" i="8"/>
  <c r="E9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6" i="8"/>
  <c r="F11" i="8" l="1"/>
  <c r="F12" i="8"/>
  <c r="F14" i="8"/>
  <c r="F16" i="8"/>
  <c r="F18" i="8"/>
  <c r="F19" i="8"/>
  <c r="F20" i="8"/>
  <c r="F21" i="8"/>
  <c r="F22" i="8"/>
  <c r="F23" i="8"/>
  <c r="F7" i="8"/>
  <c r="F8" i="8"/>
  <c r="F9" i="8"/>
  <c r="F10" i="8"/>
  <c r="E6" i="8"/>
  <c r="F6" i="8" s="1"/>
  <c r="E17" i="8" l="1"/>
  <c r="F17" i="8" s="1"/>
  <c r="E15" i="8"/>
  <c r="F15" i="8" s="1"/>
  <c r="E13" i="8"/>
  <c r="F13" i="8" s="1"/>
  <c r="F9" i="13" l="1"/>
  <c r="E18" i="5" a="1"/>
  <c r="E11" i="13" l="1"/>
  <c r="F11" i="13" s="1"/>
  <c r="E12" i="13"/>
  <c r="F12" i="13" s="1"/>
  <c r="E13" i="13"/>
  <c r="F13" i="13" s="1"/>
  <c r="E14" i="13"/>
  <c r="F14" i="13" s="1"/>
  <c r="E15" i="13"/>
  <c r="F15" i="13" s="1"/>
  <c r="E16" i="13"/>
  <c r="F16" i="13" s="1"/>
  <c r="E10" i="13"/>
  <c r="F10" i="13" s="1"/>
  <c r="E23" i="13"/>
  <c r="F23" i="13" s="1"/>
  <c r="E22" i="13"/>
  <c r="F22" i="13" s="1"/>
  <c r="E21" i="13"/>
  <c r="F21" i="13" s="1"/>
  <c r="E19" i="13"/>
  <c r="F19" i="13" s="1"/>
  <c r="E20" i="13"/>
  <c r="F20" i="13" s="1"/>
  <c r="E17" i="13"/>
  <c r="F17" i="13" s="1"/>
  <c r="E18" i="13"/>
  <c r="F18" i="13" s="1"/>
  <c r="E18" i="5"/>
  <c r="D18" i="5" s="1"/>
  <c r="G18" i="5" a="1"/>
  <c r="G18" i="5" l="1"/>
  <c r="F18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CE2603-7D37-488C-B370-3370A1387BFE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<sst xmlns="http://schemas.openxmlformats.org/spreadsheetml/2006/main" count="494" uniqueCount="146">
  <si>
    <t>Agranari TTRPG</t>
  </si>
  <si>
    <t>Species</t>
  </si>
  <si>
    <t>Max Health</t>
  </si>
  <si>
    <t>Damage Resistance</t>
  </si>
  <si>
    <t>Armor</t>
  </si>
  <si>
    <t>Accuracy</t>
  </si>
  <si>
    <t>Accuracy Variance</t>
  </si>
  <si>
    <t>Damage Variance</t>
  </si>
  <si>
    <t>Attack</t>
  </si>
  <si>
    <t>Dodge</t>
  </si>
  <si>
    <t>Dodge Variance</t>
  </si>
  <si>
    <t>Pain Tolerance</t>
  </si>
  <si>
    <t>Pain Tolerance Variance</t>
  </si>
  <si>
    <t>Durability</t>
  </si>
  <si>
    <t>Durability Variance</t>
  </si>
  <si>
    <t>Strength</t>
  </si>
  <si>
    <t>Strength Variance</t>
  </si>
  <si>
    <t>Willpower</t>
  </si>
  <si>
    <t>Willpower Factor</t>
  </si>
  <si>
    <t>Constitution</t>
  </si>
  <si>
    <t>Constitution Variance</t>
  </si>
  <si>
    <t>Speed</t>
  </si>
  <si>
    <t>Speed Variance</t>
  </si>
  <si>
    <t>Wolf</t>
  </si>
  <si>
    <t>Deer</t>
  </si>
  <si>
    <t>Bear</t>
  </si>
  <si>
    <t>Cat</t>
  </si>
  <si>
    <t>Beaver</t>
  </si>
  <si>
    <t>Spider</t>
  </si>
  <si>
    <t>Peacock</t>
  </si>
  <si>
    <t>Age * 100</t>
  </si>
  <si>
    <t>Age * 200</t>
  </si>
  <si>
    <t>Age * 150</t>
  </si>
  <si>
    <t>Age * 75</t>
  </si>
  <si>
    <t>Age * 10</t>
  </si>
  <si>
    <t>Resistance</t>
  </si>
  <si>
    <t>Bludgeoning Resist</t>
  </si>
  <si>
    <t>Age * 50</t>
  </si>
  <si>
    <t>Age * -10</t>
  </si>
  <si>
    <t>Age * 5</t>
  </si>
  <si>
    <t>Age * 0.7</t>
  </si>
  <si>
    <t>Age * 0.4</t>
  </si>
  <si>
    <t>Age * 0.3</t>
  </si>
  <si>
    <t>Age * 0.2</t>
  </si>
  <si>
    <t>Defense</t>
  </si>
  <si>
    <t>Wryonin</t>
  </si>
  <si>
    <t>Age</t>
  </si>
  <si>
    <t>Name</t>
  </si>
  <si>
    <t>Weapon</t>
  </si>
  <si>
    <t>Slingshot</t>
  </si>
  <si>
    <t>Damage</t>
  </si>
  <si>
    <t>Cat Soldier</t>
  </si>
  <si>
    <t>Sword</t>
  </si>
  <si>
    <t>Sense</t>
  </si>
  <si>
    <t>Value</t>
  </si>
  <si>
    <t>Item</t>
  </si>
  <si>
    <t>Source</t>
  </si>
  <si>
    <t>Resistance formula</t>
  </si>
  <si>
    <t>https://leagueoflegends.fandom.com/wiki/Armor</t>
  </si>
  <si>
    <t>Stat</t>
  </si>
  <si>
    <t>XP Cost</t>
  </si>
  <si>
    <t>Katana</t>
  </si>
  <si>
    <t>XP</t>
  </si>
  <si>
    <t>Stat Group</t>
  </si>
  <si>
    <t>Bonus</t>
  </si>
  <si>
    <t>Total</t>
  </si>
  <si>
    <t>Total XP</t>
  </si>
  <si>
    <t>Grappling</t>
  </si>
  <si>
    <t>Fist</t>
  </si>
  <si>
    <t>Range (m)</t>
  </si>
  <si>
    <t>Shortsword</t>
  </si>
  <si>
    <t>slingshot range</t>
  </si>
  <si>
    <t>https://www.slingshotforum.com/threads/slingshot-maximum-range-test-result-300metres.15476/</t>
  </si>
  <si>
    <t>Longsword</t>
  </si>
  <si>
    <t>Fists</t>
  </si>
  <si>
    <t>Warhammer</t>
  </si>
  <si>
    <t>Weight</t>
  </si>
  <si>
    <t>weapon stats</t>
  </si>
  <si>
    <t>https://dnd5e.wikidot.com/weapons</t>
  </si>
  <si>
    <t>Date</t>
  </si>
  <si>
    <t>Change</t>
  </si>
  <si>
    <t>Sheet</t>
  </si>
  <si>
    <t>Rename column: "Date Acquired" -&gt; "Date Accessed"</t>
  </si>
  <si>
    <t>Sources</t>
  </si>
  <si>
    <t>Date Accessed</t>
  </si>
  <si>
    <t>war hammer weight</t>
  </si>
  <si>
    <t>https://www.quora.com/How-heavy-was-Robert-Baratheons-war-hammer</t>
  </si>
  <si>
    <t>Time Cost</t>
  </si>
  <si>
    <t>Recover Time Cost</t>
  </si>
  <si>
    <t>Type</t>
  </si>
  <si>
    <t>Bludgeoning</t>
  </si>
  <si>
    <t>Slashing</t>
  </si>
  <si>
    <t>Spear</t>
  </si>
  <si>
    <t>Piercing</t>
  </si>
  <si>
    <t>Hard Swinger</t>
  </si>
  <si>
    <t>Prerequisite</t>
  </si>
  <si>
    <t>50+ Strength</t>
  </si>
  <si>
    <t>Sharpshooter</t>
  </si>
  <si>
    <t>50+ in a ranged weapon</t>
  </si>
  <si>
    <t>50+ in a Sense</t>
  </si>
  <si>
    <t>Feature</t>
  </si>
  <si>
    <t>Darkvision</t>
  </si>
  <si>
    <t>Trainable Features</t>
  </si>
  <si>
    <t>Short Description</t>
  </si>
  <si>
    <t>Darkvision Penetration, Darkvision Range, Light Resistance</t>
  </si>
  <si>
    <t>Your ranged crits have increased damage.</t>
  </si>
  <si>
    <t>50+ in a Bludgeoning melee weapon</t>
  </si>
  <si>
    <t>Climbing</t>
  </si>
  <si>
    <t>25+ Strength</t>
  </si>
  <si>
    <t>You can climb.</t>
  </si>
  <si>
    <t>aDirada's Lie</t>
  </si>
  <si>
    <t>Heart Fire</t>
  </si>
  <si>
    <t>Spell Spinner</t>
  </si>
  <si>
    <t>Add your Strength to your melee bluedgeoning damage.</t>
  </si>
  <si>
    <t>See in the dark.</t>
  </si>
  <si>
    <t>Bend reality.</t>
  </si>
  <si>
    <t>Will yourself to succeed and set things on fire.</t>
  </si>
  <si>
    <t>Weave tapestries magical effects.</t>
  </si>
  <si>
    <t>Silver Eye</t>
  </si>
  <si>
    <t>Turn things to stone.</t>
  </si>
  <si>
    <t>Crit Factor</t>
  </si>
  <si>
    <t>Great Sword</t>
  </si>
  <si>
    <t>Features</t>
  </si>
  <si>
    <t>Patient Shot</t>
  </si>
  <si>
    <t>Patience Accuracy Factor</t>
  </si>
  <si>
    <t>Base</t>
  </si>
  <si>
    <t>Variance</t>
  </si>
  <si>
    <t>Factor</t>
  </si>
  <si>
    <t>Attacker</t>
  </si>
  <si>
    <t>Defender</t>
  </si>
  <si>
    <t>Equipped Weapon</t>
  </si>
  <si>
    <t>Damage Taken</t>
  </si>
  <si>
    <t>HP</t>
  </si>
  <si>
    <t>Max HP</t>
  </si>
  <si>
    <t>Status</t>
  </si>
  <si>
    <t>WP</t>
  </si>
  <si>
    <t>Max WP</t>
  </si>
  <si>
    <t>Time</t>
  </si>
  <si>
    <t>Attacker WP</t>
  </si>
  <si>
    <t>Defender WP</t>
  </si>
  <si>
    <t>Age Factor</t>
  </si>
  <si>
    <t>Max Health Factor</t>
  </si>
  <si>
    <t>Group</t>
  </si>
  <si>
    <t>Strength Factor</t>
  </si>
  <si>
    <t>Value at Adult</t>
  </si>
  <si>
    <t>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</si>
</sst>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F9999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2" borderId="0" xfId="0" applyFill="1" applyAlignment="1">
      <alignment horizontal="center"/>
    </xf>
    <xf numFmtId="1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0" fontId="1" fillId="2" borderId="0" xfId="0" applyFont="1" applyFill="1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Fill="1" applyBorder="1"/>
    <xf numFmtId="0" fontId="1" fillId="2" borderId="0" xfId="0" applyFont="1" applyFill="1" applyAlignment="1">
      <alignment horizontal="right"/>
    </xf>
    <xf numFmtId="164" fontId="3" fillId="5" borderId="0" xfId="0" applyNumberFormat="1" applyFont="1" applyFill="1"/>
    <xf numFmtId="164" fontId="4" fillId="4" borderId="0" xfId="0" applyNumberFormat="1" applyFont="1" applyFill="1"/>
    <xf numFmtId="0" fontId="0" fillId="2" borderId="2" xfId="0" applyFill="1" applyBorder="1"/>
  </cellXfs>
  <cellStyles count="1">
    <cellStyle name="Normal" xfId="0" builtinId="0"/>
  </cellStyles>
  <dxfs count="3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colors>
    <mruColors>
      <color rgb="FFEF9999"/>
      <color rgb="FFFF2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ield\Documents\Story\AgranariTTRPG\Test\test_runs_combat.xlsx" TargetMode="External"/><Relationship Id="rId1" Type="http://schemas.openxmlformats.org/officeDocument/2006/relationships/externalLinkPath" Target="Test/test_runs_comba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_TEST_Runs"/>
      <sheetName val="_TEST_Characters"/>
    </sheetNames>
    <sheetDataSet>
      <sheetData sheetId="0">
        <row r="262">
          <cell r="C262" t="e">
            <v>#REF!</v>
          </cell>
        </row>
        <row r="263">
          <cell r="C263" t="e">
            <v>#REF!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F513-BF32-474C-B61F-C58DA5E495C3}">
  <dimension ref="A3:B10"/>
  <sheetViews>
    <sheetView workbookViewId="0">
      <selection activeCell="B11" sqref="B11"/>
    </sheetView>
  </sheetViews>
  <sheetFormatPr defaultRowHeight="15" x14ac:dyDescent="0.25"/>
  <sheetData>
    <row r="3" spans="1:2" s="1" customFormat="1" x14ac:dyDescent="0.25">
      <c r="A3" s="1" t="s">
        <v>1</v>
      </c>
      <c r="B3" s="1" t="s">
        <v>145</v>
      </c>
    </row>
    <row r="4" spans="1:2" x14ac:dyDescent="0.25">
      <c r="A4" t="s">
        <v>23</v>
      </c>
      <c r="B4">
        <v>21</v>
      </c>
    </row>
    <row r="5" spans="1:2" x14ac:dyDescent="0.25">
      <c r="A5" t="s">
        <v>24</v>
      </c>
      <c r="B5">
        <v>21</v>
      </c>
    </row>
    <row r="6" spans="1:2" x14ac:dyDescent="0.25">
      <c r="A6" t="s">
        <v>25</v>
      </c>
      <c r="B6">
        <v>21</v>
      </c>
    </row>
    <row r="7" spans="1:2" x14ac:dyDescent="0.25">
      <c r="A7" t="s">
        <v>26</v>
      </c>
      <c r="B7">
        <v>21</v>
      </c>
    </row>
    <row r="8" spans="1:2" x14ac:dyDescent="0.25">
      <c r="A8" t="s">
        <v>27</v>
      </c>
      <c r="B8">
        <v>21</v>
      </c>
    </row>
    <row r="9" spans="1:2" x14ac:dyDescent="0.25">
      <c r="A9" t="s">
        <v>28</v>
      </c>
      <c r="B9">
        <v>21</v>
      </c>
    </row>
    <row r="10" spans="1:2" x14ac:dyDescent="0.25">
      <c r="A10" t="s">
        <v>29</v>
      </c>
      <c r="B10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1A73-5AE0-4FAB-8706-E355FE46DD1E}">
  <dimension ref="A1:K40"/>
  <sheetViews>
    <sheetView workbookViewId="0">
      <selection activeCell="A41" sqref="A41"/>
    </sheetView>
  </sheetViews>
  <sheetFormatPr defaultRowHeight="15" x14ac:dyDescent="0.25"/>
  <cols>
    <col min="2" max="2" width="22.85546875" bestFit="1" customWidth="1"/>
    <col min="3" max="3" width="8.5703125" customWidth="1"/>
    <col min="5" max="5" width="10.28515625" bestFit="1" customWidth="1"/>
    <col min="11" max="11" width="9.140625" style="8"/>
  </cols>
  <sheetData>
    <row r="1" spans="1:11" x14ac:dyDescent="0.25">
      <c r="K1"/>
    </row>
    <row r="2" spans="1:11" x14ac:dyDescent="0.25">
      <c r="K2"/>
    </row>
    <row r="3" spans="1:11" s="1" customFormat="1" x14ac:dyDescent="0.25">
      <c r="A3" s="1" t="s">
        <v>1</v>
      </c>
      <c r="B3" s="1" t="s">
        <v>59</v>
      </c>
      <c r="C3" s="1" t="s">
        <v>142</v>
      </c>
      <c r="D3" s="1" t="s">
        <v>64</v>
      </c>
      <c r="E3" s="1" t="s">
        <v>140</v>
      </c>
      <c r="F3" s="1" t="s">
        <v>141</v>
      </c>
      <c r="G3" s="1" t="s">
        <v>143</v>
      </c>
      <c r="K3" s="1" t="s">
        <v>144</v>
      </c>
    </row>
    <row r="4" spans="1:11" x14ac:dyDescent="0.25">
      <c r="A4" t="s">
        <v>23</v>
      </c>
      <c r="B4" t="s">
        <v>2</v>
      </c>
      <c r="E4">
        <v>15</v>
      </c>
      <c r="K4" s="8">
        <f>E4*SUMIF(Species!A:A,Species_Stats!A4,Species!B:B)</f>
        <v>315</v>
      </c>
    </row>
    <row r="5" spans="1:11" x14ac:dyDescent="0.25">
      <c r="A5" t="s">
        <v>23</v>
      </c>
      <c r="B5" t="s">
        <v>16</v>
      </c>
      <c r="E5">
        <v>3.5</v>
      </c>
      <c r="K5" s="8">
        <f>E5*SUMIF(Species!A:A,Species_Stats!A5,Species!B:B)</f>
        <v>73.5</v>
      </c>
    </row>
    <row r="6" spans="1:11" x14ac:dyDescent="0.25">
      <c r="A6" t="s">
        <v>23</v>
      </c>
      <c r="B6" t="s">
        <v>22</v>
      </c>
      <c r="E6">
        <v>0.15</v>
      </c>
      <c r="K6" s="8">
        <f>E6*SUMIF(Species!A:A,Species_Stats!A6,Species!B:B)</f>
        <v>3.15</v>
      </c>
    </row>
    <row r="7" spans="1:11" x14ac:dyDescent="0.25">
      <c r="A7" t="s">
        <v>23</v>
      </c>
      <c r="B7" t="s">
        <v>13</v>
      </c>
      <c r="F7">
        <v>0.1</v>
      </c>
      <c r="K7" s="8">
        <f>E7*SUMIF(Species!A:A,Species_Stats!A7,Species!B:B)</f>
        <v>0</v>
      </c>
    </row>
    <row r="8" spans="1:11" x14ac:dyDescent="0.25">
      <c r="A8" t="s">
        <v>23</v>
      </c>
      <c r="B8" t="s">
        <v>14</v>
      </c>
      <c r="F8">
        <v>0.1</v>
      </c>
      <c r="K8" s="8">
        <f>E8*SUMIF(Species!A:A,Species_Stats!A8,Species!B:B)</f>
        <v>0</v>
      </c>
    </row>
    <row r="9" spans="1:11" x14ac:dyDescent="0.25">
      <c r="A9" t="s">
        <v>23</v>
      </c>
      <c r="B9" t="s">
        <v>11</v>
      </c>
      <c r="F9">
        <v>0.05</v>
      </c>
      <c r="K9" s="8">
        <f>E9*SUMIF(Species!A:A,Species_Stats!A9,Species!B:B)</f>
        <v>0</v>
      </c>
    </row>
    <row r="10" spans="1:11" x14ac:dyDescent="0.25">
      <c r="A10" t="s">
        <v>23</v>
      </c>
      <c r="B10" t="s">
        <v>12</v>
      </c>
      <c r="F10">
        <v>0.05</v>
      </c>
      <c r="K10" s="8">
        <f>E10*SUMIF(Species!A:A,Species_Stats!A10,Species!B:B)</f>
        <v>0</v>
      </c>
    </row>
    <row r="11" spans="1:11" x14ac:dyDescent="0.25">
      <c r="A11" t="s">
        <v>23</v>
      </c>
      <c r="B11" t="s">
        <v>19</v>
      </c>
      <c r="F11">
        <v>0.5</v>
      </c>
      <c r="K11" s="8">
        <f>E11*SUMIF(Species!A:A,Species_Stats!A11,Species!B:B)</f>
        <v>0</v>
      </c>
    </row>
    <row r="12" spans="1:11" x14ac:dyDescent="0.25">
      <c r="A12" t="s">
        <v>23</v>
      </c>
      <c r="B12" t="s">
        <v>20</v>
      </c>
      <c r="F12">
        <v>0.3</v>
      </c>
      <c r="K12" s="8">
        <f>E12*SUMIF(Species!A:A,Species_Stats!A12,Species!B:B)</f>
        <v>0</v>
      </c>
    </row>
    <row r="13" spans="1:11" x14ac:dyDescent="0.25">
      <c r="A13" t="s">
        <v>23</v>
      </c>
      <c r="B13" t="s">
        <v>17</v>
      </c>
      <c r="E13">
        <v>1.75</v>
      </c>
      <c r="K13" s="8">
        <f>E13*SUMIF(Species!A:A,Species_Stats!A13,Species!B:B)</f>
        <v>36.75</v>
      </c>
    </row>
    <row r="14" spans="1:11" x14ac:dyDescent="0.25">
      <c r="A14" t="s">
        <v>23</v>
      </c>
      <c r="B14" t="s">
        <v>18</v>
      </c>
      <c r="E14">
        <v>0.01</v>
      </c>
      <c r="K14" s="8">
        <f>E14*SUMIF(Species!A:A,Species_Stats!A14,Species!B:B)</f>
        <v>0.21</v>
      </c>
    </row>
    <row r="15" spans="1:11" x14ac:dyDescent="0.25">
      <c r="A15" t="s">
        <v>23</v>
      </c>
      <c r="B15" t="s">
        <v>7</v>
      </c>
      <c r="C15" t="s">
        <v>68</v>
      </c>
      <c r="G15">
        <v>0.1</v>
      </c>
      <c r="K15" s="8">
        <f>E15*SUMIF(Species!A:A,Species_Stats!A15,Species!B:B)</f>
        <v>0</v>
      </c>
    </row>
    <row r="16" spans="1:11" x14ac:dyDescent="0.25">
      <c r="A16" t="s">
        <v>23</v>
      </c>
      <c r="B16" t="s">
        <v>10</v>
      </c>
      <c r="E16">
        <v>1</v>
      </c>
      <c r="K16" s="8">
        <f>E16*SUMIF(Species!A:A,Species_Stats!A16,Species!B:B)</f>
        <v>21</v>
      </c>
    </row>
    <row r="17" spans="1:11" x14ac:dyDescent="0.25">
      <c r="A17" t="s">
        <v>26</v>
      </c>
      <c r="B17" t="s">
        <v>2</v>
      </c>
      <c r="E17">
        <v>7</v>
      </c>
      <c r="K17" s="8">
        <f>E17*SUMIF(Species!A:A,Species_Stats!A17,Species!B:B)</f>
        <v>147</v>
      </c>
    </row>
    <row r="18" spans="1:11" x14ac:dyDescent="0.25">
      <c r="A18" t="s">
        <v>26</v>
      </c>
      <c r="B18" t="s">
        <v>16</v>
      </c>
      <c r="E18">
        <v>1.5</v>
      </c>
      <c r="K18" s="8">
        <f>E18*SUMIF(Species!A:A,Species_Stats!A18,Species!B:B)</f>
        <v>31.5</v>
      </c>
    </row>
    <row r="19" spans="1:11" x14ac:dyDescent="0.25">
      <c r="A19" t="s">
        <v>26</v>
      </c>
      <c r="B19" t="s">
        <v>21</v>
      </c>
      <c r="D19">
        <v>1</v>
      </c>
      <c r="E19">
        <v>0.01</v>
      </c>
      <c r="K19" s="8">
        <f>E19*SUMIF(Species!A:A,Species_Stats!A19,Species!B:B)</f>
        <v>0.21</v>
      </c>
    </row>
    <row r="20" spans="1:11" x14ac:dyDescent="0.25">
      <c r="A20" t="s">
        <v>26</v>
      </c>
      <c r="B20" t="s">
        <v>22</v>
      </c>
      <c r="E20">
        <v>0.12</v>
      </c>
      <c r="K20" s="8">
        <f>E20*SUMIF(Species!A:A,Species_Stats!A20,Species!B:B)</f>
        <v>2.52</v>
      </c>
    </row>
    <row r="21" spans="1:11" x14ac:dyDescent="0.25">
      <c r="A21" t="s">
        <v>26</v>
      </c>
      <c r="B21" t="s">
        <v>13</v>
      </c>
      <c r="F21">
        <v>0.09</v>
      </c>
      <c r="K21" s="8">
        <f>E21*SUMIF(Species!A:A,Species_Stats!A21,Species!B:B)</f>
        <v>0</v>
      </c>
    </row>
    <row r="22" spans="1:11" x14ac:dyDescent="0.25">
      <c r="A22" t="s">
        <v>26</v>
      </c>
      <c r="B22" t="s">
        <v>14</v>
      </c>
      <c r="F22">
        <v>0.1</v>
      </c>
      <c r="K22" s="8">
        <f>E22*SUMIF(Species!A:A,Species_Stats!A22,Species!B:B)</f>
        <v>0</v>
      </c>
    </row>
    <row r="23" spans="1:11" x14ac:dyDescent="0.25">
      <c r="A23" t="s">
        <v>26</v>
      </c>
      <c r="B23" t="s">
        <v>11</v>
      </c>
      <c r="F23">
        <v>0.04</v>
      </c>
      <c r="K23" s="8">
        <f>E23*SUMIF(Species!A:A,Species_Stats!A23,Species!B:B)</f>
        <v>0</v>
      </c>
    </row>
    <row r="24" spans="1:11" x14ac:dyDescent="0.25">
      <c r="A24" t="s">
        <v>26</v>
      </c>
      <c r="B24" t="s">
        <v>12</v>
      </c>
      <c r="F24">
        <v>7.0000000000000007E-2</v>
      </c>
      <c r="K24" s="8">
        <f>E24*SUMIF(Species!A:A,Species_Stats!A24,Species!B:B)</f>
        <v>0</v>
      </c>
    </row>
    <row r="25" spans="1:11" x14ac:dyDescent="0.25">
      <c r="A25" t="s">
        <v>26</v>
      </c>
      <c r="B25" t="s">
        <v>19</v>
      </c>
      <c r="F25">
        <v>0.45</v>
      </c>
      <c r="K25" s="8">
        <f>E25*SUMIF(Species!A:A,Species_Stats!A25,Species!B:B)</f>
        <v>0</v>
      </c>
    </row>
    <row r="26" spans="1:11" x14ac:dyDescent="0.25">
      <c r="A26" t="s">
        <v>26</v>
      </c>
      <c r="B26" t="s">
        <v>17</v>
      </c>
      <c r="E26">
        <v>2.5</v>
      </c>
      <c r="K26" s="8">
        <f>E26*SUMIF(Species!A:A,Species_Stats!A26,Species!B:B)</f>
        <v>52.5</v>
      </c>
    </row>
    <row r="27" spans="1:11" x14ac:dyDescent="0.25">
      <c r="A27" t="s">
        <v>26</v>
      </c>
      <c r="B27" t="s">
        <v>18</v>
      </c>
      <c r="E27">
        <v>0.05</v>
      </c>
      <c r="K27" s="8">
        <f>E27*SUMIF(Species!A:A,Species_Stats!A27,Species!B:B)</f>
        <v>1.05</v>
      </c>
    </row>
    <row r="28" spans="1:11" x14ac:dyDescent="0.25">
      <c r="A28" t="s">
        <v>26</v>
      </c>
      <c r="B28" t="s">
        <v>7</v>
      </c>
      <c r="C28" t="s">
        <v>68</v>
      </c>
      <c r="G28">
        <v>0.1</v>
      </c>
      <c r="K28" s="8">
        <f>E28*SUMIF(Species!A:A,Species_Stats!A28,Species!B:B)</f>
        <v>0</v>
      </c>
    </row>
    <row r="29" spans="1:11" x14ac:dyDescent="0.25">
      <c r="A29" t="s">
        <v>26</v>
      </c>
      <c r="B29" t="s">
        <v>10</v>
      </c>
      <c r="E29">
        <v>2.1</v>
      </c>
      <c r="K29" s="8">
        <f>E29*SUMIF(Species!A:A,Species_Stats!A29,Species!B:B)</f>
        <v>44.1</v>
      </c>
    </row>
    <row r="30" spans="1:11" x14ac:dyDescent="0.25">
      <c r="A30" t="s">
        <v>24</v>
      </c>
      <c r="B30" t="s">
        <v>2</v>
      </c>
      <c r="E30">
        <v>12</v>
      </c>
      <c r="K30" s="8">
        <f>E30*SUMIF(Species!A:A,Species_Stats!A30,Species!B:B)</f>
        <v>252</v>
      </c>
    </row>
    <row r="31" spans="1:11" x14ac:dyDescent="0.25">
      <c r="A31" t="s">
        <v>24</v>
      </c>
      <c r="B31" t="s">
        <v>15</v>
      </c>
      <c r="E31">
        <v>1</v>
      </c>
      <c r="K31" s="8">
        <f>E31*SUMIF(Species!A:A,Species_Stats!A31,Species!B:B)</f>
        <v>21</v>
      </c>
    </row>
    <row r="32" spans="1:11" x14ac:dyDescent="0.25">
      <c r="A32" t="s">
        <v>24</v>
      </c>
      <c r="B32" t="s">
        <v>21</v>
      </c>
      <c r="D32">
        <v>1</v>
      </c>
      <c r="E32">
        <v>0.15</v>
      </c>
      <c r="K32" s="8">
        <f>E32*SUMIF(Species!A:A,Species_Stats!A32,Species!B:B)</f>
        <v>3.15</v>
      </c>
    </row>
    <row r="33" spans="1:11" x14ac:dyDescent="0.25">
      <c r="A33" t="s">
        <v>24</v>
      </c>
      <c r="B33" t="s">
        <v>22</v>
      </c>
      <c r="E33">
        <v>0.2</v>
      </c>
      <c r="K33" s="8">
        <f>E33*SUMIF(Species!A:A,Species_Stats!A33,Species!B:B)</f>
        <v>4.2</v>
      </c>
    </row>
    <row r="34" spans="1:11" x14ac:dyDescent="0.25">
      <c r="A34" t="s">
        <v>24</v>
      </c>
      <c r="B34" t="s">
        <v>13</v>
      </c>
      <c r="F34">
        <v>0.08</v>
      </c>
      <c r="K34" s="8">
        <f>E34*SUMIF(Species!A:A,Species_Stats!A34,Species!B:B)</f>
        <v>0</v>
      </c>
    </row>
    <row r="35" spans="1:11" x14ac:dyDescent="0.25">
      <c r="A35" t="s">
        <v>24</v>
      </c>
      <c r="B35" t="s">
        <v>11</v>
      </c>
      <c r="F35">
        <v>0.15</v>
      </c>
      <c r="K35" s="8">
        <f>E35*SUMIF(Species!A:A,Species_Stats!A35,Species!B:B)</f>
        <v>0</v>
      </c>
    </row>
    <row r="36" spans="1:11" x14ac:dyDescent="0.25">
      <c r="A36" t="s">
        <v>24</v>
      </c>
      <c r="B36" t="s">
        <v>19</v>
      </c>
      <c r="F36">
        <v>0.6</v>
      </c>
      <c r="K36" s="8">
        <f>E36*SUMIF(Species!A:A,Species_Stats!A36,Species!B:B)</f>
        <v>0</v>
      </c>
    </row>
    <row r="37" spans="1:11" x14ac:dyDescent="0.25">
      <c r="A37" t="s">
        <v>24</v>
      </c>
      <c r="B37" t="s">
        <v>20</v>
      </c>
      <c r="E37">
        <v>0.25</v>
      </c>
      <c r="K37" s="8">
        <f>E37*SUMIF(Species!A:A,Species_Stats!A37,Species!B:B)</f>
        <v>5.25</v>
      </c>
    </row>
    <row r="38" spans="1:11" x14ac:dyDescent="0.25">
      <c r="A38" t="s">
        <v>24</v>
      </c>
      <c r="B38" t="s">
        <v>17</v>
      </c>
      <c r="E38">
        <v>0.5</v>
      </c>
      <c r="K38" s="8">
        <f>E38*SUMIF(Species!A:A,Species_Stats!A38,Species!B:B)</f>
        <v>10.5</v>
      </c>
    </row>
    <row r="39" spans="1:11" x14ac:dyDescent="0.25">
      <c r="A39" t="s">
        <v>24</v>
      </c>
      <c r="B39" t="s">
        <v>9</v>
      </c>
      <c r="E39">
        <v>0.2</v>
      </c>
      <c r="K39" s="8">
        <f>E39*SUMIF(Species!A:A,Species_Stats!A39,Species!B:B)</f>
        <v>4.2</v>
      </c>
    </row>
    <row r="40" spans="1:11" x14ac:dyDescent="0.25">
      <c r="A40" t="s">
        <v>24</v>
      </c>
      <c r="B40" t="s">
        <v>10</v>
      </c>
      <c r="E40">
        <v>1</v>
      </c>
      <c r="K40" s="8">
        <f>E40*SUMIF(Species!A:A,Species_Stats!A40,Species!B:B)</f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BEF07E6-785A-45E2-B6B5-E7C3D0E3F99C}">
          <x14:formula1>
            <xm:f>'STAT COSTS'!$A:$A</xm:f>
          </x14:formula1>
          <xm:sqref>B4:B1048576</xm:sqref>
        </x14:dataValidation>
        <x14:dataValidation type="list" allowBlank="1" showInputMessage="1" showErrorMessage="1" xr:uid="{B9EAA7AC-64BF-48E6-972B-DA5475C10FE4}">
          <x14:formula1>
            <xm:f>Species!$A$4:$A$10</xm:f>
          </x14:formula1>
          <xm:sqref>A4:A1048576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6ADB3-3614-4A02-AC61-29B5FE861A9E}">
  <dimension ref="A1:W10"/>
  <sheetViews>
    <sheetView workbookViewId="0">
      <selection activeCell="B7" sqref="B7"/>
    </sheetView>
  </sheetViews>
  <sheetFormatPr defaultRowHeight="15" x14ac:dyDescent="0.25"/>
  <cols>
    <col min="11" max="11" width="4" customWidth="1"/>
    <col min="13" max="13" width="3.42578125" customWidth="1"/>
    <col min="15" max="15" width="4.85546875" customWidth="1"/>
    <col min="17" max="17" width="3.42578125" customWidth="1"/>
    <col min="18" max="18" width="9.140625" customWidth="1"/>
    <col min="19" max="19" width="3.42578125" customWidth="1"/>
    <col min="21" max="21" width="4.28515625" customWidth="1"/>
    <col min="23" max="23" width="3.85546875" customWidth="1"/>
  </cols>
  <sheetData>
    <row r="1" spans="1:23" x14ac:dyDescent="0.25">
      <c r="A1" t="s">
        <v>0</v>
      </c>
    </row>
    <row r="2" spans="1:23" x14ac:dyDescent="0.25">
      <c r="C2" s="9" t="s">
        <v>35</v>
      </c>
      <c r="D2" s="9"/>
      <c r="E2" s="9"/>
      <c r="F2" s="9"/>
      <c r="G2" s="9" t="s">
        <v>8</v>
      </c>
      <c r="H2" s="9"/>
      <c r="I2" s="9"/>
      <c r="J2" s="9" t="s">
        <v>44</v>
      </c>
      <c r="K2" s="9"/>
      <c r="L2" s="9"/>
      <c r="M2" s="9"/>
      <c r="N2" s="9"/>
      <c r="O2" s="9"/>
    </row>
    <row r="3" spans="1:23" s="1" customFormat="1" x14ac:dyDescent="0.25">
      <c r="A3" s="1" t="s">
        <v>1</v>
      </c>
      <c r="B3" s="1" t="s">
        <v>2</v>
      </c>
      <c r="C3" s="1" t="s">
        <v>3</v>
      </c>
      <c r="E3" s="1" t="s">
        <v>4</v>
      </c>
      <c r="F3" s="1" t="s">
        <v>36</v>
      </c>
      <c r="G3" s="1" t="s">
        <v>5</v>
      </c>
      <c r="H3" s="1" t="s">
        <v>6</v>
      </c>
      <c r="I3" s="1" t="s">
        <v>7</v>
      </c>
      <c r="J3" s="1" t="s">
        <v>9</v>
      </c>
      <c r="K3" s="1" t="s">
        <v>10</v>
      </c>
      <c r="L3" s="1" t="s">
        <v>13</v>
      </c>
      <c r="M3" s="1" t="s">
        <v>14</v>
      </c>
      <c r="N3" s="1" t="s">
        <v>11</v>
      </c>
      <c r="O3" s="1" t="s">
        <v>12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</row>
    <row r="4" spans="1:23" x14ac:dyDescent="0.25">
      <c r="A4" t="s">
        <v>23</v>
      </c>
      <c r="B4" t="s">
        <v>32</v>
      </c>
      <c r="J4" t="s">
        <v>34</v>
      </c>
      <c r="V4" t="s">
        <v>40</v>
      </c>
    </row>
    <row r="5" spans="1:23" x14ac:dyDescent="0.25">
      <c r="A5" t="s">
        <v>24</v>
      </c>
      <c r="B5" t="s">
        <v>32</v>
      </c>
      <c r="J5" t="s">
        <v>39</v>
      </c>
      <c r="V5" t="s">
        <v>40</v>
      </c>
    </row>
    <row r="6" spans="1:23" x14ac:dyDescent="0.25">
      <c r="A6" t="s">
        <v>25</v>
      </c>
      <c r="B6" t="s">
        <v>31</v>
      </c>
      <c r="I6">
        <v>100</v>
      </c>
      <c r="J6" t="s">
        <v>38</v>
      </c>
      <c r="P6" t="s">
        <v>37</v>
      </c>
      <c r="T6">
        <v>100</v>
      </c>
      <c r="V6" t="s">
        <v>41</v>
      </c>
    </row>
    <row r="7" spans="1:23" x14ac:dyDescent="0.25">
      <c r="A7" t="s">
        <v>26</v>
      </c>
      <c r="B7" t="s">
        <v>30</v>
      </c>
      <c r="J7" t="s">
        <v>37</v>
      </c>
      <c r="V7" t="s">
        <v>42</v>
      </c>
    </row>
    <row r="8" spans="1:23" x14ac:dyDescent="0.25">
      <c r="A8" t="s">
        <v>27</v>
      </c>
      <c r="B8" t="s">
        <v>33</v>
      </c>
      <c r="J8">
        <v>-20</v>
      </c>
      <c r="V8" t="s">
        <v>43</v>
      </c>
    </row>
    <row r="9" spans="1:23" x14ac:dyDescent="0.25">
      <c r="A9" t="s">
        <v>28</v>
      </c>
      <c r="B9" t="s">
        <v>34</v>
      </c>
      <c r="J9">
        <v>-100</v>
      </c>
      <c r="V9">
        <v>1</v>
      </c>
    </row>
    <row r="10" spans="1:23" x14ac:dyDescent="0.25">
      <c r="A10" t="s">
        <v>29</v>
      </c>
      <c r="B10" t="s">
        <v>33</v>
      </c>
      <c r="F10">
        <v>-50</v>
      </c>
      <c r="J10">
        <v>50</v>
      </c>
      <c r="V10" t="s">
        <v>42</v>
      </c>
    </row>
  </sheetData>
  <mergeCells count="3">
    <mergeCell ref="G2:I2"/>
    <mergeCell ref="C2:F2"/>
    <mergeCell ref="J2:O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6C47-5FA5-4543-A362-42AABF32F26D}">
  <dimension ref="A1:F30"/>
  <sheetViews>
    <sheetView workbookViewId="0">
      <selection activeCell="C28" sqref="C28"/>
    </sheetView>
  </sheetViews>
  <sheetFormatPr defaultRowHeight="15" x14ac:dyDescent="0.25"/>
  <cols>
    <col min="1" max="1" width="22.85546875" bestFit="1" customWidth="1"/>
    <col min="2" max="2" width="15.42578125" customWidth="1"/>
    <col min="4" max="4" width="9.140625" style="8"/>
  </cols>
  <sheetData>
    <row r="1" spans="1:6" x14ac:dyDescent="0.25">
      <c r="D1"/>
    </row>
    <row r="2" spans="1:6" x14ac:dyDescent="0.25">
      <c r="A2" s="1" t="s">
        <v>47</v>
      </c>
      <c r="B2" s="1" t="s">
        <v>46</v>
      </c>
      <c r="C2" s="1" t="s">
        <v>66</v>
      </c>
      <c r="D2"/>
    </row>
    <row r="3" spans="1:6" x14ac:dyDescent="0.25">
      <c r="A3" t="s">
        <v>45</v>
      </c>
      <c r="B3">
        <v>16</v>
      </c>
      <c r="C3">
        <f>SUM(C6:C99)</f>
        <v>950</v>
      </c>
      <c r="D3"/>
    </row>
    <row r="4" spans="1:6" x14ac:dyDescent="0.25">
      <c r="D4"/>
    </row>
    <row r="5" spans="1:6" s="1" customFormat="1" x14ac:dyDescent="0.25">
      <c r="A5" s="1" t="s">
        <v>59</v>
      </c>
      <c r="B5" s="1" t="s">
        <v>63</v>
      </c>
      <c r="C5" s="1" t="s">
        <v>62</v>
      </c>
      <c r="D5" s="1" t="s">
        <v>54</v>
      </c>
      <c r="E5" s="1" t="s">
        <v>64</v>
      </c>
      <c r="F5" s="1" t="s">
        <v>65</v>
      </c>
    </row>
    <row r="6" spans="1:6" x14ac:dyDescent="0.25">
      <c r="A6" t="s">
        <v>2</v>
      </c>
      <c r="C6">
        <v>10</v>
      </c>
      <c r="D6" s="8">
        <f>$C6/LOOKUP($A6,'STAT COSTS'!$A:$A,'STAT COSTS'!$B:$B)</f>
        <v>1</v>
      </c>
      <c r="E6">
        <f>B3*15</f>
        <v>240</v>
      </c>
      <c r="F6" s="8">
        <f>D6+E6</f>
        <v>241</v>
      </c>
    </row>
    <row r="7" spans="1:6" x14ac:dyDescent="0.25">
      <c r="A7" t="s">
        <v>15</v>
      </c>
      <c r="C7">
        <v>10</v>
      </c>
      <c r="D7" s="8">
        <f>$C7/LOOKUP($A7,'STAT COSTS'!$A:$A,'STAT COSTS'!$B:$B)</f>
        <v>0.55555555555555558</v>
      </c>
      <c r="E7">
        <f>(MIN(B3,30)*3.5)</f>
        <v>56</v>
      </c>
      <c r="F7" s="8">
        <f t="shared" ref="F7:F30" si="0">D7+E7</f>
        <v>56.555555555555557</v>
      </c>
    </row>
    <row r="8" spans="1:6" x14ac:dyDescent="0.25">
      <c r="A8" t="s">
        <v>16</v>
      </c>
      <c r="C8">
        <v>10</v>
      </c>
      <c r="D8" s="8">
        <f>$C8/LOOKUP($A8,'STAT COSTS'!$A:$A,'STAT COSTS'!$B:$B)</f>
        <v>1</v>
      </c>
      <c r="F8" s="8">
        <f t="shared" si="0"/>
        <v>1</v>
      </c>
    </row>
    <row r="9" spans="1:6" x14ac:dyDescent="0.25">
      <c r="A9" t="s">
        <v>21</v>
      </c>
      <c r="C9">
        <v>50</v>
      </c>
      <c r="D9" s="8">
        <f>$C9/LOOKUP($A9,'STAT COSTS'!$A:$A,'STAT COSTS'!$B:$B)</f>
        <v>2.7777777777777777</v>
      </c>
      <c r="E9">
        <f>MIN(B3,30)*0.15</f>
        <v>2.4</v>
      </c>
      <c r="F9" s="8">
        <f t="shared" si="0"/>
        <v>5.1777777777777771</v>
      </c>
    </row>
    <row r="10" spans="1:6" x14ac:dyDescent="0.25">
      <c r="A10" t="s">
        <v>22</v>
      </c>
      <c r="C10">
        <v>20</v>
      </c>
      <c r="D10" s="8">
        <f>$C10/LOOKUP($A10,'STAT COSTS'!$A:$A,'STAT COSTS'!$B:$B)</f>
        <v>2.5</v>
      </c>
      <c r="F10" s="8">
        <f t="shared" si="0"/>
        <v>2.5</v>
      </c>
    </row>
    <row r="11" spans="1:6" x14ac:dyDescent="0.25">
      <c r="A11" t="s">
        <v>9</v>
      </c>
      <c r="C11">
        <v>10</v>
      </c>
      <c r="D11" s="8">
        <f>$C11/LOOKUP($A11,'STAT COSTS'!$A:$A,'STAT COSTS'!$B:$B)</f>
        <v>0.4</v>
      </c>
      <c r="F11" s="8">
        <f t="shared" si="0"/>
        <v>0.4</v>
      </c>
    </row>
    <row r="12" spans="1:6" x14ac:dyDescent="0.25">
      <c r="A12" t="s">
        <v>10</v>
      </c>
      <c r="C12">
        <v>10</v>
      </c>
      <c r="D12" s="8">
        <f>$C12/LOOKUP($A12,'STAT COSTS'!$A:$A,'STAT COSTS'!$B:$B)</f>
        <v>2</v>
      </c>
      <c r="F12" s="8">
        <f t="shared" si="0"/>
        <v>2</v>
      </c>
    </row>
    <row r="13" spans="1:6" x14ac:dyDescent="0.25">
      <c r="A13" t="s">
        <v>13</v>
      </c>
      <c r="C13">
        <v>10</v>
      </c>
      <c r="D13" s="8">
        <f>$C13/LOOKUP($A13,'STAT COSTS'!$A:$A,'STAT COSTS'!$B:$B)</f>
        <v>0.83333333333333337</v>
      </c>
      <c r="E13">
        <f>F6*0.1</f>
        <v>24.1</v>
      </c>
      <c r="F13" s="8">
        <f t="shared" si="0"/>
        <v>24.933333333333334</v>
      </c>
    </row>
    <row r="14" spans="1:6" x14ac:dyDescent="0.25">
      <c r="A14" t="s">
        <v>14</v>
      </c>
      <c r="C14">
        <v>10</v>
      </c>
      <c r="D14" s="8">
        <f>$C14/LOOKUP($A14,'STAT COSTS'!$A:$A,'STAT COSTS'!$B:$B)</f>
        <v>2.5</v>
      </c>
      <c r="F14" s="8">
        <f t="shared" si="0"/>
        <v>2.5</v>
      </c>
    </row>
    <row r="15" spans="1:6" x14ac:dyDescent="0.25">
      <c r="A15" t="s">
        <v>11</v>
      </c>
      <c r="C15">
        <v>10</v>
      </c>
      <c r="D15" s="8">
        <f>$C15/LOOKUP($A15,'STAT COSTS'!$A:$A,'STAT COSTS'!$B:$B)</f>
        <v>0.90909090909090906</v>
      </c>
      <c r="E15">
        <f>F6*0.05</f>
        <v>12.05</v>
      </c>
      <c r="F15" s="8">
        <f t="shared" si="0"/>
        <v>12.959090909090909</v>
      </c>
    </row>
    <row r="16" spans="1:6" x14ac:dyDescent="0.25">
      <c r="A16" t="s">
        <v>12</v>
      </c>
      <c r="C16">
        <v>10</v>
      </c>
      <c r="D16" s="8">
        <f>$C16/LOOKUP($A16,'STAT COSTS'!$A:$A,'STAT COSTS'!$B:$B)</f>
        <v>2.5</v>
      </c>
      <c r="F16" s="8">
        <f t="shared" si="0"/>
        <v>2.5</v>
      </c>
    </row>
    <row r="17" spans="1:6" x14ac:dyDescent="0.25">
      <c r="A17" t="s">
        <v>19</v>
      </c>
      <c r="C17">
        <v>10</v>
      </c>
      <c r="D17" s="8">
        <f>$C17/LOOKUP($A17,'STAT COSTS'!$A:$A,'STAT COSTS'!$B:$B)</f>
        <v>1</v>
      </c>
      <c r="E17">
        <f>F6*0.5</f>
        <v>120.5</v>
      </c>
      <c r="F17" s="8">
        <f t="shared" si="0"/>
        <v>121.5</v>
      </c>
    </row>
    <row r="18" spans="1:6" x14ac:dyDescent="0.25">
      <c r="A18" t="s">
        <v>20</v>
      </c>
      <c r="C18">
        <v>10</v>
      </c>
      <c r="D18" s="8">
        <f>$C18/LOOKUP($A18,'STAT COSTS'!$A:$A,'STAT COSTS'!$B:$B)</f>
        <v>5</v>
      </c>
      <c r="F18" s="8">
        <f t="shared" si="0"/>
        <v>5</v>
      </c>
    </row>
    <row r="19" spans="1:6" x14ac:dyDescent="0.25">
      <c r="A19" t="s">
        <v>17</v>
      </c>
      <c r="C19">
        <v>10</v>
      </c>
      <c r="D19" s="8">
        <f>$C19/LOOKUP($A19,'STAT COSTS'!$A:$A,'STAT COSTS'!$B:$B)</f>
        <v>0.66666666666666663</v>
      </c>
      <c r="E19">
        <f>B3*1.75</f>
        <v>28</v>
      </c>
      <c r="F19" s="8">
        <f t="shared" si="0"/>
        <v>28.666666666666668</v>
      </c>
    </row>
    <row r="20" spans="1:6" x14ac:dyDescent="0.25">
      <c r="A20" t="s">
        <v>18</v>
      </c>
      <c r="C20">
        <v>10</v>
      </c>
      <c r="D20" s="8">
        <f>$C20/LOOKUP($A20,'STAT COSTS'!$A:$A,'STAT COSTS'!$B:$B)</f>
        <v>0.2</v>
      </c>
      <c r="E20">
        <f>1</f>
        <v>1</v>
      </c>
      <c r="F20" s="8">
        <f t="shared" si="0"/>
        <v>1.2</v>
      </c>
    </row>
    <row r="21" spans="1:6" x14ac:dyDescent="0.25">
      <c r="A21" t="s">
        <v>5</v>
      </c>
      <c r="B21" t="s">
        <v>49</v>
      </c>
      <c r="C21">
        <v>200</v>
      </c>
      <c r="D21" s="8">
        <f>$C21/LOOKUP($A21,'STAT COSTS'!$A:$A,'STAT COSTS'!$B:$B)</f>
        <v>9.0909090909090917</v>
      </c>
      <c r="F21" s="8">
        <f t="shared" si="0"/>
        <v>9.0909090909090917</v>
      </c>
    </row>
    <row r="22" spans="1:6" x14ac:dyDescent="0.25">
      <c r="A22" t="s">
        <v>6</v>
      </c>
      <c r="B22" t="s">
        <v>49</v>
      </c>
      <c r="C22">
        <v>300</v>
      </c>
      <c r="D22" s="8">
        <f>$C22/LOOKUP($A22,'STAT COSTS'!$A:$A,'STAT COSTS'!$B:$B)</f>
        <v>33.333333333333336</v>
      </c>
      <c r="F22" s="8">
        <f t="shared" si="0"/>
        <v>33.333333333333336</v>
      </c>
    </row>
    <row r="23" spans="1:6" x14ac:dyDescent="0.25">
      <c r="A23" t="s">
        <v>7</v>
      </c>
      <c r="B23" t="s">
        <v>49</v>
      </c>
      <c r="C23">
        <v>10</v>
      </c>
      <c r="D23" s="8">
        <f>$C23/LOOKUP($A23,'STAT COSTS'!$A:$A,'STAT COSTS'!$B:$B)</f>
        <v>2</v>
      </c>
      <c r="F23" s="8">
        <f t="shared" si="0"/>
        <v>2</v>
      </c>
    </row>
    <row r="24" spans="1:6" x14ac:dyDescent="0.25">
      <c r="A24" t="s">
        <v>120</v>
      </c>
      <c r="B24" t="s">
        <v>49</v>
      </c>
      <c r="C24">
        <v>200</v>
      </c>
      <c r="D24" s="8">
        <f>$C24/LOOKUP($A24,'STAT COSTS'!$A:$A,'STAT COSTS'!$B:$B)</f>
        <v>1</v>
      </c>
      <c r="E24">
        <v>1</v>
      </c>
      <c r="F24" s="8">
        <f t="shared" si="0"/>
        <v>2</v>
      </c>
    </row>
    <row r="25" spans="1:6" x14ac:dyDescent="0.25">
      <c r="A25" t="s">
        <v>5</v>
      </c>
      <c r="B25" t="s">
        <v>67</v>
      </c>
      <c r="C25">
        <v>20</v>
      </c>
      <c r="D25" s="8">
        <f>$C25/LOOKUP($A25,'STAT COSTS'!$A:$A,'STAT COSTS'!$B:$B)</f>
        <v>0.90909090909090906</v>
      </c>
      <c r="F25" s="8">
        <f t="shared" si="0"/>
        <v>0.90909090909090906</v>
      </c>
    </row>
    <row r="26" spans="1:6" x14ac:dyDescent="0.25">
      <c r="A26" t="s">
        <v>6</v>
      </c>
      <c r="B26" t="s">
        <v>67</v>
      </c>
      <c r="C26">
        <v>20</v>
      </c>
      <c r="D26" s="8">
        <f>$C26/LOOKUP($A26,'STAT COSTS'!$A:$A,'STAT COSTS'!$B:$B)</f>
        <v>2.2222222222222223</v>
      </c>
      <c r="F26" s="8">
        <f t="shared" si="0"/>
        <v>2.2222222222222223</v>
      </c>
    </row>
    <row r="27" spans="1:6" x14ac:dyDescent="0.25">
      <c r="A27" t="s">
        <v>5</v>
      </c>
      <c r="B27" t="s">
        <v>68</v>
      </c>
      <c r="D27" s="8">
        <f>$C27/LOOKUP($A27,'STAT COSTS'!$A:$A,'STAT COSTS'!$B:$B)</f>
        <v>0</v>
      </c>
      <c r="F27" s="8">
        <f t="shared" si="0"/>
        <v>0</v>
      </c>
    </row>
    <row r="28" spans="1:6" x14ac:dyDescent="0.25">
      <c r="A28" t="s">
        <v>6</v>
      </c>
      <c r="B28" t="s">
        <v>68</v>
      </c>
      <c r="D28" s="8">
        <f>$C28/LOOKUP($A28,'STAT COSTS'!$A:$A,'STAT COSTS'!$B:$B)</f>
        <v>0</v>
      </c>
      <c r="E28">
        <v>10</v>
      </c>
      <c r="F28" s="8">
        <f t="shared" si="0"/>
        <v>10</v>
      </c>
    </row>
    <row r="29" spans="1:6" x14ac:dyDescent="0.25">
      <c r="A29" t="s">
        <v>7</v>
      </c>
      <c r="B29" t="s">
        <v>68</v>
      </c>
      <c r="D29" s="8">
        <f>$C29/LOOKUP($A29,'STAT COSTS'!$A:$A,'STAT COSTS'!$B:$B)</f>
        <v>0</v>
      </c>
      <c r="F29" s="8">
        <f t="shared" si="0"/>
        <v>0</v>
      </c>
    </row>
    <row r="30" spans="1:6" x14ac:dyDescent="0.25">
      <c r="A30" t="s">
        <v>120</v>
      </c>
      <c r="B30" t="s">
        <v>68</v>
      </c>
      <c r="D30" s="8">
        <f>$C30/LOOKUP($A30,'STAT COSTS'!$A:$A,'STAT COSTS'!$B:$B)</f>
        <v>0</v>
      </c>
      <c r="E30">
        <v>1</v>
      </c>
      <c r="F30" s="8">
        <f t="shared" si="0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26C1-5BBF-49CB-8482-1931281ACA0C}">
  <dimension ref="A3:P42"/>
  <sheetViews>
    <sheetView tabSelected="1" workbookViewId="0">
      <selection activeCell="L4" sqref="L4:O37"/>
    </sheetView>
  </sheetViews>
  <sheetFormatPr defaultRowHeight="15" x14ac:dyDescent="0.25"/>
  <cols>
    <col min="1" max="1" width="10.5703125" customWidth="1"/>
    <col min="2" max="2" width="14.140625" customWidth="1"/>
    <col min="3" max="3" width="9.5703125" bestFit="1" customWidth="1"/>
    <col min="4" max="7" width="9.140625" customWidth="1"/>
    <col min="8" max="8" width="15.7109375" customWidth="1"/>
    <col min="10" max="10" width="12.85546875" customWidth="1"/>
    <col min="12" max="13" width="10.42578125" bestFit="1" customWidth="1"/>
    <col min="15" max="15" width="11.85546875" bestFit="1" customWidth="1"/>
    <col min="16" max="16" width="12.5703125" customWidth="1"/>
  </cols>
  <sheetData>
    <row r="3" spans="1:16" x14ac:dyDescent="0.25">
      <c r="A3" s="2"/>
      <c r="B3" s="2"/>
      <c r="C3" s="2"/>
      <c r="D3" s="2"/>
      <c r="E3" s="2"/>
      <c r="F3" s="2"/>
      <c r="G3" s="2"/>
      <c r="H3" s="2"/>
      <c r="I3" s="2"/>
      <c r="K3" s="1" t="s">
        <v>137</v>
      </c>
      <c r="L3" s="1" t="s">
        <v>128</v>
      </c>
      <c r="M3" s="1" t="s">
        <v>129</v>
      </c>
      <c r="N3" s="1" t="s">
        <v>50</v>
      </c>
      <c r="O3" s="1" t="s">
        <v>138</v>
      </c>
      <c r="P3" s="1" t="s">
        <v>139</v>
      </c>
    </row>
    <row r="4" spans="1:16" x14ac:dyDescent="0.25">
      <c r="A4" s="2"/>
      <c r="B4" s="2"/>
      <c r="C4" s="7" t="s">
        <v>125</v>
      </c>
      <c r="D4" s="7" t="s">
        <v>64</v>
      </c>
      <c r="E4" s="7" t="s">
        <v>126</v>
      </c>
      <c r="F4" s="7" t="s">
        <v>127</v>
      </c>
      <c r="G4" s="7" t="s">
        <v>54</v>
      </c>
      <c r="H4" s="2"/>
      <c r="I4" s="2"/>
      <c r="K4">
        <v>1</v>
      </c>
      <c r="L4" t="s">
        <v>45</v>
      </c>
      <c r="M4" t="s">
        <v>51</v>
      </c>
      <c r="N4" s="8">
        <v>53.2</v>
      </c>
      <c r="O4" s="8"/>
      <c r="P4" s="8"/>
    </row>
    <row r="5" spans="1:16" x14ac:dyDescent="0.25">
      <c r="A5" s="15" t="str">
        <f>LOOKUP(MAX(K:K),K:K,L:L)</f>
        <v>Wryonin</v>
      </c>
      <c r="B5" s="12" t="s">
        <v>8</v>
      </c>
      <c r="C5" s="5" cm="1">
        <f t="array" aca="1" ref="C5" ca="1">INDIRECT("'"&amp;A5&amp;"'!B6")</f>
        <v>6.8181818181818183</v>
      </c>
      <c r="D5" s="5"/>
      <c r="E5" s="6" cm="1">
        <f t="array" aca="1" ref="E5" ca="1">RAND()*INDIRECT("'"&amp;A5&amp;"'!C6")</f>
        <v>6.7269598897560394</v>
      </c>
      <c r="F5" s="5">
        <v>1</v>
      </c>
      <c r="G5" s="13">
        <f ca="1">SUM(C5:E5)*F5</f>
        <v>13.545141707937859</v>
      </c>
      <c r="H5" s="3"/>
      <c r="I5" s="2"/>
      <c r="K5">
        <v>2</v>
      </c>
      <c r="N5" s="8"/>
      <c r="O5" s="8"/>
      <c r="P5" s="8"/>
    </row>
    <row r="6" spans="1:16" hidden="1" x14ac:dyDescent="0.25">
      <c r="A6" s="2"/>
      <c r="B6" s="12" t="s">
        <v>53</v>
      </c>
      <c r="C6" s="5" t="e" cm="1">
        <f t="array" aca="1" ref="C6" ca="1">INDIRECT("'"&amp;A6&amp;"'!B6")</f>
        <v>#REF!</v>
      </c>
      <c r="D6" s="5"/>
      <c r="E6" s="6" t="e" cm="1">
        <f t="array" aca="1" ref="E6" ca="1">RAND()*INDIRECT("'"&amp;A6&amp;"'!C6")</f>
        <v>#REF!</v>
      </c>
      <c r="F6" s="5">
        <v>1</v>
      </c>
      <c r="G6" s="13" t="e">
        <f t="shared" ref="G6:G12" ca="1" si="0">SUM(C6:E6)*F6</f>
        <v>#REF!</v>
      </c>
      <c r="H6" s="3"/>
      <c r="I6" s="2"/>
      <c r="N6" s="8"/>
      <c r="O6" s="8"/>
      <c r="P6" s="8"/>
    </row>
    <row r="7" spans="1:16" x14ac:dyDescent="0.25">
      <c r="A7" s="15" t="str">
        <f>LOOKUP(MAX(K:K),K:K,M:M)</f>
        <v>Cat Soldier</v>
      </c>
      <c r="B7" s="12" t="s">
        <v>9</v>
      </c>
      <c r="C7" s="5" cm="1">
        <f t="array" aca="1" ref="C7" ca="1">INDIRECT("'"&amp;A7&amp;"'!F14")</f>
        <v>0.4</v>
      </c>
      <c r="D7" s="5"/>
      <c r="E7" s="6" cm="1">
        <f t="array" aca="1" ref="E7" ca="1">RAND()*INDIRECT("'"&amp;A7&amp;"'!F15")</f>
        <v>1.3097497021890316</v>
      </c>
      <c r="F7" s="5">
        <v>1</v>
      </c>
      <c r="G7" s="13">
        <f t="shared" ca="1" si="0"/>
        <v>1.7097497021890318</v>
      </c>
      <c r="H7" s="3"/>
      <c r="I7" s="2"/>
      <c r="K7">
        <v>3</v>
      </c>
      <c r="L7" t="s">
        <v>45</v>
      </c>
      <c r="M7" t="s">
        <v>51</v>
      </c>
      <c r="N7" s="8">
        <v>31.6</v>
      </c>
      <c r="O7" s="8"/>
      <c r="P7" s="8"/>
    </row>
    <row r="8" spans="1:16" x14ac:dyDescent="0.25">
      <c r="A8" s="2" t="str">
        <f>A5</f>
        <v>Wryonin</v>
      </c>
      <c r="B8" s="12" t="s">
        <v>50</v>
      </c>
      <c r="C8" s="5" cm="1">
        <f t="array" aca="1" ref="C8" ca="1">INDIRECT("'"&amp;A8&amp;"'!D6")</f>
        <v>40</v>
      </c>
      <c r="D8" s="5"/>
      <c r="E8" s="6" cm="1">
        <f t="array" aca="1" ref="E8" ca="1">RAND()*INDIRECT("'"&amp;A8&amp;"'!E6")</f>
        <v>1.8222937158427466</v>
      </c>
      <c r="F8" s="5" cm="1">
        <f t="array" aca="1" ref="F8" ca="1">IF(G5&gt;G7*2,INDIRECT("'"&amp;A8&amp;"'!F6"),1)</f>
        <v>2</v>
      </c>
      <c r="G8" s="13">
        <f ca="1">IF(G5&gt;G7,SUM(C8:E8)*F8,0)</f>
        <v>83.644587431685494</v>
      </c>
      <c r="H8" s="3"/>
      <c r="I8" s="2"/>
      <c r="K8">
        <v>4</v>
      </c>
      <c r="N8" s="8"/>
      <c r="O8" s="8"/>
      <c r="P8" s="8"/>
    </row>
    <row r="9" spans="1:16" x14ac:dyDescent="0.25">
      <c r="A9" s="2" t="str">
        <f>A7</f>
        <v>Cat Soldier</v>
      </c>
      <c r="B9" s="12" t="s">
        <v>131</v>
      </c>
      <c r="C9" s="5"/>
      <c r="D9" s="5"/>
      <c r="E9" s="5"/>
      <c r="F9" s="5" cm="1">
        <f t="array" aca="1" ref="F9" ca="1">100/(100+INDIRECT("'"&amp;A9&amp;"'!G6"))</f>
        <v>0.76923076923076927</v>
      </c>
      <c r="G9" s="14">
        <f ca="1">IF(G5&gt;G7,G8*(F9),0)</f>
        <v>64.341990332065762</v>
      </c>
      <c r="H9" s="3" t="str">
        <f ca="1">IF(G5&gt;G7*2, "CRIT!",IF(G5&gt;G7,"HIT","miss"))</f>
        <v>CRIT!</v>
      </c>
      <c r="I9" s="2"/>
      <c r="K9">
        <v>5</v>
      </c>
      <c r="L9" t="s">
        <v>45</v>
      </c>
      <c r="M9" t="s">
        <v>51</v>
      </c>
      <c r="N9" s="8">
        <v>106.2</v>
      </c>
      <c r="O9" s="8"/>
      <c r="P9" s="8"/>
    </row>
    <row r="10" spans="1:16" x14ac:dyDescent="0.25">
      <c r="A10" s="2" t="str">
        <f>A7</f>
        <v>Cat Soldier</v>
      </c>
      <c r="B10" s="12" t="s">
        <v>13</v>
      </c>
      <c r="C10" s="5" cm="1">
        <f t="array" aca="1" ref="C10" ca="1">INDIRECT("'"&amp;A10&amp;"'!F16")</f>
        <v>13.646666666666665</v>
      </c>
      <c r="D10" s="5"/>
      <c r="E10" s="6" cm="1">
        <f t="array" aca="1" ref="E10" ca="1">RAND()*INDIRECT("'"&amp;A10&amp;"'!F17")</f>
        <v>9.0158045557047917</v>
      </c>
      <c r="F10" s="5">
        <v>1</v>
      </c>
      <c r="G10" s="13">
        <f t="shared" ca="1" si="0"/>
        <v>22.662471222371458</v>
      </c>
      <c r="H10" s="3" t="str">
        <f ca="1">IF(G9&gt;G10,"WOUNDED","")</f>
        <v>WOUNDED</v>
      </c>
      <c r="I10" s="2"/>
      <c r="K10">
        <v>6</v>
      </c>
      <c r="N10" s="8"/>
      <c r="O10" s="8"/>
      <c r="P10" s="8"/>
    </row>
    <row r="11" spans="1:16" x14ac:dyDescent="0.25">
      <c r="A11" s="2" t="str">
        <f>A7</f>
        <v>Cat Soldier</v>
      </c>
      <c r="B11" s="12" t="s">
        <v>11</v>
      </c>
      <c r="C11" s="5" cm="1">
        <f t="array" aca="1" ref="C11" ca="1">INDIRECT("'"&amp;A11&amp;"'!F18")</f>
        <v>6.334545454545454</v>
      </c>
      <c r="D11" s="5"/>
      <c r="E11" s="6" cm="1">
        <f t="array" aca="1" ref="E11" ca="1">RAND()*INDIRECT("'"&amp;A11&amp;"'!F19")</f>
        <v>10.855812181616539</v>
      </c>
      <c r="F11" s="5">
        <v>1</v>
      </c>
      <c r="G11" s="13">
        <f t="shared" ca="1" si="0"/>
        <v>17.190357636161991</v>
      </c>
      <c r="H11" s="3" t="str">
        <f ca="1">IF(G9&gt;G11,"WINCED","")</f>
        <v>WINCED</v>
      </c>
      <c r="I11" s="2"/>
      <c r="K11">
        <v>7</v>
      </c>
      <c r="L11" t="s">
        <v>45</v>
      </c>
      <c r="M11" t="s">
        <v>51</v>
      </c>
      <c r="N11" s="8">
        <v>42.5</v>
      </c>
      <c r="O11" s="8"/>
      <c r="P11" s="8"/>
    </row>
    <row r="12" spans="1:16" x14ac:dyDescent="0.25">
      <c r="A12" s="2" t="str">
        <f>A7</f>
        <v>Cat Soldier</v>
      </c>
      <c r="B12" s="12" t="s">
        <v>19</v>
      </c>
      <c r="C12" s="5" cm="1">
        <f t="array" aca="1" ref="C12" ca="1">INDIRECT("'"&amp;A12&amp;"'!F20")</f>
        <v>66.650000000000006</v>
      </c>
      <c r="D12" s="5"/>
      <c r="E12" s="6" cm="1">
        <f t="array" aca="1" ref="E12" ca="1">RAND()*INDIRECT("'"&amp;A12&amp;"'!F21")</f>
        <v>1.6015152847721703</v>
      </c>
      <c r="F12" s="5">
        <v>1</v>
      </c>
      <c r="G12" s="13">
        <f t="shared" ca="1" si="0"/>
        <v>68.251515284772182</v>
      </c>
      <c r="H12" s="3" t="e">
        <f ca="1">IF([1]_TEST_Runs!C262-[1]_TEST_Runs!C263&gt;G12,"UNCONSCIOUS","")</f>
        <v>#REF!</v>
      </c>
      <c r="I12" s="2"/>
      <c r="K12">
        <v>8</v>
      </c>
      <c r="N12" s="8"/>
      <c r="O12" s="8"/>
      <c r="P12" s="8"/>
    </row>
    <row r="13" spans="1:16" x14ac:dyDescent="0.25">
      <c r="A13" s="2"/>
      <c r="B13" s="2"/>
      <c r="C13" s="2"/>
      <c r="D13" s="2"/>
      <c r="E13" s="2"/>
      <c r="F13" s="2"/>
      <c r="G13" s="2"/>
      <c r="H13" s="2"/>
      <c r="I13" s="2"/>
      <c r="K13">
        <v>9</v>
      </c>
      <c r="L13" t="s">
        <v>45</v>
      </c>
      <c r="M13" t="s">
        <v>51</v>
      </c>
      <c r="N13" s="8">
        <v>0</v>
      </c>
      <c r="O13" s="8"/>
      <c r="P13" s="8"/>
    </row>
    <row r="14" spans="1:16" x14ac:dyDescent="0.25">
      <c r="K14">
        <v>9.1</v>
      </c>
      <c r="L14" t="s">
        <v>51</v>
      </c>
      <c r="M14" t="s">
        <v>45</v>
      </c>
      <c r="N14" s="8">
        <v>12</v>
      </c>
      <c r="O14" s="8">
        <f>(7.9-4.4)/1.2</f>
        <v>2.916666666666667</v>
      </c>
      <c r="P14" s="8"/>
    </row>
    <row r="15" spans="1:16" x14ac:dyDescent="0.25">
      <c r="K15">
        <v>10</v>
      </c>
      <c r="L15" t="s">
        <v>51</v>
      </c>
      <c r="M15" t="s">
        <v>45</v>
      </c>
      <c r="N15" s="8">
        <v>12.9</v>
      </c>
      <c r="O15" s="8"/>
      <c r="P15" s="8"/>
    </row>
    <row r="16" spans="1:16" x14ac:dyDescent="0.25">
      <c r="K16">
        <v>10.1</v>
      </c>
      <c r="L16" t="s">
        <v>51</v>
      </c>
      <c r="M16" t="s">
        <v>45</v>
      </c>
      <c r="N16" s="8">
        <v>14.7</v>
      </c>
      <c r="O16" s="8"/>
      <c r="P16" s="8"/>
    </row>
    <row r="17" spans="1:16" x14ac:dyDescent="0.25">
      <c r="A17" s="1" t="s">
        <v>47</v>
      </c>
      <c r="B17" s="1" t="s">
        <v>1</v>
      </c>
      <c r="C17" s="1" t="s">
        <v>46</v>
      </c>
      <c r="D17" s="1" t="s">
        <v>132</v>
      </c>
      <c r="E17" s="1" t="s">
        <v>133</v>
      </c>
      <c r="F17" s="1" t="s">
        <v>135</v>
      </c>
      <c r="G17" s="1" t="s">
        <v>136</v>
      </c>
      <c r="H17" s="1" t="s">
        <v>134</v>
      </c>
      <c r="K17">
        <v>11</v>
      </c>
      <c r="L17" t="s">
        <v>45</v>
      </c>
      <c r="M17" t="s">
        <v>51</v>
      </c>
      <c r="N17" s="8">
        <v>65.900000000000006</v>
      </c>
      <c r="O17" s="8"/>
      <c r="P17" s="8"/>
    </row>
    <row r="18" spans="1:16" x14ac:dyDescent="0.25">
      <c r="A18" t="s">
        <v>45</v>
      </c>
      <c r="B18" s="8" t="str" cm="1">
        <f t="array" aca="1" ref="B18" ca="1">INDIRECT("'"&amp;$A18&amp;"'!D3")</f>
        <v>Wolf</v>
      </c>
      <c r="C18" s="8" cm="1">
        <f t="array" aca="1" ref="C18" ca="1">INDIRECT("'"&amp;$A18&amp;"'!B3")</f>
        <v>16</v>
      </c>
      <c r="D18" s="8">
        <f ca="1">E18-SUMIF(M:M,A18,N:N)</f>
        <v>127</v>
      </c>
      <c r="E18" s="8" cm="1">
        <f t="array" aca="1" ref="E18" ca="1">INDIRECT("'"&amp;$A18&amp;"'!F9")</f>
        <v>241.5</v>
      </c>
      <c r="F18" s="8">
        <f ca="1">G18-SUMIF(L:L,A18,O:O)-SUMIF(M:M,A18,P:P)</f>
        <v>25.066666666666666</v>
      </c>
      <c r="G18" s="8" cm="1">
        <f t="array" aca="1" ref="G18" ca="1">INDIRECT("'"&amp;$A18&amp;"'!F22")</f>
        <v>28.666666666666668</v>
      </c>
      <c r="H18" s="8"/>
      <c r="K18">
        <v>11.1</v>
      </c>
      <c r="L18" t="s">
        <v>51</v>
      </c>
      <c r="M18" t="s">
        <v>45</v>
      </c>
      <c r="N18" s="8">
        <v>0</v>
      </c>
      <c r="O18" s="8"/>
      <c r="P18" s="8"/>
    </row>
    <row r="19" spans="1:16" x14ac:dyDescent="0.25">
      <c r="A19" t="s">
        <v>51</v>
      </c>
      <c r="B19" s="8" t="str" cm="1">
        <f t="array" aca="1" ref="B19" ca="1">INDIRECT("'"&amp;$A19&amp;"'!D3")</f>
        <v>Cat</v>
      </c>
      <c r="C19" s="8" cm="1">
        <f t="array" aca="1" ref="C19" ca="1">INDIRECT("'"&amp;$A19&amp;"'!B3")</f>
        <v>21</v>
      </c>
      <c r="D19" s="8">
        <f t="shared" ref="D19:D27" ca="1" si="1">E19-SUMIF(M:M,A19,N:N)</f>
        <v>-412.9</v>
      </c>
      <c r="E19" s="8" cm="1">
        <f t="array" aca="1" ref="E19" ca="1">INDIRECT("'"&amp;$A19&amp;"'!F9")</f>
        <v>147</v>
      </c>
      <c r="F19" s="8">
        <f t="shared" ref="F19:F27" ca="1" si="2">G19-SUMIF(L:L,A19,O:O)-SUMIF(M:M,A19,P:P)</f>
        <v>56.25</v>
      </c>
      <c r="G19" s="8" cm="1">
        <f t="array" aca="1" ref="G19" ca="1">INDIRECT("'"&amp;$A19&amp;"'!F22")</f>
        <v>59.166666666666664</v>
      </c>
      <c r="H19" s="8"/>
      <c r="K19">
        <v>11.2</v>
      </c>
      <c r="L19" t="s">
        <v>51</v>
      </c>
      <c r="M19" t="s">
        <v>45</v>
      </c>
      <c r="N19" s="8">
        <v>9.1999999999999993</v>
      </c>
      <c r="O19" s="8"/>
      <c r="P19" s="8"/>
    </row>
    <row r="20" spans="1:16" x14ac:dyDescent="0.25">
      <c r="A20" t="s">
        <v>51</v>
      </c>
      <c r="B20" s="8" t="str" cm="1">
        <f t="array" aca="1" ref="B20" ca="1">INDIRECT("'"&amp;$A20&amp;"'!D3")</f>
        <v>Cat</v>
      </c>
      <c r="C20" s="8" cm="1">
        <f t="array" aca="1" ref="C20" ca="1">INDIRECT("'"&amp;$A20&amp;"'!B3")</f>
        <v>21</v>
      </c>
      <c r="D20" s="8">
        <f t="shared" ca="1" si="1"/>
        <v>-412.9</v>
      </c>
      <c r="E20" s="8" cm="1">
        <f t="array" aca="1" ref="E20" ca="1">INDIRECT("'"&amp;$A20&amp;"'!F9")</f>
        <v>147</v>
      </c>
      <c r="F20" s="8">
        <f t="shared" ca="1" si="2"/>
        <v>56.25</v>
      </c>
      <c r="G20" s="8" cm="1">
        <f t="array" aca="1" ref="G20" ca="1">INDIRECT("'"&amp;$A20&amp;"'!F22")</f>
        <v>59.166666666666664</v>
      </c>
      <c r="H20" s="8"/>
      <c r="K20">
        <v>12</v>
      </c>
      <c r="L20" t="s">
        <v>51</v>
      </c>
      <c r="M20" t="s">
        <v>45</v>
      </c>
      <c r="N20" s="8">
        <v>0</v>
      </c>
      <c r="O20" s="8"/>
      <c r="P20" s="8"/>
    </row>
    <row r="21" spans="1:16" x14ac:dyDescent="0.25">
      <c r="A21" t="s">
        <v>51</v>
      </c>
      <c r="B21" s="8" t="str" cm="1">
        <f t="array" aca="1" ref="B21" ca="1">INDIRECT("'"&amp;$A21&amp;"'!D3")</f>
        <v>Cat</v>
      </c>
      <c r="C21" s="8" cm="1">
        <f t="array" aca="1" ref="C21" ca="1">INDIRECT("'"&amp;$A21&amp;"'!B3")</f>
        <v>21</v>
      </c>
      <c r="D21" s="8">
        <f t="shared" ca="1" si="1"/>
        <v>-412.9</v>
      </c>
      <c r="E21" s="8" cm="1">
        <f t="array" aca="1" ref="E21" ca="1">INDIRECT("'"&amp;$A21&amp;"'!F9")</f>
        <v>147</v>
      </c>
      <c r="F21" s="8">
        <f t="shared" ca="1" si="2"/>
        <v>56.25</v>
      </c>
      <c r="G21" s="8" cm="1">
        <f t="array" aca="1" ref="G21" ca="1">INDIRECT("'"&amp;$A21&amp;"'!F22")</f>
        <v>59.166666666666664</v>
      </c>
      <c r="H21" s="8"/>
      <c r="K21">
        <v>12.1</v>
      </c>
      <c r="L21" t="s">
        <v>51</v>
      </c>
      <c r="M21" t="s">
        <v>45</v>
      </c>
      <c r="N21" s="8">
        <v>14.1</v>
      </c>
      <c r="O21" s="8"/>
      <c r="P21" s="8"/>
    </row>
    <row r="22" spans="1:16" x14ac:dyDescent="0.25">
      <c r="A22" t="s">
        <v>51</v>
      </c>
      <c r="B22" s="8" t="str" cm="1">
        <f t="array" aca="1" ref="B22" ca="1">INDIRECT("'"&amp;$A22&amp;"'!D3")</f>
        <v>Cat</v>
      </c>
      <c r="C22" s="8" cm="1">
        <f t="array" aca="1" ref="C22" ca="1">INDIRECT("'"&amp;$A22&amp;"'!B3")</f>
        <v>21</v>
      </c>
      <c r="D22" s="8">
        <f t="shared" ca="1" si="1"/>
        <v>-412.9</v>
      </c>
      <c r="E22" s="8" cm="1">
        <f t="array" aca="1" ref="E22" ca="1">INDIRECT("'"&amp;$A22&amp;"'!F9")</f>
        <v>147</v>
      </c>
      <c r="F22" s="8">
        <f t="shared" ca="1" si="2"/>
        <v>56.25</v>
      </c>
      <c r="G22" s="8" cm="1">
        <f t="array" aca="1" ref="G22" ca="1">INDIRECT("'"&amp;$A22&amp;"'!F22")</f>
        <v>59.166666666666664</v>
      </c>
      <c r="H22" s="8"/>
      <c r="K22">
        <v>12.2</v>
      </c>
      <c r="L22" t="s">
        <v>51</v>
      </c>
      <c r="M22" t="s">
        <v>45</v>
      </c>
      <c r="N22" s="8">
        <v>9.1</v>
      </c>
      <c r="O22" s="8"/>
      <c r="P22" s="8"/>
    </row>
    <row r="23" spans="1:16" x14ac:dyDescent="0.25">
      <c r="A23" t="s">
        <v>51</v>
      </c>
      <c r="B23" s="8" t="str" cm="1">
        <f t="array" aca="1" ref="B23" ca="1">INDIRECT("'"&amp;$A23&amp;"'!D3")</f>
        <v>Cat</v>
      </c>
      <c r="C23" s="8" cm="1">
        <f t="array" aca="1" ref="C23" ca="1">INDIRECT("'"&amp;$A23&amp;"'!B3")</f>
        <v>21</v>
      </c>
      <c r="D23" s="8">
        <f t="shared" ca="1" si="1"/>
        <v>-412.9</v>
      </c>
      <c r="E23" s="8" cm="1">
        <f t="array" aca="1" ref="E23" ca="1">INDIRECT("'"&amp;$A23&amp;"'!F9")</f>
        <v>147</v>
      </c>
      <c r="F23" s="8">
        <f t="shared" ca="1" si="2"/>
        <v>56.25</v>
      </c>
      <c r="G23" s="8" cm="1">
        <f t="array" aca="1" ref="G23" ca="1">INDIRECT("'"&amp;$A23&amp;"'!F22")</f>
        <v>59.166666666666664</v>
      </c>
      <c r="H23" s="8"/>
      <c r="K23">
        <v>13</v>
      </c>
      <c r="L23" t="s">
        <v>45</v>
      </c>
      <c r="M23" t="s">
        <v>51</v>
      </c>
      <c r="N23" s="8">
        <v>67.900000000000006</v>
      </c>
      <c r="O23" s="8"/>
      <c r="P23" s="8"/>
    </row>
    <row r="24" spans="1:16" x14ac:dyDescent="0.25">
      <c r="A24" t="s">
        <v>51</v>
      </c>
      <c r="B24" s="8" t="str" cm="1">
        <f t="array" aca="1" ref="B24" ca="1">INDIRECT("'"&amp;$A24&amp;"'!D3")</f>
        <v>Cat</v>
      </c>
      <c r="C24" s="8" cm="1">
        <f t="array" aca="1" ref="C24" ca="1">INDIRECT("'"&amp;$A24&amp;"'!B3")</f>
        <v>21</v>
      </c>
      <c r="D24" s="8">
        <f t="shared" ca="1" si="1"/>
        <v>-412.9</v>
      </c>
      <c r="E24" s="8" cm="1">
        <f t="array" aca="1" ref="E24" ca="1">INDIRECT("'"&amp;$A24&amp;"'!F9")</f>
        <v>147</v>
      </c>
      <c r="F24" s="8">
        <f t="shared" ca="1" si="2"/>
        <v>56.25</v>
      </c>
      <c r="G24" s="8" cm="1">
        <f t="array" aca="1" ref="G24" ca="1">INDIRECT("'"&amp;$A24&amp;"'!F22")</f>
        <v>59.166666666666664</v>
      </c>
      <c r="H24" s="8"/>
      <c r="K24">
        <v>13.1</v>
      </c>
      <c r="L24" t="s">
        <v>51</v>
      </c>
      <c r="M24" t="s">
        <v>45</v>
      </c>
      <c r="N24" s="8">
        <v>9.6999999999999993</v>
      </c>
      <c r="O24" s="8"/>
      <c r="P24" s="8"/>
    </row>
    <row r="25" spans="1:16" x14ac:dyDescent="0.25">
      <c r="A25" t="s">
        <v>51</v>
      </c>
      <c r="B25" s="8" t="str" cm="1">
        <f t="array" aca="1" ref="B25" ca="1">INDIRECT("'"&amp;$A25&amp;"'!D3")</f>
        <v>Cat</v>
      </c>
      <c r="C25" s="8" cm="1">
        <f t="array" aca="1" ref="C25" ca="1">INDIRECT("'"&amp;$A25&amp;"'!B3")</f>
        <v>21</v>
      </c>
      <c r="D25" s="8">
        <f t="shared" ca="1" si="1"/>
        <v>-412.9</v>
      </c>
      <c r="E25" s="8" cm="1">
        <f t="array" aca="1" ref="E25" ca="1">INDIRECT("'"&amp;$A25&amp;"'!F9")</f>
        <v>147</v>
      </c>
      <c r="F25" s="8">
        <f t="shared" ca="1" si="2"/>
        <v>56.25</v>
      </c>
      <c r="G25" s="8" cm="1">
        <f t="array" aca="1" ref="G25" ca="1">INDIRECT("'"&amp;$A25&amp;"'!F22")</f>
        <v>59.166666666666664</v>
      </c>
      <c r="H25" s="8"/>
      <c r="K25">
        <v>13.2</v>
      </c>
      <c r="L25" t="s">
        <v>51</v>
      </c>
      <c r="M25" t="s">
        <v>45</v>
      </c>
      <c r="N25" s="8">
        <v>0</v>
      </c>
      <c r="O25" s="8"/>
      <c r="P25" s="8"/>
    </row>
    <row r="26" spans="1:16" x14ac:dyDescent="0.25">
      <c r="A26" t="s">
        <v>51</v>
      </c>
      <c r="B26" s="8" t="str" cm="1">
        <f t="array" aca="1" ref="B26" ca="1">INDIRECT("'"&amp;$A26&amp;"'!D3")</f>
        <v>Cat</v>
      </c>
      <c r="C26" s="8" cm="1">
        <f t="array" aca="1" ref="C26" ca="1">INDIRECT("'"&amp;$A26&amp;"'!B3")</f>
        <v>21</v>
      </c>
      <c r="D26" s="8">
        <f t="shared" ca="1" si="1"/>
        <v>-412.9</v>
      </c>
      <c r="E26" s="8" cm="1">
        <f t="array" aca="1" ref="E26" ca="1">INDIRECT("'"&amp;$A26&amp;"'!F9")</f>
        <v>147</v>
      </c>
      <c r="F26" s="8">
        <f t="shared" ca="1" si="2"/>
        <v>56.25</v>
      </c>
      <c r="G26" s="8" cm="1">
        <f t="array" aca="1" ref="G26" ca="1">INDIRECT("'"&amp;$A26&amp;"'!F22")</f>
        <v>59.166666666666664</v>
      </c>
      <c r="H26" s="8"/>
      <c r="K26">
        <v>14</v>
      </c>
      <c r="L26" t="s">
        <v>51</v>
      </c>
      <c r="M26" t="s">
        <v>45</v>
      </c>
      <c r="N26" s="8">
        <v>0</v>
      </c>
      <c r="O26" s="8"/>
      <c r="P26" s="8"/>
    </row>
    <row r="27" spans="1:16" x14ac:dyDescent="0.25">
      <c r="A27" t="s">
        <v>51</v>
      </c>
      <c r="B27" s="8" t="str" cm="1">
        <f t="array" aca="1" ref="B27" ca="1">INDIRECT("'"&amp;$A27&amp;"'!D3")</f>
        <v>Cat</v>
      </c>
      <c r="C27" s="8" cm="1">
        <f t="array" aca="1" ref="C27" ca="1">INDIRECT("'"&amp;$A27&amp;"'!B3")</f>
        <v>21</v>
      </c>
      <c r="D27" s="8">
        <f t="shared" ca="1" si="1"/>
        <v>-412.9</v>
      </c>
      <c r="E27" s="8" cm="1">
        <f t="array" aca="1" ref="E27" ca="1">INDIRECT("'"&amp;$A27&amp;"'!F9")</f>
        <v>147</v>
      </c>
      <c r="F27" s="8">
        <f t="shared" ca="1" si="2"/>
        <v>56.25</v>
      </c>
      <c r="G27" s="8" cm="1">
        <f t="array" aca="1" ref="G27" ca="1">INDIRECT("'"&amp;$A27&amp;"'!F22")</f>
        <v>59.166666666666664</v>
      </c>
      <c r="H27" s="8"/>
      <c r="K27">
        <v>14.1</v>
      </c>
      <c r="L27" t="s">
        <v>51</v>
      </c>
      <c r="M27" t="s">
        <v>45</v>
      </c>
      <c r="N27" s="8">
        <v>0</v>
      </c>
      <c r="O27" s="8"/>
      <c r="P27" s="8"/>
    </row>
    <row r="28" spans="1:16" x14ac:dyDescent="0.25">
      <c r="K28">
        <v>14.2</v>
      </c>
      <c r="L28" t="s">
        <v>51</v>
      </c>
      <c r="M28" t="s">
        <v>45</v>
      </c>
      <c r="N28" s="8">
        <v>9.3000000000000007</v>
      </c>
      <c r="O28" s="8"/>
      <c r="P28" s="8"/>
    </row>
    <row r="29" spans="1:16" x14ac:dyDescent="0.25">
      <c r="K29">
        <v>15</v>
      </c>
      <c r="L29" t="s">
        <v>45</v>
      </c>
      <c r="M29" t="s">
        <v>51</v>
      </c>
      <c r="N29" s="8">
        <v>50.6</v>
      </c>
      <c r="O29" s="8">
        <f>(17.3-11.9)/1.5</f>
        <v>3.6</v>
      </c>
    </row>
    <row r="30" spans="1:16" x14ac:dyDescent="0.25">
      <c r="K30">
        <v>15.1</v>
      </c>
      <c r="L30" t="s">
        <v>51</v>
      </c>
      <c r="M30" t="s">
        <v>45</v>
      </c>
      <c r="N30" s="8">
        <v>0</v>
      </c>
      <c r="O30" s="8"/>
      <c r="P30" s="8"/>
    </row>
    <row r="31" spans="1:16" x14ac:dyDescent="0.25">
      <c r="K31">
        <v>15.2</v>
      </c>
      <c r="L31" t="s">
        <v>51</v>
      </c>
      <c r="M31" t="s">
        <v>45</v>
      </c>
      <c r="N31" s="8">
        <v>14.8</v>
      </c>
      <c r="O31" s="8"/>
      <c r="P31" s="8"/>
    </row>
    <row r="32" spans="1:16" x14ac:dyDescent="0.25">
      <c r="K32">
        <v>16</v>
      </c>
      <c r="L32" t="s">
        <v>51</v>
      </c>
      <c r="M32" t="s">
        <v>45</v>
      </c>
      <c r="N32" s="8">
        <v>0</v>
      </c>
      <c r="O32" s="8"/>
      <c r="P32" s="8"/>
    </row>
    <row r="33" spans="11:16" x14ac:dyDescent="0.25">
      <c r="K33">
        <v>16.100000000000001</v>
      </c>
      <c r="L33" t="s">
        <v>51</v>
      </c>
      <c r="M33" t="s">
        <v>45</v>
      </c>
      <c r="N33" s="8">
        <v>0</v>
      </c>
      <c r="O33" s="8"/>
      <c r="P33" s="8"/>
    </row>
    <row r="34" spans="11:16" x14ac:dyDescent="0.25">
      <c r="K34">
        <v>17</v>
      </c>
      <c r="L34" t="s">
        <v>45</v>
      </c>
      <c r="M34" t="s">
        <v>51</v>
      </c>
      <c r="N34" s="8">
        <v>75.099999999999994</v>
      </c>
      <c r="O34" s="8"/>
      <c r="P34" s="8"/>
    </row>
    <row r="35" spans="11:16" x14ac:dyDescent="0.25">
      <c r="K35">
        <v>17.100000000000001</v>
      </c>
      <c r="L35" t="s">
        <v>51</v>
      </c>
      <c r="M35" t="s">
        <v>45</v>
      </c>
      <c r="N35" s="8">
        <v>8.6999999999999993</v>
      </c>
      <c r="O35" s="8"/>
      <c r="P35" s="8"/>
    </row>
    <row r="36" spans="11:16" x14ac:dyDescent="0.25">
      <c r="K36">
        <v>18</v>
      </c>
      <c r="L36" t="s">
        <v>51</v>
      </c>
      <c r="M36" t="s">
        <v>45</v>
      </c>
      <c r="N36" s="8">
        <v>0</v>
      </c>
      <c r="O36" s="8"/>
      <c r="P36" s="8"/>
    </row>
    <row r="37" spans="11:16" x14ac:dyDescent="0.25">
      <c r="K37">
        <v>19</v>
      </c>
      <c r="L37" t="s">
        <v>45</v>
      </c>
      <c r="M37" t="s">
        <v>51</v>
      </c>
      <c r="N37" s="8">
        <v>66.900000000000006</v>
      </c>
      <c r="O37" s="8"/>
      <c r="P37" s="8"/>
    </row>
    <row r="38" spans="11:16" x14ac:dyDescent="0.25">
      <c r="N38" s="8"/>
      <c r="O38" s="8"/>
      <c r="P38" s="8"/>
    </row>
    <row r="39" spans="11:16" x14ac:dyDescent="0.25">
      <c r="N39" s="8"/>
      <c r="O39" s="8"/>
      <c r="P39" s="8"/>
    </row>
    <row r="40" spans="11:16" x14ac:dyDescent="0.25">
      <c r="N40" s="8"/>
      <c r="O40" s="8"/>
      <c r="P40" s="8"/>
    </row>
    <row r="41" spans="11:16" x14ac:dyDescent="0.25">
      <c r="N41" s="8"/>
      <c r="O41" s="8"/>
      <c r="P41" s="8"/>
    </row>
    <row r="42" spans="11:16" x14ac:dyDescent="0.25">
      <c r="N42" s="8"/>
      <c r="O42" s="8"/>
      <c r="P42" s="8"/>
    </row>
  </sheetData>
  <dataValidations count="1">
    <dataValidation type="list" allowBlank="1" showInputMessage="1" showErrorMessage="1" sqref="L4:M42" xr:uid="{0126374D-DE0E-4077-BD4A-F73046C559D1}">
      <formula1>$A$18:$A$27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2F059-6C15-4719-8BD6-F0E8C611E23A}">
  <dimension ref="A1:J34"/>
  <sheetViews>
    <sheetView workbookViewId="0">
      <selection activeCell="E10" sqref="E10"/>
    </sheetView>
  </sheetViews>
  <sheetFormatPr defaultRowHeight="15" x14ac:dyDescent="0.25"/>
  <cols>
    <col min="1" max="1" width="22.85546875" bestFit="1" customWidth="1"/>
    <col min="2" max="2" width="10.5703125" bestFit="1" customWidth="1"/>
    <col min="5" max="5" width="9.140625" style="8"/>
    <col min="9" max="9" width="11.42578125" bestFit="1" customWidth="1"/>
  </cols>
  <sheetData>
    <row r="1" spans="1:10" x14ac:dyDescent="0.25">
      <c r="E1"/>
    </row>
    <row r="2" spans="1:10" x14ac:dyDescent="0.25">
      <c r="A2" s="1" t="s">
        <v>47</v>
      </c>
      <c r="B2" s="1" t="s">
        <v>46</v>
      </c>
      <c r="C2" s="1" t="s">
        <v>66</v>
      </c>
      <c r="D2" s="11" t="s">
        <v>1</v>
      </c>
      <c r="E2"/>
    </row>
    <row r="3" spans="1:10" x14ac:dyDescent="0.25">
      <c r="A3" t="s">
        <v>45</v>
      </c>
      <c r="B3">
        <v>16</v>
      </c>
      <c r="C3">
        <f>SUM(C9:C103)+SUM(J9:J103)</f>
        <v>1475</v>
      </c>
      <c r="D3" t="s">
        <v>23</v>
      </c>
      <c r="E3"/>
    </row>
    <row r="4" spans="1:10" x14ac:dyDescent="0.25">
      <c r="E4"/>
    </row>
    <row r="5" spans="1:10" x14ac:dyDescent="0.25">
      <c r="A5" s="1" t="s">
        <v>130</v>
      </c>
      <c r="B5" s="1" t="s">
        <v>5</v>
      </c>
      <c r="C5" s="1" t="s">
        <v>6</v>
      </c>
      <c r="D5" s="1" t="s">
        <v>50</v>
      </c>
      <c r="E5" s="1" t="s">
        <v>7</v>
      </c>
      <c r="F5" s="1" t="s">
        <v>120</v>
      </c>
      <c r="G5" s="11" t="s">
        <v>4</v>
      </c>
    </row>
    <row r="6" spans="1:10" x14ac:dyDescent="0.25">
      <c r="A6" t="s">
        <v>49</v>
      </c>
      <c r="B6" s="8">
        <f>SUMIFS($F:$F,$A:$A,B$5,$B:$B,$A$6)</f>
        <v>6.8181818181818183</v>
      </c>
      <c r="C6" s="8">
        <f t="shared" ref="C6:E6" si="0">SUMIFS($F:$F,$A:$A,C$5,$B:$B,$A$6)</f>
        <v>11.111111111111111</v>
      </c>
      <c r="D6" s="8">
        <f>SUMIF(Weapons!A:A,A6,Weapons!C:C)</f>
        <v>40</v>
      </c>
      <c r="E6" s="8">
        <f t="shared" si="0"/>
        <v>30</v>
      </c>
      <c r="F6" s="8">
        <f>SUMIFS($F:$F,$A:$A,F$5,$B:$B,$A$6)</f>
        <v>2</v>
      </c>
      <c r="G6">
        <v>20</v>
      </c>
    </row>
    <row r="7" spans="1:10" x14ac:dyDescent="0.25">
      <c r="E7"/>
    </row>
    <row r="8" spans="1:10" x14ac:dyDescent="0.25">
      <c r="A8" s="1" t="s">
        <v>59</v>
      </c>
      <c r="B8" s="1" t="s">
        <v>63</v>
      </c>
      <c r="C8" s="1" t="s">
        <v>62</v>
      </c>
      <c r="D8" s="1" t="s">
        <v>54</v>
      </c>
      <c r="E8" s="1" t="s">
        <v>64</v>
      </c>
      <c r="F8" s="1" t="s">
        <v>65</v>
      </c>
      <c r="I8" s="11" t="s">
        <v>122</v>
      </c>
      <c r="J8" s="11" t="s">
        <v>60</v>
      </c>
    </row>
    <row r="9" spans="1:10" x14ac:dyDescent="0.25">
      <c r="A9" t="s">
        <v>2</v>
      </c>
      <c r="C9">
        <v>15</v>
      </c>
      <c r="D9" s="8">
        <f>$C9/LOOKUP($A9,'STAT COSTS'!$A:$A,'STAT COSTS'!$B:$B)</f>
        <v>1.5</v>
      </c>
      <c r="E9" s="8">
        <f>$B$3*SUMIFS(Species_Stats!E:E,Species_Stats!A:A,$D$3,Species_Stats!B:B,A9)</f>
        <v>240</v>
      </c>
      <c r="F9" s="8">
        <f>D9+E9</f>
        <v>241.5</v>
      </c>
      <c r="I9" t="s">
        <v>123</v>
      </c>
      <c r="J9">
        <v>200</v>
      </c>
    </row>
    <row r="10" spans="1:10" x14ac:dyDescent="0.25">
      <c r="A10" t="s">
        <v>15</v>
      </c>
      <c r="C10">
        <v>20</v>
      </c>
      <c r="D10" s="8">
        <f>$C10/LOOKUP($A10,'STAT COSTS'!$A:$A,'STAT COSTS'!$B:$B)</f>
        <v>1.1111111111111112</v>
      </c>
      <c r="E10" s="8">
        <f>$B$3*SUMIFS(Species_Stats!E:E,Species_Stats!A:A,$D$3,Species_Stats!B:B,A10) + $F$9*SUMIFS(Species_Stats!F:F,Species_Stats!A:A,$D$3,Species_Stats!B:B,A10)</f>
        <v>0</v>
      </c>
      <c r="F10" s="8">
        <f t="shared" ref="F10:F33" si="1">D10+E10</f>
        <v>1.1111111111111112</v>
      </c>
    </row>
    <row r="11" spans="1:10" x14ac:dyDescent="0.25">
      <c r="A11" t="s">
        <v>16</v>
      </c>
      <c r="C11">
        <v>20</v>
      </c>
      <c r="D11" s="8">
        <f>$C11/LOOKUP($A11,'STAT COSTS'!$A:$A,'STAT COSTS'!$B:$B)</f>
        <v>2</v>
      </c>
      <c r="E11" s="8">
        <f>$B$3*SUMIFS(Species_Stats!E:E,Species_Stats!A:A,$D$3,Species_Stats!B:B,A11) + $F$9*SUMIFS(Species_Stats!F:F,Species_Stats!A:A,$D$3,Species_Stats!B:B,A11)</f>
        <v>56</v>
      </c>
      <c r="F11" s="8">
        <f t="shared" si="1"/>
        <v>58</v>
      </c>
    </row>
    <row r="12" spans="1:10" x14ac:dyDescent="0.25">
      <c r="A12" t="s">
        <v>21</v>
      </c>
      <c r="C12">
        <v>50</v>
      </c>
      <c r="D12" s="8">
        <f>$C12/LOOKUP($A12,'STAT COSTS'!$A:$A,'STAT COSTS'!$B:$B)</f>
        <v>2.7777777777777777</v>
      </c>
      <c r="E12" s="8">
        <f>$B$3*SUMIFS(Species_Stats!E:E,Species_Stats!A:A,$D$3,Species_Stats!B:B,A12) + $F$9*SUMIFS(Species_Stats!F:F,Species_Stats!A:A,$D$3,Species_Stats!B:B,A12)</f>
        <v>0</v>
      </c>
      <c r="F12" s="8">
        <f t="shared" si="1"/>
        <v>2.7777777777777777</v>
      </c>
    </row>
    <row r="13" spans="1:10" x14ac:dyDescent="0.25">
      <c r="A13" t="s">
        <v>22</v>
      </c>
      <c r="C13">
        <v>20</v>
      </c>
      <c r="D13" s="8">
        <f>$C13/LOOKUP($A13,'STAT COSTS'!$A:$A,'STAT COSTS'!$B:$B)</f>
        <v>2.5</v>
      </c>
      <c r="E13" s="8">
        <f>$B$3*SUMIFS(Species_Stats!E:E,Species_Stats!A:A,$D$3,Species_Stats!B:B,A13) + $F$9*SUMIFS(Species_Stats!F:F,Species_Stats!A:A,$D$3,Species_Stats!B:B,A13)</f>
        <v>2.4</v>
      </c>
      <c r="F13" s="8">
        <f t="shared" si="1"/>
        <v>4.9000000000000004</v>
      </c>
    </row>
    <row r="14" spans="1:10" x14ac:dyDescent="0.25">
      <c r="A14" t="s">
        <v>9</v>
      </c>
      <c r="C14">
        <v>20</v>
      </c>
      <c r="D14" s="8">
        <f>$C14/LOOKUP($A14,'STAT COSTS'!$A:$A,'STAT COSTS'!$B:$B)</f>
        <v>0.8</v>
      </c>
      <c r="E14" s="8">
        <f>$B$3*SUMIFS(Species_Stats!E:E,Species_Stats!A:A,$D$3,Species_Stats!B:B,A14) + $F$9*SUMIFS(Species_Stats!F:F,Species_Stats!A:A,$D$3,Species_Stats!B:B,A14)</f>
        <v>0</v>
      </c>
      <c r="F14" s="8">
        <f t="shared" si="1"/>
        <v>0.8</v>
      </c>
    </row>
    <row r="15" spans="1:10" x14ac:dyDescent="0.25">
      <c r="A15" t="s">
        <v>10</v>
      </c>
      <c r="C15">
        <v>100</v>
      </c>
      <c r="D15" s="8">
        <f>$C15/LOOKUP($A15,'STAT COSTS'!$A:$A,'STAT COSTS'!$B:$B)</f>
        <v>20</v>
      </c>
      <c r="E15" s="8">
        <f>$B$3*SUMIFS(Species_Stats!E:E,Species_Stats!A:A,$D$3,Species_Stats!B:B,A15) + $F$9*SUMIFS(Species_Stats!F:F,Species_Stats!A:A,$D$3,Species_Stats!B:B,A15)</f>
        <v>16</v>
      </c>
      <c r="F15" s="8">
        <f t="shared" si="1"/>
        <v>36</v>
      </c>
    </row>
    <row r="16" spans="1:10" x14ac:dyDescent="0.25">
      <c r="A16" t="s">
        <v>13</v>
      </c>
      <c r="C16">
        <v>10</v>
      </c>
      <c r="D16" s="8">
        <f>$C16/LOOKUP($A16,'STAT COSTS'!$A:$A,'STAT COSTS'!$B:$B)</f>
        <v>0.83333333333333337</v>
      </c>
      <c r="E16" s="8">
        <f>$B$3*SUMIFS(Species_Stats!E:E,Species_Stats!A:A,$D$3,Species_Stats!B:B,A16) + $F$9*SUMIFS(Species_Stats!F:F,Species_Stats!A:A,$D$3,Species_Stats!B:B,A16)</f>
        <v>24.150000000000002</v>
      </c>
      <c r="F16" s="8">
        <f t="shared" si="1"/>
        <v>24.983333333333334</v>
      </c>
    </row>
    <row r="17" spans="1:6" x14ac:dyDescent="0.25">
      <c r="A17" t="s">
        <v>14</v>
      </c>
      <c r="C17">
        <v>10</v>
      </c>
      <c r="D17" s="8">
        <f>$C17/LOOKUP($A17,'STAT COSTS'!$A:$A,'STAT COSTS'!$B:$B)</f>
        <v>2.5</v>
      </c>
      <c r="E17" s="8">
        <f>$B$3*SUMIFS(Species_Stats!E:E,Species_Stats!A:A,$D$3,Species_Stats!B:B,A17) + $F$9*SUMIFS(Species_Stats!F:F,Species_Stats!A:A,$D$3,Species_Stats!B:B,A17)</f>
        <v>24.150000000000002</v>
      </c>
      <c r="F17" s="8">
        <f t="shared" si="1"/>
        <v>26.650000000000002</v>
      </c>
    </row>
    <row r="18" spans="1:6" x14ac:dyDescent="0.25">
      <c r="A18" t="s">
        <v>11</v>
      </c>
      <c r="C18">
        <v>20</v>
      </c>
      <c r="D18" s="8">
        <f>$C18/LOOKUP($A18,'STAT COSTS'!$A:$A,'STAT COSTS'!$B:$B)</f>
        <v>1.8181818181818181</v>
      </c>
      <c r="E18" s="8">
        <f>$B$3*SUMIFS(Species_Stats!E:E,Species_Stats!A:A,$D$3,Species_Stats!B:B,A18) + $F$9*SUMIFS(Species_Stats!F:F,Species_Stats!A:A,$D$3,Species_Stats!B:B,A18)</f>
        <v>12.075000000000001</v>
      </c>
      <c r="F18" s="8">
        <f t="shared" si="1"/>
        <v>13.893181818181819</v>
      </c>
    </row>
    <row r="19" spans="1:6" x14ac:dyDescent="0.25">
      <c r="A19" t="s">
        <v>12</v>
      </c>
      <c r="C19">
        <v>30</v>
      </c>
      <c r="D19" s="8">
        <f>$C19/LOOKUP($A19,'STAT COSTS'!$A:$A,'STAT COSTS'!$B:$B)</f>
        <v>7.5</v>
      </c>
      <c r="E19" s="8">
        <f>$B$3*SUMIFS(Species_Stats!E:E,Species_Stats!A:A,$D$3,Species_Stats!B:B,A19) + $F$9*SUMIFS(Species_Stats!F:F,Species_Stats!A:A,$D$3,Species_Stats!B:B,A19)</f>
        <v>12.075000000000001</v>
      </c>
      <c r="F19" s="8">
        <f t="shared" si="1"/>
        <v>19.575000000000003</v>
      </c>
    </row>
    <row r="20" spans="1:6" x14ac:dyDescent="0.25">
      <c r="A20" t="s">
        <v>19</v>
      </c>
      <c r="C20">
        <v>20</v>
      </c>
      <c r="D20" s="8">
        <f>$C20/LOOKUP($A20,'STAT COSTS'!$A:$A,'STAT COSTS'!$B:$B)</f>
        <v>2</v>
      </c>
      <c r="E20" s="8">
        <f>$B$3*SUMIFS(Species_Stats!E:E,Species_Stats!A:A,$D$3,Species_Stats!B:B,A20) + $F$9*SUMIFS(Species_Stats!F:F,Species_Stats!A:A,$D$3,Species_Stats!B:B,A20)</f>
        <v>120.75</v>
      </c>
      <c r="F20" s="8">
        <f t="shared" si="1"/>
        <v>122.75</v>
      </c>
    </row>
    <row r="21" spans="1:6" x14ac:dyDescent="0.25">
      <c r="A21" t="s">
        <v>20</v>
      </c>
      <c r="C21">
        <v>30</v>
      </c>
      <c r="D21" s="8">
        <f>$C21/LOOKUP($A21,'STAT COSTS'!$A:$A,'STAT COSTS'!$B:$B)</f>
        <v>15</v>
      </c>
      <c r="E21" s="8">
        <f>$B$3*SUMIFS(Species_Stats!E:E,Species_Stats!A:A,$D$3,Species_Stats!B:B,A21) + $F$9*SUMIFS(Species_Stats!F:F,Species_Stats!A:A,$D$3,Species_Stats!B:B,A21)</f>
        <v>72.45</v>
      </c>
      <c r="F21" s="8">
        <f t="shared" si="1"/>
        <v>87.45</v>
      </c>
    </row>
    <row r="22" spans="1:6" x14ac:dyDescent="0.25">
      <c r="A22" t="s">
        <v>17</v>
      </c>
      <c r="C22">
        <v>10</v>
      </c>
      <c r="D22" s="8">
        <f>$C22/LOOKUP($A22,'STAT COSTS'!$A:$A,'STAT COSTS'!$B:$B)</f>
        <v>0.66666666666666663</v>
      </c>
      <c r="E22" s="8">
        <f>$B$3*SUMIFS(Species_Stats!E:E,Species_Stats!A:A,$D$3,Species_Stats!B:B,A22) + $F$9*SUMIFS(Species_Stats!F:F,Species_Stats!A:A,$D$3,Species_Stats!B:B,A22)</f>
        <v>28</v>
      </c>
      <c r="F22" s="8">
        <f t="shared" si="1"/>
        <v>28.666666666666668</v>
      </c>
    </row>
    <row r="23" spans="1:6" x14ac:dyDescent="0.25">
      <c r="A23" t="s">
        <v>18</v>
      </c>
      <c r="C23">
        <v>10</v>
      </c>
      <c r="D23" s="8">
        <f>$C23/LOOKUP($A23,'STAT COSTS'!$A:$A,'STAT COSTS'!$B:$B)</f>
        <v>0.2</v>
      </c>
      <c r="E23" s="8">
        <f>1 + $B$3*SUMIFS(Species_Stats!E:E,Species_Stats!A:A,$D$3,Species_Stats!B:B,A23) + $F$9*SUMIFS(Species_Stats!F:F,Species_Stats!A:A,$D$3,Species_Stats!B:B,A23)</f>
        <v>1.1599999999999999</v>
      </c>
      <c r="F23" s="8">
        <f t="shared" si="1"/>
        <v>1.3599999999999999</v>
      </c>
    </row>
    <row r="24" spans="1:6" x14ac:dyDescent="0.25">
      <c r="A24" t="s">
        <v>5</v>
      </c>
      <c r="B24" t="s">
        <v>49</v>
      </c>
      <c r="C24">
        <v>150</v>
      </c>
      <c r="D24" s="8">
        <f>$C24/LOOKUP($A24,'STAT COSTS'!$A:$A,'STAT COSTS'!$B:$B)</f>
        <v>6.8181818181818183</v>
      </c>
      <c r="F24" s="8">
        <f t="shared" si="1"/>
        <v>6.8181818181818183</v>
      </c>
    </row>
    <row r="25" spans="1:6" x14ac:dyDescent="0.25">
      <c r="A25" t="s">
        <v>6</v>
      </c>
      <c r="B25" t="s">
        <v>49</v>
      </c>
      <c r="C25">
        <v>100</v>
      </c>
      <c r="D25" s="8">
        <f>$C25/LOOKUP($A25,'STAT COSTS'!$A:$A,'STAT COSTS'!$B:$B)</f>
        <v>11.111111111111111</v>
      </c>
      <c r="F25" s="8">
        <f t="shared" si="1"/>
        <v>11.111111111111111</v>
      </c>
    </row>
    <row r="26" spans="1:6" x14ac:dyDescent="0.25">
      <c r="A26" t="s">
        <v>7</v>
      </c>
      <c r="B26" t="s">
        <v>49</v>
      </c>
      <c r="C26">
        <v>150</v>
      </c>
      <c r="D26" s="8">
        <f>$C26/LOOKUP($A26,'STAT COSTS'!$A:$A,'STAT COSTS'!$B:$B)</f>
        <v>30</v>
      </c>
      <c r="F26" s="8">
        <f t="shared" si="1"/>
        <v>30</v>
      </c>
    </row>
    <row r="27" spans="1:6" x14ac:dyDescent="0.25">
      <c r="A27" t="s">
        <v>120</v>
      </c>
      <c r="B27" t="s">
        <v>49</v>
      </c>
      <c r="C27">
        <v>200</v>
      </c>
      <c r="D27" s="8">
        <f>$C27/LOOKUP($A27,'STAT COSTS'!$A:$A,'STAT COSTS'!$B:$B)</f>
        <v>1</v>
      </c>
      <c r="E27" s="8">
        <v>1</v>
      </c>
      <c r="F27" s="8">
        <f t="shared" si="1"/>
        <v>2</v>
      </c>
    </row>
    <row r="28" spans="1:6" x14ac:dyDescent="0.25">
      <c r="A28" t="s">
        <v>124</v>
      </c>
      <c r="B28" t="s">
        <v>49</v>
      </c>
      <c r="C28">
        <v>250</v>
      </c>
      <c r="D28" s="8">
        <f>$C28/LOOKUP($A28,'STAT COSTS'!$A:$A,'STAT COSTS'!$B:$B)</f>
        <v>0.25</v>
      </c>
      <c r="E28" s="8">
        <v>0.1</v>
      </c>
      <c r="F28" s="8">
        <f t="shared" si="1"/>
        <v>0.35</v>
      </c>
    </row>
    <row r="29" spans="1:6" x14ac:dyDescent="0.25">
      <c r="A29" t="s">
        <v>5</v>
      </c>
      <c r="B29" t="s">
        <v>67</v>
      </c>
      <c r="C29">
        <v>20</v>
      </c>
      <c r="D29" s="8">
        <f>$C29/LOOKUP($A29,'STAT COSTS'!$A:$A,'STAT COSTS'!$B:$B)</f>
        <v>0.90909090909090906</v>
      </c>
      <c r="F29" s="8">
        <f>D29+E29</f>
        <v>0.90909090909090906</v>
      </c>
    </row>
    <row r="30" spans="1:6" x14ac:dyDescent="0.25">
      <c r="A30" t="s">
        <v>6</v>
      </c>
      <c r="B30" t="s">
        <v>67</v>
      </c>
      <c r="C30">
        <v>20</v>
      </c>
      <c r="D30" s="8">
        <f>$C30/LOOKUP($A30,'STAT COSTS'!$A:$A,'STAT COSTS'!$B:$B)</f>
        <v>2.2222222222222223</v>
      </c>
      <c r="F30" s="8">
        <f>D30+E30</f>
        <v>2.2222222222222223</v>
      </c>
    </row>
    <row r="31" spans="1:6" x14ac:dyDescent="0.25">
      <c r="A31" t="s">
        <v>5</v>
      </c>
      <c r="B31" t="s">
        <v>68</v>
      </c>
      <c r="D31" s="8">
        <f>0</f>
        <v>0</v>
      </c>
      <c r="F31" s="8">
        <f>D31+E31</f>
        <v>0</v>
      </c>
    </row>
    <row r="32" spans="1:6" x14ac:dyDescent="0.25">
      <c r="A32" t="s">
        <v>6</v>
      </c>
      <c r="B32" t="s">
        <v>68</v>
      </c>
      <c r="D32" s="8">
        <f>0</f>
        <v>0</v>
      </c>
      <c r="F32" s="8">
        <f>D32+E32</f>
        <v>0</v>
      </c>
    </row>
    <row r="33" spans="1:6" x14ac:dyDescent="0.25">
      <c r="A33" t="s">
        <v>7</v>
      </c>
      <c r="B33" t="s">
        <v>68</v>
      </c>
      <c r="D33" s="8">
        <f>0</f>
        <v>0</v>
      </c>
      <c r="F33" s="8">
        <f>D33+E33</f>
        <v>0</v>
      </c>
    </row>
    <row r="34" spans="1:6" x14ac:dyDescent="0.25">
      <c r="A34" t="s">
        <v>120</v>
      </c>
      <c r="B34" t="s">
        <v>68</v>
      </c>
      <c r="D34" s="8">
        <f>0</f>
        <v>0</v>
      </c>
      <c r="E34" s="8">
        <v>1</v>
      </c>
      <c r="F34" s="8">
        <f>D34+E34</f>
        <v>1</v>
      </c>
    </row>
  </sheetData>
  <conditionalFormatting sqref="E8:E1048576">
    <cfRule type="cellIs" dxfId="2" priority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7D529F2-0B4B-49EC-BBCD-FB435B3D98F1}">
          <x14:formula1>
            <xm:f>Weapons!$A:$A</xm:f>
          </x14:formula1>
          <xm:sqref>A6</xm:sqref>
        </x14:dataValidation>
        <x14:dataValidation type="list" allowBlank="1" showInputMessage="1" showErrorMessage="1" xr:uid="{63788CFA-AF09-48E2-8D07-21B90C23C165}">
          <x14:formula1>
            <xm:f>Species!$A:$A</xm:f>
          </x14:formula1>
          <xm:sqref>D3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3BE3C-E9AC-4957-BD9D-392FD0D0F277}">
  <dimension ref="A2:J33"/>
  <sheetViews>
    <sheetView workbookViewId="0">
      <selection activeCell="E10" sqref="E10:E23"/>
    </sheetView>
  </sheetViews>
  <sheetFormatPr defaultRowHeight="15" x14ac:dyDescent="0.25"/>
  <cols>
    <col min="1" max="1" width="23.42578125" bestFit="1" customWidth="1"/>
  </cols>
  <sheetData>
    <row r="2" spans="1:10" x14ac:dyDescent="0.25">
      <c r="A2" s="1" t="s">
        <v>47</v>
      </c>
      <c r="B2" s="1" t="s">
        <v>46</v>
      </c>
      <c r="C2" s="1" t="s">
        <v>66</v>
      </c>
      <c r="D2" s="11" t="s">
        <v>1</v>
      </c>
    </row>
    <row r="3" spans="1:10" x14ac:dyDescent="0.25">
      <c r="A3" t="s">
        <v>51</v>
      </c>
      <c r="B3">
        <v>21</v>
      </c>
      <c r="C3">
        <f>SUM(C9:C102)+SUM(J9:J102)</f>
        <v>1025</v>
      </c>
      <c r="D3" t="s">
        <v>26</v>
      </c>
    </row>
    <row r="5" spans="1:10" x14ac:dyDescent="0.25">
      <c r="A5" s="1" t="s">
        <v>130</v>
      </c>
      <c r="B5" s="1" t="s">
        <v>5</v>
      </c>
      <c r="C5" s="1" t="s">
        <v>6</v>
      </c>
      <c r="D5" s="1" t="s">
        <v>50</v>
      </c>
      <c r="E5" s="1" t="s">
        <v>7</v>
      </c>
      <c r="F5" s="1" t="s">
        <v>120</v>
      </c>
      <c r="G5" s="11" t="s">
        <v>4</v>
      </c>
    </row>
    <row r="6" spans="1:10" x14ac:dyDescent="0.25">
      <c r="A6" t="s">
        <v>52</v>
      </c>
      <c r="B6" s="8">
        <f>SUMIFS($F:$F,$A:$A,B$5,$B:$B,$A$6)</f>
        <v>3.4090909090909092</v>
      </c>
      <c r="C6" s="8">
        <f t="shared" ref="C6:E6" si="0">SUMIFS($F:$F,$A:$A,C$5,$B:$B,$A$6)</f>
        <v>8.3333333333333339</v>
      </c>
      <c r="D6" s="8">
        <f>SUMIF(Weapons!A:A,A6,Weapons!C:C)</f>
        <v>10</v>
      </c>
      <c r="E6" s="8">
        <f t="shared" si="0"/>
        <v>2</v>
      </c>
      <c r="F6" s="8">
        <f>SUMIFS($F:$F,$A:$A,F$5,$B:$B,$A$6)</f>
        <v>1.5</v>
      </c>
      <c r="G6">
        <v>30</v>
      </c>
    </row>
    <row r="8" spans="1:10" x14ac:dyDescent="0.25">
      <c r="A8" s="1" t="s">
        <v>59</v>
      </c>
      <c r="B8" s="1" t="s">
        <v>63</v>
      </c>
      <c r="C8" s="1" t="s">
        <v>62</v>
      </c>
      <c r="D8" s="1" t="s">
        <v>54</v>
      </c>
      <c r="E8" s="1" t="s">
        <v>64</v>
      </c>
      <c r="F8" s="1" t="s">
        <v>65</v>
      </c>
      <c r="I8" s="11" t="s">
        <v>122</v>
      </c>
      <c r="J8" s="11" t="s">
        <v>60</v>
      </c>
    </row>
    <row r="9" spans="1:10" x14ac:dyDescent="0.25">
      <c r="A9" t="s">
        <v>2</v>
      </c>
      <c r="C9">
        <v>0</v>
      </c>
      <c r="D9" s="8">
        <f>$C9/LOOKUP($A9,'STAT COSTS'!$A:$A,'STAT COSTS'!$B:$B)</f>
        <v>0</v>
      </c>
      <c r="E9" s="8">
        <f>$B$3*SUMIFS(Species_Stats!E:E,Species_Stats!A:A,$D$3,Species_Stats!B:B,A9)</f>
        <v>147</v>
      </c>
      <c r="F9" s="8">
        <f>D9+E9</f>
        <v>147</v>
      </c>
    </row>
    <row r="10" spans="1:10" x14ac:dyDescent="0.25">
      <c r="A10" t="s">
        <v>15</v>
      </c>
      <c r="C10">
        <v>10</v>
      </c>
      <c r="D10" s="8">
        <f>$C10/LOOKUP($A10,'STAT COSTS'!$A:$A,'STAT COSTS'!$B:$B)</f>
        <v>0.55555555555555558</v>
      </c>
      <c r="E10" s="8">
        <f>$B$3*SUMIFS(Species_Stats!E:E,Species_Stats!A:A,$D$3,Species_Stats!B:B,A10) + $F$9*SUMIFS(Species_Stats!F:F,Species_Stats!A:A,$D$3,Species_Stats!B:B,A10)</f>
        <v>0</v>
      </c>
      <c r="F10" s="8">
        <f t="shared" ref="F10:F27" si="1">D10+E10</f>
        <v>0.55555555555555558</v>
      </c>
    </row>
    <row r="11" spans="1:10" x14ac:dyDescent="0.25">
      <c r="A11" t="s">
        <v>16</v>
      </c>
      <c r="C11">
        <v>10</v>
      </c>
      <c r="D11" s="8">
        <f>$C11/LOOKUP($A11,'STAT COSTS'!$A:$A,'STAT COSTS'!$B:$B)</f>
        <v>1</v>
      </c>
      <c r="E11" s="8">
        <f>$B$3*SUMIFS(Species_Stats!E:E,Species_Stats!A:A,$D$3,Species_Stats!B:B,A11) + $F$9*SUMIFS(Species_Stats!F:F,Species_Stats!A:A,$D$3,Species_Stats!B:B,A11)</f>
        <v>31.5</v>
      </c>
      <c r="F11" s="8">
        <f t="shared" si="1"/>
        <v>32.5</v>
      </c>
    </row>
    <row r="12" spans="1:10" x14ac:dyDescent="0.25">
      <c r="A12" t="s">
        <v>21</v>
      </c>
      <c r="C12">
        <v>30</v>
      </c>
      <c r="D12" s="8">
        <f>$C12/LOOKUP($A12,'STAT COSTS'!$A:$A,'STAT COSTS'!$B:$B)</f>
        <v>1.6666666666666667</v>
      </c>
      <c r="E12" s="8">
        <f>$B$3*SUMIFS(Species_Stats!E:E,Species_Stats!A:A,$D$3,Species_Stats!B:B,A12) + $F$9*SUMIFS(Species_Stats!F:F,Species_Stats!A:A,$D$3,Species_Stats!B:B,A12)</f>
        <v>0.21</v>
      </c>
      <c r="F12" s="8">
        <f t="shared" si="1"/>
        <v>1.8766666666666667</v>
      </c>
    </row>
    <row r="13" spans="1:10" x14ac:dyDescent="0.25">
      <c r="A13" t="s">
        <v>22</v>
      </c>
      <c r="C13">
        <v>15</v>
      </c>
      <c r="D13" s="8">
        <f>$C13/LOOKUP($A13,'STAT COSTS'!$A:$A,'STAT COSTS'!$B:$B)</f>
        <v>1.875</v>
      </c>
      <c r="E13" s="8">
        <f>$B$3*SUMIFS(Species_Stats!E:E,Species_Stats!A:A,$D$3,Species_Stats!B:B,A13) + $F$9*SUMIFS(Species_Stats!F:F,Species_Stats!A:A,$D$3,Species_Stats!B:B,A13)</f>
        <v>2.52</v>
      </c>
      <c r="F13" s="8">
        <f t="shared" si="1"/>
        <v>4.3949999999999996</v>
      </c>
    </row>
    <row r="14" spans="1:10" x14ac:dyDescent="0.25">
      <c r="A14" t="s">
        <v>9</v>
      </c>
      <c r="C14">
        <v>10</v>
      </c>
      <c r="D14" s="8">
        <f>$C14/LOOKUP($A14,'STAT COSTS'!$A:$A,'STAT COSTS'!$B:$B)</f>
        <v>0.4</v>
      </c>
      <c r="E14" s="8">
        <f>$B$3*SUMIFS(Species_Stats!E:E,Species_Stats!A:A,$D$3,Species_Stats!B:B,A14) + $F$9*SUMIFS(Species_Stats!F:F,Species_Stats!A:A,$D$3,Species_Stats!B:B,A14)</f>
        <v>0</v>
      </c>
      <c r="F14" s="8">
        <f t="shared" si="1"/>
        <v>0.4</v>
      </c>
    </row>
    <row r="15" spans="1:10" x14ac:dyDescent="0.25">
      <c r="A15" t="s">
        <v>10</v>
      </c>
      <c r="C15">
        <v>100</v>
      </c>
      <c r="D15" s="8">
        <f>$C15/LOOKUP($A15,'STAT COSTS'!$A:$A,'STAT COSTS'!$B:$B)</f>
        <v>20</v>
      </c>
      <c r="E15" s="8">
        <f>$B$3*SUMIFS(Species_Stats!E:E,Species_Stats!A:A,$D$3,Species_Stats!B:B,A15) + $F$9*SUMIFS(Species_Stats!F:F,Species_Stats!A:A,$D$3,Species_Stats!B:B,A15)</f>
        <v>44.1</v>
      </c>
      <c r="F15" s="8">
        <f t="shared" si="1"/>
        <v>64.099999999999994</v>
      </c>
    </row>
    <row r="16" spans="1:10" x14ac:dyDescent="0.25">
      <c r="A16" t="s">
        <v>13</v>
      </c>
      <c r="C16">
        <v>5</v>
      </c>
      <c r="D16" s="8">
        <f>$C16/LOOKUP($A16,'STAT COSTS'!$A:$A,'STAT COSTS'!$B:$B)</f>
        <v>0.41666666666666669</v>
      </c>
      <c r="E16" s="8">
        <f>$B$3*SUMIFS(Species_Stats!E:E,Species_Stats!A:A,$D$3,Species_Stats!B:B,A16) + $F$9*SUMIFS(Species_Stats!F:F,Species_Stats!A:A,$D$3,Species_Stats!B:B,A16)</f>
        <v>13.229999999999999</v>
      </c>
      <c r="F16" s="8">
        <f t="shared" si="1"/>
        <v>13.646666666666665</v>
      </c>
    </row>
    <row r="17" spans="1:6" x14ac:dyDescent="0.25">
      <c r="A17" t="s">
        <v>14</v>
      </c>
      <c r="C17">
        <v>5</v>
      </c>
      <c r="D17" s="8">
        <f>$C17/LOOKUP($A17,'STAT COSTS'!$A:$A,'STAT COSTS'!$B:$B)</f>
        <v>1.25</v>
      </c>
      <c r="E17" s="8">
        <f>$B$3*SUMIFS(Species_Stats!E:E,Species_Stats!A:A,$D$3,Species_Stats!B:B,A17) + $F$9*SUMIFS(Species_Stats!F:F,Species_Stats!A:A,$D$3,Species_Stats!B:B,A17)</f>
        <v>14.700000000000001</v>
      </c>
      <c r="F17" s="8">
        <f t="shared" si="1"/>
        <v>15.950000000000001</v>
      </c>
    </row>
    <row r="18" spans="1:6" x14ac:dyDescent="0.25">
      <c r="A18" t="s">
        <v>11</v>
      </c>
      <c r="C18">
        <v>5</v>
      </c>
      <c r="D18" s="8">
        <f>$C18/LOOKUP($A18,'STAT COSTS'!$A:$A,'STAT COSTS'!$B:$B)</f>
        <v>0.45454545454545453</v>
      </c>
      <c r="E18" s="8">
        <f>$B$3*SUMIFS(Species_Stats!E:E,Species_Stats!A:A,$D$3,Species_Stats!B:B,A18) + $F$9*SUMIFS(Species_Stats!F:F,Species_Stats!A:A,$D$3,Species_Stats!B:B,A18)</f>
        <v>5.88</v>
      </c>
      <c r="F18" s="8">
        <f t="shared" si="1"/>
        <v>6.334545454545454</v>
      </c>
    </row>
    <row r="19" spans="1:6" x14ac:dyDescent="0.25">
      <c r="A19" t="s">
        <v>12</v>
      </c>
      <c r="C19">
        <v>5</v>
      </c>
      <c r="D19" s="8">
        <f>$C19/LOOKUP($A19,'STAT COSTS'!$A:$A,'STAT COSTS'!$B:$B)</f>
        <v>1.25</v>
      </c>
      <c r="E19" s="8">
        <f>$B$3*SUMIFS(Species_Stats!E:E,Species_Stats!A:A,$D$3,Species_Stats!B:B,A19) + $F$9*SUMIFS(Species_Stats!F:F,Species_Stats!A:A,$D$3,Species_Stats!B:B,A19)</f>
        <v>10.290000000000001</v>
      </c>
      <c r="F19" s="8">
        <f t="shared" si="1"/>
        <v>11.540000000000001</v>
      </c>
    </row>
    <row r="20" spans="1:6" x14ac:dyDescent="0.25">
      <c r="A20" t="s">
        <v>19</v>
      </c>
      <c r="C20">
        <v>5</v>
      </c>
      <c r="D20" s="8">
        <f>$C20/LOOKUP($A20,'STAT COSTS'!$A:$A,'STAT COSTS'!$B:$B)</f>
        <v>0.5</v>
      </c>
      <c r="E20" s="8">
        <f>$B$3*SUMIFS(Species_Stats!E:E,Species_Stats!A:A,$D$3,Species_Stats!B:B,A20) + $F$9*SUMIFS(Species_Stats!F:F,Species_Stats!A:A,$D$3,Species_Stats!B:B,A20)</f>
        <v>66.150000000000006</v>
      </c>
      <c r="F20" s="8">
        <f t="shared" si="1"/>
        <v>66.650000000000006</v>
      </c>
    </row>
    <row r="21" spans="1:6" x14ac:dyDescent="0.25">
      <c r="A21" t="s">
        <v>20</v>
      </c>
      <c r="C21">
        <v>5</v>
      </c>
      <c r="D21" s="8">
        <f>$C21/LOOKUP($A21,'STAT COSTS'!$A:$A,'STAT COSTS'!$B:$B)</f>
        <v>2.5</v>
      </c>
      <c r="E21" s="8">
        <f>$B$3*SUMIFS(Species_Stats!E:E,Species_Stats!A:A,$D$3,Species_Stats!B:B,A21) + $F$9*SUMIFS(Species_Stats!F:F,Species_Stats!A:A,$D$3,Species_Stats!B:B,A21)</f>
        <v>0</v>
      </c>
      <c r="F21" s="8">
        <f t="shared" si="1"/>
        <v>2.5</v>
      </c>
    </row>
    <row r="22" spans="1:6" x14ac:dyDescent="0.25">
      <c r="A22" t="s">
        <v>17</v>
      </c>
      <c r="C22">
        <v>100</v>
      </c>
      <c r="D22" s="8">
        <f>$C22/LOOKUP($A22,'STAT COSTS'!$A:$A,'STAT COSTS'!$B:$B)</f>
        <v>6.666666666666667</v>
      </c>
      <c r="E22" s="8">
        <f>$B$3*SUMIFS(Species_Stats!E:E,Species_Stats!A:A,$D$3,Species_Stats!B:B,A22) + $F$9*SUMIFS(Species_Stats!F:F,Species_Stats!A:A,$D$3,Species_Stats!B:B,A22)</f>
        <v>52.5</v>
      </c>
      <c r="F22" s="8">
        <f t="shared" si="1"/>
        <v>59.166666666666664</v>
      </c>
    </row>
    <row r="23" spans="1:6" x14ac:dyDescent="0.25">
      <c r="A23" t="s">
        <v>18</v>
      </c>
      <c r="C23">
        <v>10</v>
      </c>
      <c r="D23" s="8">
        <f>$C23/LOOKUP($A23,'STAT COSTS'!$A:$A,'STAT COSTS'!$B:$B)</f>
        <v>0.2</v>
      </c>
      <c r="E23" s="8">
        <f>$B$3*SUMIFS(Species_Stats!E:E,Species_Stats!A:A,$D$3,Species_Stats!B:B,A23) + $F$9*SUMIFS(Species_Stats!F:F,Species_Stats!A:A,$D$3,Species_Stats!B:B,A23)</f>
        <v>1.05</v>
      </c>
      <c r="F23" s="8">
        <f t="shared" si="1"/>
        <v>1.25</v>
      </c>
    </row>
    <row r="24" spans="1:6" x14ac:dyDescent="0.25">
      <c r="A24" t="s">
        <v>5</v>
      </c>
      <c r="B24" t="s">
        <v>52</v>
      </c>
      <c r="C24">
        <v>75</v>
      </c>
      <c r="D24" s="8">
        <f>$C24/LOOKUP($A24,'STAT COSTS'!$A:$A,'STAT COSTS'!$B:$B)</f>
        <v>3.4090909090909092</v>
      </c>
      <c r="F24" s="8">
        <f t="shared" si="1"/>
        <v>3.4090909090909092</v>
      </c>
    </row>
    <row r="25" spans="1:6" x14ac:dyDescent="0.25">
      <c r="A25" t="s">
        <v>6</v>
      </c>
      <c r="B25" t="s">
        <v>52</v>
      </c>
      <c r="C25">
        <v>75</v>
      </c>
      <c r="D25" s="8">
        <f>$C25/LOOKUP($A25,'STAT COSTS'!$A:$A,'STAT COSTS'!$B:$B)</f>
        <v>8.3333333333333339</v>
      </c>
      <c r="F25" s="8">
        <f t="shared" si="1"/>
        <v>8.3333333333333339</v>
      </c>
    </row>
    <row r="26" spans="1:6" x14ac:dyDescent="0.25">
      <c r="A26" t="s">
        <v>7</v>
      </c>
      <c r="B26" t="s">
        <v>52</v>
      </c>
      <c r="C26">
        <v>10</v>
      </c>
      <c r="D26" s="8">
        <f>$C26/LOOKUP($A26,'STAT COSTS'!$A:$A,'STAT COSTS'!$B:$B)</f>
        <v>2</v>
      </c>
      <c r="F26" s="8">
        <f t="shared" si="1"/>
        <v>2</v>
      </c>
    </row>
    <row r="27" spans="1:6" x14ac:dyDescent="0.25">
      <c r="A27" t="s">
        <v>120</v>
      </c>
      <c r="B27" t="s">
        <v>52</v>
      </c>
      <c r="C27">
        <v>100</v>
      </c>
      <c r="D27" s="8">
        <f>$C27/LOOKUP($A27,'STAT COSTS'!$A:$A,'STAT COSTS'!$B:$B)</f>
        <v>0.5</v>
      </c>
      <c r="E27">
        <v>1</v>
      </c>
      <c r="F27" s="8">
        <f t="shared" si="1"/>
        <v>1.5</v>
      </c>
    </row>
    <row r="28" spans="1:6" x14ac:dyDescent="0.25">
      <c r="A28" t="s">
        <v>5</v>
      </c>
      <c r="B28" t="s">
        <v>67</v>
      </c>
      <c r="C28">
        <v>30</v>
      </c>
      <c r="D28" s="8">
        <f>$C28/LOOKUP($A28,'STAT COSTS'!$A:$A,'STAT COSTS'!$B:$B)</f>
        <v>1.3636363636363635</v>
      </c>
      <c r="F28" s="8">
        <f>D28+E28</f>
        <v>1.3636363636363635</v>
      </c>
    </row>
    <row r="29" spans="1:6" x14ac:dyDescent="0.25">
      <c r="A29" t="s">
        <v>6</v>
      </c>
      <c r="B29" t="s">
        <v>67</v>
      </c>
      <c r="C29">
        <v>20</v>
      </c>
      <c r="D29" s="8">
        <f>$C29/LOOKUP($A29,'STAT COSTS'!$A:$A,'STAT COSTS'!$B:$B)</f>
        <v>2.2222222222222223</v>
      </c>
      <c r="F29" s="8">
        <f>D29+E29</f>
        <v>2.2222222222222223</v>
      </c>
    </row>
    <row r="30" spans="1:6" x14ac:dyDescent="0.25">
      <c r="A30" t="s">
        <v>5</v>
      </c>
      <c r="B30" t="s">
        <v>68</v>
      </c>
      <c r="C30">
        <v>100</v>
      </c>
      <c r="D30" s="8">
        <f>$C30/LOOKUP($A30,'STAT COSTS'!$A:$A,'STAT COSTS'!$B:$B)</f>
        <v>4.5454545454545459</v>
      </c>
      <c r="F30" s="8">
        <f>D30+E30</f>
        <v>4.5454545454545459</v>
      </c>
    </row>
    <row r="31" spans="1:6" x14ac:dyDescent="0.25">
      <c r="A31" t="s">
        <v>6</v>
      </c>
      <c r="B31" t="s">
        <v>68</v>
      </c>
      <c r="C31">
        <v>100</v>
      </c>
      <c r="D31" s="8">
        <f>$C31/LOOKUP($A31,'STAT COSTS'!$A:$A,'STAT COSTS'!$B:$B)</f>
        <v>11.111111111111111</v>
      </c>
      <c r="F31" s="8">
        <f>D31+E31</f>
        <v>11.111111111111111</v>
      </c>
    </row>
    <row r="32" spans="1:6" x14ac:dyDescent="0.25">
      <c r="A32" t="s">
        <v>7</v>
      </c>
      <c r="B32" t="s">
        <v>68</v>
      </c>
      <c r="C32">
        <v>100</v>
      </c>
      <c r="D32" s="8">
        <f>$C32/LOOKUP($A32,'STAT COSTS'!$A:$A,'STAT COSTS'!$B:$B)</f>
        <v>20</v>
      </c>
      <c r="F32" s="8">
        <f>D32+E32</f>
        <v>20</v>
      </c>
    </row>
    <row r="33" spans="1:6" x14ac:dyDescent="0.25">
      <c r="A33" t="s">
        <v>120</v>
      </c>
      <c r="B33" t="s">
        <v>68</v>
      </c>
      <c r="C33">
        <v>100</v>
      </c>
      <c r="D33" s="8">
        <f>$C33/LOOKUP($A33,'STAT COSTS'!$A:$A,'STAT COSTS'!$B:$B)</f>
        <v>0.5</v>
      </c>
      <c r="E33">
        <v>1</v>
      </c>
      <c r="F33" s="8">
        <f>D33+E33</f>
        <v>1.5</v>
      </c>
    </row>
  </sheetData>
  <conditionalFormatting sqref="E9">
    <cfRule type="cellIs" dxfId="1" priority="2" operator="equal">
      <formula>0</formula>
    </cfRule>
  </conditionalFormatting>
  <conditionalFormatting sqref="E10:E23">
    <cfRule type="cellIs" dxfId="0" priority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AC6780-6657-4318-963F-098A3392ED46}">
          <x14:formula1>
            <xm:f>Species!$A:$A</xm:f>
          </x14:formula1>
          <xm:sqref>D3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46A84-9151-4E80-8583-1AACFB0BBF0D}">
  <dimension ref="A3:G12"/>
  <sheetViews>
    <sheetView workbookViewId="0">
      <selection activeCell="E12" sqref="E12"/>
    </sheetView>
  </sheetViews>
  <sheetFormatPr defaultRowHeight="15" x14ac:dyDescent="0.25"/>
  <cols>
    <col min="2" max="2" width="10.140625" bestFit="1" customWidth="1"/>
    <col min="4" max="4" width="12" bestFit="1" customWidth="1"/>
  </cols>
  <sheetData>
    <row r="3" spans="1:7" s="1" customFormat="1" x14ac:dyDescent="0.25">
      <c r="A3" s="1" t="s">
        <v>48</v>
      </c>
      <c r="B3" s="1" t="s">
        <v>69</v>
      </c>
      <c r="C3" s="1" t="s">
        <v>50</v>
      </c>
      <c r="D3" s="1" t="s">
        <v>89</v>
      </c>
      <c r="E3" s="1" t="s">
        <v>76</v>
      </c>
      <c r="F3" s="1" t="s">
        <v>87</v>
      </c>
      <c r="G3" s="1" t="s">
        <v>88</v>
      </c>
    </row>
    <row r="4" spans="1:7" x14ac:dyDescent="0.25">
      <c r="A4" t="s">
        <v>49</v>
      </c>
      <c r="B4">
        <v>300</v>
      </c>
      <c r="C4">
        <v>40</v>
      </c>
      <c r="D4" t="s">
        <v>90</v>
      </c>
      <c r="E4">
        <v>1</v>
      </c>
      <c r="F4">
        <v>1</v>
      </c>
      <c r="G4">
        <v>1</v>
      </c>
    </row>
    <row r="5" spans="1:7" x14ac:dyDescent="0.25">
      <c r="A5" t="s">
        <v>70</v>
      </c>
      <c r="B5">
        <v>1</v>
      </c>
      <c r="C5">
        <v>10</v>
      </c>
      <c r="D5" t="s">
        <v>91</v>
      </c>
      <c r="F5">
        <v>1</v>
      </c>
      <c r="G5">
        <v>0</v>
      </c>
    </row>
    <row r="6" spans="1:7" x14ac:dyDescent="0.25">
      <c r="A6" t="s">
        <v>73</v>
      </c>
      <c r="B6">
        <v>1</v>
      </c>
      <c r="C6">
        <v>12</v>
      </c>
      <c r="D6" t="s">
        <v>91</v>
      </c>
      <c r="F6">
        <v>1</v>
      </c>
      <c r="G6">
        <v>0</v>
      </c>
    </row>
    <row r="7" spans="1:7" x14ac:dyDescent="0.25">
      <c r="A7" t="s">
        <v>61</v>
      </c>
      <c r="B7">
        <v>1</v>
      </c>
      <c r="C7">
        <v>12</v>
      </c>
      <c r="D7" t="s">
        <v>91</v>
      </c>
      <c r="F7">
        <v>1</v>
      </c>
      <c r="G7">
        <v>0</v>
      </c>
    </row>
    <row r="8" spans="1:7" x14ac:dyDescent="0.25">
      <c r="A8" t="s">
        <v>74</v>
      </c>
      <c r="B8">
        <v>1</v>
      </c>
      <c r="C8">
        <v>1</v>
      </c>
      <c r="D8" t="s">
        <v>90</v>
      </c>
      <c r="F8">
        <v>1</v>
      </c>
      <c r="G8">
        <v>0</v>
      </c>
    </row>
    <row r="9" spans="1:7" x14ac:dyDescent="0.25">
      <c r="A9" t="s">
        <v>75</v>
      </c>
      <c r="B9">
        <v>1</v>
      </c>
      <c r="C9">
        <v>50</v>
      </c>
      <c r="D9" t="s">
        <v>90</v>
      </c>
      <c r="E9">
        <v>25</v>
      </c>
      <c r="F9">
        <v>2</v>
      </c>
      <c r="G9">
        <v>1</v>
      </c>
    </row>
    <row r="10" spans="1:7" x14ac:dyDescent="0.25">
      <c r="A10" t="s">
        <v>92</v>
      </c>
      <c r="B10">
        <v>2</v>
      </c>
      <c r="C10">
        <v>8</v>
      </c>
      <c r="D10" t="s">
        <v>93</v>
      </c>
      <c r="E10">
        <v>3</v>
      </c>
      <c r="F10">
        <v>1</v>
      </c>
      <c r="G10">
        <v>0</v>
      </c>
    </row>
    <row r="11" spans="1:7" x14ac:dyDescent="0.25">
      <c r="A11" t="s">
        <v>121</v>
      </c>
      <c r="B11">
        <v>2</v>
      </c>
      <c r="C11">
        <v>30</v>
      </c>
      <c r="D11" t="s">
        <v>91</v>
      </c>
      <c r="E11">
        <v>12</v>
      </c>
      <c r="F11">
        <v>1</v>
      </c>
      <c r="G11">
        <v>1</v>
      </c>
    </row>
    <row r="12" spans="1:7" x14ac:dyDescent="0.25">
      <c r="A12" t="s">
        <v>52</v>
      </c>
      <c r="B12">
        <v>1</v>
      </c>
      <c r="C12">
        <v>10</v>
      </c>
      <c r="D12" t="s">
        <v>91</v>
      </c>
      <c r="F12">
        <v>1</v>
      </c>
      <c r="G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0F60-5593-4535-8060-153DD0A6A488}">
  <dimension ref="A1:E6"/>
  <sheetViews>
    <sheetView workbookViewId="0">
      <selection activeCell="E6" sqref="E6"/>
    </sheetView>
  </sheetViews>
  <sheetFormatPr defaultRowHeight="15" x14ac:dyDescent="0.25"/>
  <cols>
    <col min="1" max="1" width="12.5703125" bestFit="1" customWidth="1"/>
    <col min="3" max="3" width="13.42578125" bestFit="1" customWidth="1"/>
    <col min="4" max="4" width="31.7109375" bestFit="1" customWidth="1"/>
    <col min="5" max="5" width="48.28515625" bestFit="1" customWidth="1"/>
  </cols>
  <sheetData>
    <row r="1" spans="1:5" x14ac:dyDescent="0.25">
      <c r="A1" t="s">
        <v>102</v>
      </c>
    </row>
    <row r="2" spans="1:5" x14ac:dyDescent="0.25">
      <c r="C2" s="10" t="s">
        <v>95</v>
      </c>
      <c r="D2" s="10"/>
    </row>
    <row r="3" spans="1:5" s="1" customFormat="1" x14ac:dyDescent="0.25">
      <c r="A3" s="1" t="s">
        <v>100</v>
      </c>
      <c r="B3" s="1" t="s">
        <v>60</v>
      </c>
      <c r="C3" s="1">
        <v>1</v>
      </c>
      <c r="D3" s="1">
        <v>2</v>
      </c>
      <c r="E3" s="1" t="s">
        <v>103</v>
      </c>
    </row>
    <row r="4" spans="1:5" x14ac:dyDescent="0.25">
      <c r="A4" t="s">
        <v>94</v>
      </c>
      <c r="B4">
        <v>100</v>
      </c>
      <c r="C4" t="s">
        <v>96</v>
      </c>
      <c r="D4" t="s">
        <v>106</v>
      </c>
      <c r="E4" t="s">
        <v>113</v>
      </c>
    </row>
    <row r="5" spans="1:5" x14ac:dyDescent="0.25">
      <c r="A5" t="s">
        <v>97</v>
      </c>
      <c r="B5">
        <v>100</v>
      </c>
      <c r="C5" t="s">
        <v>99</v>
      </c>
      <c r="D5" t="s">
        <v>98</v>
      </c>
      <c r="E5" t="s">
        <v>105</v>
      </c>
    </row>
    <row r="6" spans="1:5" x14ac:dyDescent="0.25">
      <c r="A6" t="s">
        <v>107</v>
      </c>
      <c r="B6">
        <v>100</v>
      </c>
      <c r="C6" t="s">
        <v>108</v>
      </c>
      <c r="E6" t="s">
        <v>109</v>
      </c>
    </row>
  </sheetData>
  <mergeCells count="1">
    <mergeCell ref="C2:D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9826-1C9D-4157-A0C0-B64B33C80D90}">
  <dimension ref="A3:C8"/>
  <sheetViews>
    <sheetView workbookViewId="0">
      <selection activeCell="A9" sqref="A9"/>
    </sheetView>
  </sheetViews>
  <sheetFormatPr defaultRowHeight="15" x14ac:dyDescent="0.25"/>
  <cols>
    <col min="1" max="1" width="12.42578125" bestFit="1" customWidth="1"/>
    <col min="2" max="2" width="38.28515625" bestFit="1" customWidth="1"/>
    <col min="3" max="3" width="49.42578125" bestFit="1" customWidth="1"/>
  </cols>
  <sheetData>
    <row r="3" spans="1:3" s="1" customFormat="1" x14ac:dyDescent="0.25">
      <c r="A3" s="1" t="s">
        <v>100</v>
      </c>
      <c r="B3" s="1" t="s">
        <v>59</v>
      </c>
      <c r="C3" s="1" t="s">
        <v>103</v>
      </c>
    </row>
    <row r="4" spans="1:3" x14ac:dyDescent="0.25">
      <c r="A4" t="s">
        <v>101</v>
      </c>
      <c r="B4" t="s">
        <v>104</v>
      </c>
      <c r="C4" t="s">
        <v>114</v>
      </c>
    </row>
    <row r="5" spans="1:3" x14ac:dyDescent="0.25">
      <c r="A5" t="s">
        <v>110</v>
      </c>
      <c r="C5" t="s">
        <v>115</v>
      </c>
    </row>
    <row r="6" spans="1:3" x14ac:dyDescent="0.25">
      <c r="A6" t="s">
        <v>111</v>
      </c>
      <c r="C6" t="s">
        <v>116</v>
      </c>
    </row>
    <row r="7" spans="1:3" x14ac:dyDescent="0.25">
      <c r="A7" t="s">
        <v>112</v>
      </c>
      <c r="C7" t="s">
        <v>117</v>
      </c>
    </row>
    <row r="8" spans="1:3" x14ac:dyDescent="0.25">
      <c r="A8" t="s">
        <v>118</v>
      </c>
      <c r="C8" t="s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628C2-D9A4-4F42-B0F8-C4F40BFFC532}">
  <dimension ref="A3:B23"/>
  <sheetViews>
    <sheetView workbookViewId="0">
      <selection activeCell="D22" sqref="D22"/>
    </sheetView>
  </sheetViews>
  <sheetFormatPr defaultRowHeight="15" x14ac:dyDescent="0.25"/>
  <cols>
    <col min="1" max="1" width="22.85546875" bestFit="1" customWidth="1"/>
  </cols>
  <sheetData>
    <row r="3" spans="1:2" s="1" customFormat="1" x14ac:dyDescent="0.25">
      <c r="A3" s="1" t="s">
        <v>59</v>
      </c>
      <c r="B3" s="1" t="s">
        <v>60</v>
      </c>
    </row>
    <row r="4" spans="1:2" x14ac:dyDescent="0.25">
      <c r="A4" t="s">
        <v>5</v>
      </c>
      <c r="B4">
        <v>22</v>
      </c>
    </row>
    <row r="5" spans="1:2" x14ac:dyDescent="0.25">
      <c r="A5" t="s">
        <v>6</v>
      </c>
      <c r="B5">
        <v>9</v>
      </c>
    </row>
    <row r="6" spans="1:2" x14ac:dyDescent="0.25">
      <c r="A6" t="s">
        <v>19</v>
      </c>
      <c r="B6">
        <v>10</v>
      </c>
    </row>
    <row r="7" spans="1:2" x14ac:dyDescent="0.25">
      <c r="A7" t="s">
        <v>20</v>
      </c>
      <c r="B7">
        <v>2</v>
      </c>
    </row>
    <row r="8" spans="1:2" x14ac:dyDescent="0.25">
      <c r="A8" t="s">
        <v>120</v>
      </c>
      <c r="B8">
        <v>200</v>
      </c>
    </row>
    <row r="9" spans="1:2" x14ac:dyDescent="0.25">
      <c r="A9" t="s">
        <v>7</v>
      </c>
      <c r="B9">
        <v>5</v>
      </c>
    </row>
    <row r="10" spans="1:2" x14ac:dyDescent="0.25">
      <c r="A10" t="s">
        <v>9</v>
      </c>
      <c r="B10">
        <v>25</v>
      </c>
    </row>
    <row r="11" spans="1:2" x14ac:dyDescent="0.25">
      <c r="A11" t="s">
        <v>10</v>
      </c>
      <c r="B11">
        <v>5</v>
      </c>
    </row>
    <row r="12" spans="1:2" x14ac:dyDescent="0.25">
      <c r="A12" t="s">
        <v>13</v>
      </c>
      <c r="B12">
        <v>12</v>
      </c>
    </row>
    <row r="13" spans="1:2" x14ac:dyDescent="0.25">
      <c r="A13" t="s">
        <v>14</v>
      </c>
      <c r="B13">
        <v>4</v>
      </c>
    </row>
    <row r="14" spans="1:2" x14ac:dyDescent="0.25">
      <c r="A14" t="s">
        <v>2</v>
      </c>
      <c r="B14">
        <v>10</v>
      </c>
    </row>
    <row r="15" spans="1:2" x14ac:dyDescent="0.25">
      <c r="A15" t="s">
        <v>11</v>
      </c>
      <c r="B15">
        <v>11</v>
      </c>
    </row>
    <row r="16" spans="1:2" x14ac:dyDescent="0.25">
      <c r="A16" t="s">
        <v>12</v>
      </c>
      <c r="B16">
        <v>4</v>
      </c>
    </row>
    <row r="17" spans="1:2" x14ac:dyDescent="0.25">
      <c r="A17" t="s">
        <v>124</v>
      </c>
      <c r="B17">
        <v>1000</v>
      </c>
    </row>
    <row r="18" spans="1:2" x14ac:dyDescent="0.25">
      <c r="A18" t="s">
        <v>21</v>
      </c>
      <c r="B18">
        <v>18</v>
      </c>
    </row>
    <row r="19" spans="1:2" x14ac:dyDescent="0.25">
      <c r="A19" t="s">
        <v>22</v>
      </c>
      <c r="B19">
        <v>8</v>
      </c>
    </row>
    <row r="20" spans="1:2" x14ac:dyDescent="0.25">
      <c r="A20" t="s">
        <v>15</v>
      </c>
      <c r="B20">
        <v>18</v>
      </c>
    </row>
    <row r="21" spans="1:2" x14ac:dyDescent="0.25">
      <c r="A21" t="s">
        <v>16</v>
      </c>
      <c r="B21">
        <v>10</v>
      </c>
    </row>
    <row r="22" spans="1:2" x14ac:dyDescent="0.25">
      <c r="A22" t="s">
        <v>17</v>
      </c>
      <c r="B22">
        <v>15</v>
      </c>
    </row>
    <row r="23" spans="1:2" x14ac:dyDescent="0.25">
      <c r="A23" t="s">
        <v>18</v>
      </c>
      <c r="B23">
        <v>50</v>
      </c>
    </row>
  </sheetData>
  <sortState xmlns:xlrd2="http://schemas.microsoft.com/office/spreadsheetml/2017/richdata2" ref="A4:B23">
    <sortCondition ref="A4:A2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D2B5-4BCA-4176-9912-353601ED4B2B}">
  <dimension ref="A3:C7"/>
  <sheetViews>
    <sheetView workbookViewId="0">
      <selection activeCell="A8" sqref="A8"/>
    </sheetView>
  </sheetViews>
  <sheetFormatPr defaultRowHeight="15" x14ac:dyDescent="0.25"/>
  <cols>
    <col min="1" max="1" width="18.28515625" bestFit="1" customWidth="1"/>
    <col min="2" max="2" width="13.85546875" bestFit="1" customWidth="1"/>
    <col min="3" max="3" width="45.28515625" bestFit="1" customWidth="1"/>
  </cols>
  <sheetData>
    <row r="3" spans="1:3" s="1" customFormat="1" x14ac:dyDescent="0.25">
      <c r="A3" s="1" t="s">
        <v>55</v>
      </c>
      <c r="B3" s="1" t="s">
        <v>84</v>
      </c>
      <c r="C3" s="1" t="s">
        <v>56</v>
      </c>
    </row>
    <row r="4" spans="1:3" x14ac:dyDescent="0.25">
      <c r="A4" t="s">
        <v>57</v>
      </c>
      <c r="B4" s="4">
        <v>45629</v>
      </c>
      <c r="C4" t="s">
        <v>58</v>
      </c>
    </row>
    <row r="5" spans="1:3" x14ac:dyDescent="0.25">
      <c r="A5" t="s">
        <v>71</v>
      </c>
      <c r="B5" s="4">
        <v>45630</v>
      </c>
      <c r="C5" t="s">
        <v>72</v>
      </c>
    </row>
    <row r="6" spans="1:3" x14ac:dyDescent="0.25">
      <c r="A6" t="s">
        <v>77</v>
      </c>
      <c r="B6" s="4">
        <v>45630</v>
      </c>
      <c r="C6" t="s">
        <v>78</v>
      </c>
    </row>
    <row r="7" spans="1:3" x14ac:dyDescent="0.25">
      <c r="A7" t="s">
        <v>85</v>
      </c>
      <c r="B7" s="4">
        <v>45630</v>
      </c>
      <c r="C7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CA514-A3F6-4C3D-8DE3-968F9B32194D}">
  <dimension ref="A3:C4"/>
  <sheetViews>
    <sheetView workbookViewId="0">
      <selection activeCell="B1" sqref="B1:B1048576"/>
    </sheetView>
  </sheetViews>
  <sheetFormatPr defaultRowHeight="15" x14ac:dyDescent="0.25"/>
  <cols>
    <col min="1" max="1" width="10.42578125" bestFit="1" customWidth="1"/>
    <col min="3" max="3" width="48" bestFit="1" customWidth="1"/>
  </cols>
  <sheetData>
    <row r="3" spans="1:3" s="1" customFormat="1" x14ac:dyDescent="0.25">
      <c r="A3" s="1" t="s">
        <v>79</v>
      </c>
      <c r="B3" s="1" t="s">
        <v>81</v>
      </c>
      <c r="C3" s="1" t="s">
        <v>80</v>
      </c>
    </row>
    <row r="4" spans="1:3" x14ac:dyDescent="0.25">
      <c r="A4" s="4">
        <v>45629</v>
      </c>
      <c r="B4" t="s">
        <v>83</v>
      </c>
      <c r="C4" t="s">
        <v>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A07C0D-C7BE-4820-9A75-931020E20F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Species</vt:lpstr>
      <vt:lpstr>Species_Stats</vt:lpstr>
      <vt:lpstr>Species_OLD</vt:lpstr>
      <vt:lpstr>_TMPLT_Character</vt:lpstr>
      <vt:lpstr>Calculator</vt:lpstr>
      <vt:lpstr>Wryonin</vt:lpstr>
      <vt:lpstr>Cat Soldier</vt:lpstr>
      <vt:lpstr>Weapons</vt:lpstr>
      <vt:lpstr>Features</vt:lpstr>
      <vt:lpstr>Features (Species)</vt:lpstr>
      <vt:lpstr>STAT COSTS</vt:lpstr>
      <vt:lpstr>Sources</vt:lpstr>
      <vt:lpstr>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Sheneman</dc:creator>
  <cp:lastModifiedBy>Stephen Sheneman</cp:lastModifiedBy>
  <dcterms:created xsi:type="dcterms:W3CDTF">2024-12-03T10:31:33Z</dcterms:created>
  <dcterms:modified xsi:type="dcterms:W3CDTF">2024-12-05T23:20:32Z</dcterms:modified>
</cp:coreProperties>
</file>