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15ADB374-8876-4A95-8F52-5ED16AC32878}" xr6:coauthVersionLast="47" xr6:coauthVersionMax="47" xr10:uidLastSave="{00000000-0000-0000-0000-000000000000}"/>
  <bookViews>
    <workbookView xWindow="13410" yWindow="0" windowWidth="22680" windowHeight="20985" tabRatio="809" firstSheet="2" activeTab="4" xr2:uid="{939E3A0E-BA0B-442B-84B0-B7815D6CBC2B}"/>
  </bookViews>
  <sheets>
    <sheet name="Species" sheetId="1" r:id="rId1"/>
    <sheet name="_TMPLT_Character" sheetId="8" r:id="rId2"/>
    <sheet name="Calculator" sheetId="5" r:id="rId3"/>
    <sheet name="Wryonin" sheetId="13" r:id="rId4"/>
    <sheet name="Cat Soldier" sheetId="14" r:id="rId5"/>
    <sheet name="Weapons" sheetId="9" r:id="rId6"/>
    <sheet name="Features" sheetId="11" r:id="rId7"/>
    <sheet name="Features (Species)" sheetId="12" r:id="rId8"/>
    <sheet name="STAT COSTS" sheetId="7" r:id="rId9"/>
    <sheet name="_TEST_Characters" sheetId="2" r:id="rId10"/>
    <sheet name="_TEST_Runs" sheetId="6" r:id="rId11"/>
    <sheet name="Sources" sheetId="4" r:id="rId12"/>
    <sheet name="Changelog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5" l="1"/>
  <c r="O14" i="5"/>
  <c r="A7" i="5"/>
  <c r="A5" i="5"/>
  <c r="G19" i="5" a="1"/>
  <c r="G27" i="5" a="1"/>
  <c r="G20" i="5" a="1"/>
  <c r="G21" i="5" a="1"/>
  <c r="G22" i="5" a="1"/>
  <c r="G25" i="5" a="1"/>
  <c r="G26" i="5" a="1"/>
  <c r="G23" i="5" a="1"/>
  <c r="G24" i="5" a="1"/>
  <c r="G18" i="5" a="1"/>
  <c r="E19" i="5" a="1"/>
  <c r="E27" i="5" a="1"/>
  <c r="E22" i="5" a="1"/>
  <c r="E24" i="5" a="1"/>
  <c r="E25" i="5" a="1"/>
  <c r="E20" i="5" a="1"/>
  <c r="E23" i="5" a="1"/>
  <c r="E21" i="5" a="1"/>
  <c r="E26" i="5" a="1"/>
  <c r="C19" i="5" a="1"/>
  <c r="C27" i="5" a="1"/>
  <c r="C21" i="5" a="1"/>
  <c r="C24" i="5" a="1"/>
  <c r="C20" i="5" a="1"/>
  <c r="C25" i="5" a="1"/>
  <c r="C22" i="5" a="1"/>
  <c r="C26" i="5" a="1"/>
  <c r="C23" i="5" a="1"/>
  <c r="C18" i="5" a="1"/>
  <c r="B19" i="5" a="1"/>
  <c r="B27" i="5" a="1"/>
  <c r="B21" i="5" a="1"/>
  <c r="B22" i="5" a="1"/>
  <c r="B25" i="5" a="1"/>
  <c r="B26" i="5" a="1"/>
  <c r="B20" i="5" a="1"/>
  <c r="B24" i="5" a="1"/>
  <c r="B23" i="5" a="1"/>
  <c r="B18" i="5" a="1"/>
  <c r="B261" i="6" a="1"/>
  <c r="G24" i="5" l="1"/>
  <c r="F24" i="5" s="1"/>
  <c r="G23" i="5"/>
  <c r="F23" i="5" s="1"/>
  <c r="G26" i="5"/>
  <c r="F26" i="5" s="1"/>
  <c r="G25" i="5"/>
  <c r="F25" i="5" s="1"/>
  <c r="G22" i="5"/>
  <c r="F22" i="5" s="1"/>
  <c r="G21" i="5"/>
  <c r="F21" i="5" s="1"/>
  <c r="G20" i="5"/>
  <c r="F20" i="5" s="1"/>
  <c r="G27" i="5"/>
  <c r="F27" i="5" s="1"/>
  <c r="G19" i="5"/>
  <c r="F19" i="5" s="1"/>
  <c r="G18" i="5"/>
  <c r="F18" i="5" s="1"/>
  <c r="E26" i="5"/>
  <c r="D26" i="5" s="1"/>
  <c r="E21" i="5"/>
  <c r="D21" i="5" s="1"/>
  <c r="E23" i="5"/>
  <c r="D23" i="5" s="1"/>
  <c r="E20" i="5"/>
  <c r="D20" i="5" s="1"/>
  <c r="E25" i="5"/>
  <c r="D25" i="5" s="1"/>
  <c r="E24" i="5"/>
  <c r="D24" i="5" s="1"/>
  <c r="E22" i="5"/>
  <c r="D22" i="5" s="1"/>
  <c r="E27" i="5"/>
  <c r="D27" i="5" s="1"/>
  <c r="E19" i="5"/>
  <c r="D19" i="5" s="1"/>
  <c r="C23" i="5"/>
  <c r="C26" i="5"/>
  <c r="C22" i="5"/>
  <c r="C25" i="5"/>
  <c r="C20" i="5"/>
  <c r="C24" i="5"/>
  <c r="C21" i="5"/>
  <c r="C27" i="5"/>
  <c r="C19" i="5"/>
  <c r="C18" i="5"/>
  <c r="B23" i="5"/>
  <c r="B24" i="5"/>
  <c r="B20" i="5"/>
  <c r="B26" i="5"/>
  <c r="B25" i="5"/>
  <c r="B22" i="5"/>
  <c r="B21" i="5"/>
  <c r="B27" i="5"/>
  <c r="B19" i="5"/>
  <c r="B18" i="5"/>
  <c r="B261" i="6"/>
  <c r="C261" i="6" a="1"/>
  <c r="C261" i="6"/>
  <c r="D261" i="6" a="1"/>
  <c r="D261" i="6"/>
  <c r="E261" i="6" a="1"/>
  <c r="E261" i="6"/>
  <c r="F261" i="6" a="1"/>
  <c r="F261" i="6"/>
  <c r="G261" i="6" a="1"/>
  <c r="G261" i="6"/>
  <c r="H261" i="6" a="1"/>
  <c r="H261" i="6"/>
  <c r="I261" i="6" a="1"/>
  <c r="I261" i="6"/>
  <c r="J261" i="6" a="1"/>
  <c r="J261" i="6"/>
  <c r="K261" i="6" a="1"/>
  <c r="K261" i="6"/>
  <c r="C263" i="6" a="1"/>
  <c r="C263" i="6" l="1"/>
  <c r="C262" i="6" s="1"/>
  <c r="D263" i="6" a="1"/>
  <c r="D263" i="6"/>
  <c r="D262" i="6" s="1"/>
  <c r="E263" i="6" a="1"/>
  <c r="E263" i="6"/>
  <c r="E262" i="6" s="1"/>
  <c r="F263" i="6" a="1"/>
  <c r="F263" i="6"/>
  <c r="F262" i="6" s="1"/>
  <c r="G263" i="6" a="1"/>
  <c r="G263" i="6"/>
  <c r="G262" i="6" s="1"/>
  <c r="H263" i="6" a="1"/>
  <c r="H263" i="6"/>
  <c r="H262" i="6" s="1"/>
  <c r="I263" i="6" a="1"/>
  <c r="I263" i="6"/>
  <c r="I262" i="6" s="1"/>
  <c r="J263" i="6" a="1"/>
  <c r="J263" i="6"/>
  <c r="J262" i="6" s="1"/>
  <c r="K263" i="6" a="1"/>
  <c r="K263" i="6"/>
  <c r="K262" i="6" s="1"/>
  <c r="B265" i="6" a="1"/>
  <c r="B265" i="6" l="1"/>
  <c r="B264" i="6" s="1"/>
  <c r="C265" i="6" a="1"/>
  <c r="C265" i="6"/>
  <c r="C264" i="6" s="1"/>
  <c r="D265" i="6" a="1"/>
  <c r="D265" i="6"/>
  <c r="D264" i="6" s="1"/>
  <c r="E265" i="6" a="1"/>
  <c r="E265" i="6"/>
  <c r="E264" i="6" s="1"/>
  <c r="F265" i="6" a="1"/>
  <c r="F265" i="6"/>
  <c r="F264" i="6" s="1"/>
  <c r="G265" i="6" a="1"/>
  <c r="G265" i="6"/>
  <c r="G264" i="6" s="1"/>
  <c r="H265" i="6" a="1"/>
  <c r="H265" i="6"/>
  <c r="H264" i="6" s="1"/>
  <c r="I265" i="6" a="1"/>
  <c r="I265" i="6"/>
  <c r="I264" i="6" s="1"/>
  <c r="J265" i="6" a="1"/>
  <c r="J265" i="6"/>
  <c r="J264" i="6" s="1"/>
  <c r="K265" i="6" a="1"/>
  <c r="K265" i="6"/>
  <c r="K264" i="6" s="1"/>
  <c r="C267" i="6"/>
  <c r="D267" i="6"/>
  <c r="E267" i="6"/>
  <c r="F267" i="6"/>
  <c r="G267" i="6"/>
  <c r="H267" i="6"/>
  <c r="I267" i="6"/>
  <c r="J267" i="6"/>
  <c r="K267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A12" i="5" l="1"/>
  <c r="A11" i="5"/>
  <c r="A10" i="5"/>
  <c r="A9" i="5"/>
  <c r="A8" i="5"/>
  <c r="D6" i="14"/>
  <c r="D6" i="13"/>
  <c r="F6" i="14"/>
  <c r="E6" i="14"/>
  <c r="B6" i="14"/>
  <c r="F6" i="13"/>
  <c r="E10" i="14"/>
  <c r="E9" i="14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E23" i="14"/>
  <c r="D23" i="14"/>
  <c r="E22" i="14"/>
  <c r="D22" i="14"/>
  <c r="D21" i="14"/>
  <c r="F21" i="14" s="1"/>
  <c r="D20" i="14"/>
  <c r="D19" i="14"/>
  <c r="F19" i="14" s="1"/>
  <c r="D18" i="14"/>
  <c r="D17" i="14"/>
  <c r="F17" i="14" s="1"/>
  <c r="D16" i="14"/>
  <c r="D15" i="14"/>
  <c r="F15" i="14" s="1"/>
  <c r="D14" i="14"/>
  <c r="F14" i="14" s="1"/>
  <c r="D13" i="14"/>
  <c r="F13" i="14" s="1"/>
  <c r="E12" i="14"/>
  <c r="D12" i="14"/>
  <c r="D11" i="14"/>
  <c r="F11" i="14" s="1"/>
  <c r="D10" i="14"/>
  <c r="D9" i="14"/>
  <c r="C3" i="14"/>
  <c r="I192" i="6"/>
  <c r="M192" i="6"/>
  <c r="P192" i="6"/>
  <c r="I199" i="6"/>
  <c r="Q199" i="6" s="1"/>
  <c r="T199" i="6" s="1"/>
  <c r="V199" i="6" s="1"/>
  <c r="M199" i="6"/>
  <c r="P199" i="6"/>
  <c r="D28" i="13"/>
  <c r="F28" i="13" s="1"/>
  <c r="C3" i="13"/>
  <c r="E191" i="6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B191" i="6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E23" i="13"/>
  <c r="D23" i="13"/>
  <c r="E22" i="13"/>
  <c r="D22" i="13"/>
  <c r="D21" i="13"/>
  <c r="F21" i="13" s="1"/>
  <c r="D20" i="13"/>
  <c r="D19" i="13"/>
  <c r="F19" i="13" s="1"/>
  <c r="D18" i="13"/>
  <c r="D17" i="13"/>
  <c r="F17" i="13" s="1"/>
  <c r="D16" i="13"/>
  <c r="D15" i="13"/>
  <c r="F15" i="13" s="1"/>
  <c r="D14" i="13"/>
  <c r="F14" i="13" s="1"/>
  <c r="D13" i="13"/>
  <c r="F13" i="13" s="1"/>
  <c r="E12" i="13"/>
  <c r="D12" i="13"/>
  <c r="D11" i="13"/>
  <c r="F11" i="13" s="1"/>
  <c r="E10" i="13"/>
  <c r="D10" i="13"/>
  <c r="E9" i="13"/>
  <c r="D9" i="13"/>
  <c r="F9" i="13" s="1"/>
  <c r="B263" i="6" a="1"/>
  <c r="E18" i="5" a="1"/>
  <c r="E12" i="5" a="1"/>
  <c r="C12" i="5" a="1"/>
  <c r="E11" i="5" a="1"/>
  <c r="C11" i="5" a="1"/>
  <c r="E10" i="5" a="1"/>
  <c r="C10" i="5" a="1"/>
  <c r="E8" i="5" a="1"/>
  <c r="C8" i="5" a="1"/>
  <c r="E7" i="5" a="1"/>
  <c r="C7" i="5" a="1"/>
  <c r="F9" i="5" a="1"/>
  <c r="E6" i="5" a="1"/>
  <c r="E5" i="5" a="1"/>
  <c r="C6" i="5" a="1"/>
  <c r="C5" i="5" a="1"/>
  <c r="E18" i="5" l="1"/>
  <c r="D18" i="5" s="1"/>
  <c r="B263" i="6"/>
  <c r="B262" i="6" s="1"/>
  <c r="Q192" i="6"/>
  <c r="T192" i="6" s="1"/>
  <c r="V192" i="6" s="1"/>
  <c r="W192" i="6" s="1"/>
  <c r="E12" i="5"/>
  <c r="C12" i="5"/>
  <c r="E11" i="5"/>
  <c r="C11" i="5"/>
  <c r="E10" i="5"/>
  <c r="C10" i="5"/>
  <c r="E8" i="5"/>
  <c r="C8" i="5"/>
  <c r="E7" i="5"/>
  <c r="C7" i="5"/>
  <c r="F9" i="5"/>
  <c r="E6" i="5"/>
  <c r="E5" i="5"/>
  <c r="C6" i="5"/>
  <c r="G6" i="5" s="1"/>
  <c r="C5" i="5"/>
  <c r="F23" i="14"/>
  <c r="F22" i="13"/>
  <c r="F10" i="14"/>
  <c r="F22" i="14"/>
  <c r="F12" i="14"/>
  <c r="F9" i="14"/>
  <c r="E20" i="14"/>
  <c r="F20" i="14" s="1"/>
  <c r="E18" i="14"/>
  <c r="F18" i="14" s="1"/>
  <c r="E16" i="14"/>
  <c r="F16" i="14" s="1"/>
  <c r="W199" i="6"/>
  <c r="F23" i="13"/>
  <c r="F12" i="13"/>
  <c r="F10" i="13"/>
  <c r="E18" i="13"/>
  <c r="F18" i="13" s="1"/>
  <c r="E16" i="13"/>
  <c r="F16" i="13" s="1"/>
  <c r="E20" i="13"/>
  <c r="F20" i="13" s="1"/>
  <c r="G11" i="5" l="1"/>
  <c r="G12" i="5"/>
  <c r="G10" i="5"/>
  <c r="G7" i="5"/>
  <c r="G5" i="5"/>
  <c r="H9" i="5" l="1"/>
  <c r="F8" i="5" a="1"/>
  <c r="F8" i="5" l="1"/>
  <c r="G8" i="5" s="1"/>
  <c r="G9" i="5" l="1"/>
  <c r="H12" i="5"/>
  <c r="H10" i="5" l="1"/>
  <c r="H11" i="5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P30" i="2"/>
  <c r="P29" i="2"/>
  <c r="E17" i="8" l="1"/>
  <c r="F17" i="8" s="1"/>
  <c r="E15" i="8"/>
  <c r="F15" i="8" s="1"/>
  <c r="E13" i="8"/>
  <c r="F13" i="8" s="1"/>
  <c r="A2" i="6" l="1"/>
  <c r="D2" i="6"/>
  <c r="B3" i="6"/>
  <c r="B4" i="6" s="1"/>
  <c r="E3" i="6"/>
  <c r="E5" i="6" s="1"/>
  <c r="E7" i="6" s="1"/>
  <c r="E9" i="6" s="1"/>
  <c r="E11" i="6" s="1"/>
  <c r="E13" i="6" s="1"/>
  <c r="E15" i="6" s="1"/>
  <c r="E17" i="6" s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A24" i="6"/>
  <c r="D24" i="6"/>
  <c r="B25" i="6"/>
  <c r="B26" i="6" s="1"/>
  <c r="E25" i="6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B27" i="6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A56" i="6"/>
  <c r="D56" i="6"/>
  <c r="B57" i="6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E57" i="6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B79" i="6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E79" i="6"/>
  <c r="E80" i="6" s="1"/>
  <c r="E81" i="6"/>
  <c r="E82" i="6"/>
  <c r="E83" i="6"/>
  <c r="E84" i="6" s="1"/>
  <c r="E85" i="6"/>
  <c r="E86" i="6" s="1"/>
  <c r="E87" i="6"/>
  <c r="E88" i="6" s="1"/>
  <c r="E89" i="6" s="1"/>
  <c r="E90" i="6" s="1"/>
  <c r="E91" i="6"/>
  <c r="E92" i="6" s="1"/>
  <c r="E93" i="6" s="1"/>
  <c r="E94" i="6" s="1"/>
  <c r="E95" i="6"/>
  <c r="E96" i="6" s="1"/>
  <c r="E97" i="6" s="1"/>
  <c r="E98" i="6" s="1"/>
  <c r="E99" i="6"/>
  <c r="E100" i="6" s="1"/>
  <c r="E101" i="6" s="1"/>
  <c r="E102" i="6" s="1"/>
  <c r="E103" i="6" s="1"/>
  <c r="E104" i="6" s="1"/>
  <c r="E105" i="6" s="1"/>
  <c r="E106" i="6" s="1"/>
  <c r="B112" i="6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E112" i="6"/>
  <c r="E113" i="6" s="1"/>
  <c r="E114" i="6"/>
  <c r="E115" i="6" s="1"/>
  <c r="E116" i="6"/>
  <c r="E117" i="6" s="1"/>
  <c r="E118" i="6"/>
  <c r="E119" i="6" s="1"/>
  <c r="E120" i="6" s="1"/>
  <c r="E121" i="6" s="1"/>
  <c r="E122" i="6"/>
  <c r="E123" i="6" s="1"/>
  <c r="E124" i="6" s="1"/>
  <c r="E125" i="6" s="1"/>
  <c r="E126" i="6"/>
  <c r="E127" i="6" s="1"/>
  <c r="E128" i="6"/>
  <c r="E129" i="6" s="1"/>
  <c r="E130" i="6"/>
  <c r="E131" i="6" s="1"/>
  <c r="E132" i="6"/>
  <c r="E133" i="6" s="1"/>
  <c r="E134" i="6" s="1"/>
  <c r="E135" i="6" s="1"/>
  <c r="E136" i="6"/>
  <c r="E137" i="6" s="1"/>
  <c r="E138" i="6" s="1"/>
  <c r="E139" i="6" s="1"/>
  <c r="B144" i="6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E144" i="6"/>
  <c r="E145" i="6" s="1"/>
  <c r="E146" i="6"/>
  <c r="E147" i="6" s="1"/>
  <c r="E148" i="6"/>
  <c r="E149" i="6" s="1"/>
  <c r="E150" i="6" s="1"/>
  <c r="E151" i="6" s="1"/>
  <c r="E152" i="6" s="1"/>
  <c r="E153" i="6" s="1"/>
  <c r="E154" i="6" s="1"/>
  <c r="E155" i="6" s="1"/>
  <c r="E156" i="6"/>
  <c r="E157" i="6" s="1"/>
  <c r="E158" i="6"/>
  <c r="E159" i="6" s="1"/>
  <c r="E160" i="6"/>
  <c r="E161" i="6" s="1"/>
  <c r="E162" i="6" s="1"/>
  <c r="E163" i="6" s="1"/>
  <c r="E164" i="6" s="1"/>
  <c r="E165" i="6" s="1"/>
  <c r="E166" i="6"/>
  <c r="E167" i="6" s="1"/>
  <c r="E168" i="6"/>
  <c r="E169" i="6" s="1"/>
  <c r="E170" i="6" s="1"/>
  <c r="E171" i="6" s="1"/>
  <c r="E172" i="6"/>
  <c r="E173" i="6" s="1"/>
  <c r="E174" i="6" s="1"/>
  <c r="E175" i="6" s="1"/>
  <c r="E176" i="6" s="1"/>
  <c r="E177" i="6" s="1"/>
  <c r="E178" i="6" s="1"/>
  <c r="E179" i="6" s="1"/>
  <c r="E180" i="6"/>
  <c r="E181" i="6" s="1"/>
  <c r="E182" i="6" s="1"/>
  <c r="E183" i="6" s="1"/>
  <c r="E184" i="6" s="1"/>
  <c r="E185" i="6" s="1"/>
  <c r="P24" i="2"/>
  <c r="P23" i="2"/>
  <c r="P19" i="2"/>
  <c r="P18" i="2"/>
  <c r="P14" i="2"/>
  <c r="P13" i="2"/>
  <c r="P9" i="2"/>
  <c r="P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<sst xmlns="http://schemas.openxmlformats.org/spreadsheetml/2006/main" count="725" uniqueCount="161">
  <si>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</si>
  <si>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</si>
  <si>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</si>
  <si>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</si>
  <si>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</si>
  <si>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</si>
  <si>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</si>
  <si>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</si>
  <si>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</si>
  <si>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</si>
  <si>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</si>
  <si>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</si>
  <si>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</si>
  <si>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</si>
  <si>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</si>
  <si>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</si>
  <si>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</si>
  <si>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</si>
  <si>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</si>
  <si>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</si>
  <si>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</si>
  <si>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</si>
  <si>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</si>
  <si>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</si>
  <si>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</si>
  <si>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</si>
  <si>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</si>
  <si>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</si>
  <si>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</si>
  <si>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</si>
  <si>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</si>
  <si>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</si>
  <si>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</si>
  <si>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</si>
  <si>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</si>
  <si>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</si>
  <si>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</si>
  <si>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</si>
  <si>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</si>
  <si>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</si>
  <si>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</si>
  <si>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</si>
  <si>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</si>
  <si>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</si>
  <si>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</si>
  <si>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</si>
  <si>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</si>
  <si>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</si>
  <si>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</si>
  <si>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</si>
  <si>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</si>
  <si>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</si>
  <si>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</si>
  <si>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</si>
  <si>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Sense Variance</t>
  </si>
  <si>
    <t>Hit?</t>
  </si>
  <si>
    <t>Result</t>
  </si>
  <si>
    <t>Value</t>
  </si>
  <si>
    <t>Stealth Value</t>
  </si>
  <si>
    <t>Damage Received</t>
  </si>
  <si>
    <t>Item</t>
  </si>
  <si>
    <t>Source</t>
  </si>
  <si>
    <t>Resistance formula</t>
  </si>
  <si>
    <t>https://leagueoflegends.fandom.com/wiki/Armor</t>
  </si>
  <si>
    <t>upped armor to 30</t>
  </si>
  <si>
    <t>upped resistance to 30</t>
  </si>
  <si>
    <t>Stat</t>
  </si>
  <si>
    <t>XP Cost</t>
  </si>
  <si>
    <t>Gary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</si>
  <si>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</si>
  <si>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</si>
  <si>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</si>
  <si>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</si>
  <si>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</si>
  <si>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</si>
  <si>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</si>
  <si>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</si>
  <si>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</si>
  <si>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</si>
  <si>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</si>
  <si>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</si>
  <si>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</si>
  <si>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</si>
  <si>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</si>
  <si>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</si>
  <si>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</si>
  <si>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</si>
  <si>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</si>
  <si>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</si>
  <si>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</si>
  <si>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</si>
  <si>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</si>
  <si>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</si>
  <si>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</si>
  <si>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</si>
  <si>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</si>
  <si>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</si>
  <si>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</si>
  <si>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</si>
  <si>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</si>
  <si>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</si>
  <si>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</si>
  <si>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</si>
  <si>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</si>
  <si>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</si>
  <si>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</si>
  <si>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</si>
  <si>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</si>
  <si>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</si>
  <si>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</si>
  <si>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</si>
  <si>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</si>
  <si>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</si>
  <si>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</si>
  <si>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</si>
  <si>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</si>
  <si>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</si>
  <si>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</si>
  <si>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</si>
  <si>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</si>
  <si>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</si>
  <si>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</si>
  <si>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</si>
  <si>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</si>
  <si>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</si>
  <si>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</si>
  <si>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</si>
  <si>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</si>
  <si>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</si>
  <si>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</si>
  <si>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</si>
  <si>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</si>
  <si>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</si>
  <si>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</si>
  <si>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</si>
  <si>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</si>
  <si>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</si>
  <si>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</si>
  <si>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</si>
  <si>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</si>
  <si>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</si>
  <si>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</si>
  <si>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Combatants</t>
  </si>
  <si>
    <t>Unconscious</t>
  </si>
  <si>
    <t>Health</t>
  </si>
  <si>
    <t>Status</t>
  </si>
  <si>
    <t>Last Turn Conscious</t>
  </si>
  <si>
    <t>Max Willpower</t>
  </si>
  <si>
    <t>ROUND</t>
  </si>
  <si>
    <t>UNCONSCIOUS</t>
  </si>
  <si>
    <t>WOUNDED</t>
  </si>
  <si>
    <t>UNCS</t>
  </si>
  <si>
    <t>WND</t>
  </si>
  <si>
    <t>WP</t>
  </si>
  <si>
    <t>Max WP</t>
  </si>
  <si>
    <t>Time</t>
  </si>
  <si>
    <t>Attacker WP</t>
  </si>
  <si>
    <t>Defender WP</t>
  </si>
  <si>
    <t>DEAD</t>
  </si>
  <si>
    <t>miss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</si>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</sst>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14" fontId="0" fillId="0" borderId="0" xfId="0" applyNumberFormat="1"/>
    <xf numFmtId="164" fontId="3" fillId="7" borderId="2" xfId="0" applyNumberFormat="1" applyFont="1" applyFill="1" applyBorder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/>
    <xf numFmtId="164" fontId="0" fillId="4" borderId="2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164" fontId="3" fillId="7" borderId="0" xfId="0" applyNumberFormat="1" applyFont="1" applyFill="1"/>
    <xf numFmtId="164" fontId="4" fillId="4" borderId="0" xfId="0" applyNumberFormat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B4" sqref="B4:T10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19" t="s">
        <v>35</v>
      </c>
      <c r="D2" s="19"/>
      <c r="E2" s="19"/>
      <c r="F2" s="19"/>
      <c r="G2" s="19" t="s">
        <v>8</v>
      </c>
      <c r="H2" s="19"/>
      <c r="I2" s="19"/>
      <c r="J2" s="19" t="s">
        <v>44</v>
      </c>
      <c r="K2" s="19"/>
      <c r="L2" s="19"/>
      <c r="M2" s="19"/>
      <c r="N2" s="19"/>
      <c r="O2" s="1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1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74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66</v>
      </c>
      <c r="B5" s="1" t="s">
        <v>71</v>
      </c>
      <c r="C5" s="1" t="s">
        <v>70</v>
      </c>
      <c r="D5" s="1" t="s">
        <v>57</v>
      </c>
      <c r="E5" s="1" t="s">
        <v>72</v>
      </c>
      <c r="F5" s="1" t="s">
        <v>73</v>
      </c>
    </row>
    <row r="6" spans="1:6" x14ac:dyDescent="0.25">
      <c r="A6" t="s">
        <v>2</v>
      </c>
      <c r="C6">
        <v>10</v>
      </c>
      <c r="D6" s="18">
        <f>$C6/LOOKUP($A6,'STAT COSTS'!$A:$A,'STAT COSTS'!$B:$B)</f>
        <v>1</v>
      </c>
      <c r="E6">
        <f>B3*15</f>
        <v>240</v>
      </c>
      <c r="F6" s="18">
        <f>D6+E6</f>
        <v>241</v>
      </c>
    </row>
    <row r="7" spans="1:6" x14ac:dyDescent="0.25">
      <c r="A7" t="s">
        <v>15</v>
      </c>
      <c r="C7">
        <v>10</v>
      </c>
      <c r="D7" s="18">
        <f>$C7/LOOKUP($A7,'STAT COSTS'!$A:$A,'STAT COSTS'!$B:$B)</f>
        <v>0.55555555555555558</v>
      </c>
      <c r="E7">
        <f>(MIN(B3,30)*3.5)</f>
        <v>56</v>
      </c>
      <c r="F7" s="1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18">
        <f>$C8/LOOKUP($A8,'STAT COSTS'!$A:$A,'STAT COSTS'!$B:$B)</f>
        <v>1</v>
      </c>
      <c r="F8" s="18">
        <f t="shared" si="0"/>
        <v>1</v>
      </c>
    </row>
    <row r="9" spans="1:6" x14ac:dyDescent="0.25">
      <c r="A9" t="s">
        <v>21</v>
      </c>
      <c r="C9">
        <v>50</v>
      </c>
      <c r="D9" s="18">
        <f>$C9/LOOKUP($A9,'STAT COSTS'!$A:$A,'STAT COSTS'!$B:$B)</f>
        <v>2.7777777777777777</v>
      </c>
      <c r="E9">
        <f>MIN(B3,30)*0.15</f>
        <v>2.4</v>
      </c>
      <c r="F9" s="18">
        <f t="shared" si="0"/>
        <v>5.1777777777777771</v>
      </c>
    </row>
    <row r="10" spans="1:6" x14ac:dyDescent="0.25">
      <c r="A10" t="s">
        <v>22</v>
      </c>
      <c r="C10">
        <v>20</v>
      </c>
      <c r="D10" s="18">
        <f>$C10/LOOKUP($A10,'STAT COSTS'!$A:$A,'STAT COSTS'!$B:$B)</f>
        <v>2.5</v>
      </c>
      <c r="F10" s="18">
        <f t="shared" si="0"/>
        <v>2.5</v>
      </c>
    </row>
    <row r="11" spans="1:6" x14ac:dyDescent="0.25">
      <c r="A11" t="s">
        <v>9</v>
      </c>
      <c r="C11">
        <v>10</v>
      </c>
      <c r="D11" s="18">
        <f>$C11/LOOKUP($A11,'STAT COSTS'!$A:$A,'STAT COSTS'!$B:$B)</f>
        <v>0.4</v>
      </c>
      <c r="F11" s="18">
        <f t="shared" si="0"/>
        <v>0.4</v>
      </c>
    </row>
    <row r="12" spans="1:6" x14ac:dyDescent="0.25">
      <c r="A12" t="s">
        <v>10</v>
      </c>
      <c r="C12">
        <v>10</v>
      </c>
      <c r="D12" s="18">
        <f>$C12/LOOKUP($A12,'STAT COSTS'!$A:$A,'STAT COSTS'!$B:$B)</f>
        <v>2</v>
      </c>
      <c r="F12" s="18">
        <f t="shared" si="0"/>
        <v>2</v>
      </c>
    </row>
    <row r="13" spans="1:6" x14ac:dyDescent="0.25">
      <c r="A13" t="s">
        <v>13</v>
      </c>
      <c r="C13">
        <v>10</v>
      </c>
      <c r="D13" s="18">
        <f>$C13/LOOKUP($A13,'STAT COSTS'!$A:$A,'STAT COSTS'!$B:$B)</f>
        <v>0.83333333333333337</v>
      </c>
      <c r="E13">
        <f>F6*0.1</f>
        <v>24.1</v>
      </c>
      <c r="F13" s="18">
        <f t="shared" si="0"/>
        <v>24.933333333333334</v>
      </c>
    </row>
    <row r="14" spans="1:6" x14ac:dyDescent="0.25">
      <c r="A14" t="s">
        <v>14</v>
      </c>
      <c r="C14">
        <v>10</v>
      </c>
      <c r="D14" s="18">
        <f>$C14/LOOKUP($A14,'STAT COSTS'!$A:$A,'STAT COSTS'!$B:$B)</f>
        <v>2.5</v>
      </c>
      <c r="F14" s="18">
        <f t="shared" si="0"/>
        <v>2.5</v>
      </c>
    </row>
    <row r="15" spans="1:6" x14ac:dyDescent="0.25">
      <c r="A15" t="s">
        <v>11</v>
      </c>
      <c r="C15">
        <v>10</v>
      </c>
      <c r="D15" s="18">
        <f>$C15/LOOKUP($A15,'STAT COSTS'!$A:$A,'STAT COSTS'!$B:$B)</f>
        <v>0.90909090909090906</v>
      </c>
      <c r="E15">
        <f>F6*0.05</f>
        <v>12.05</v>
      </c>
      <c r="F15" s="18">
        <f t="shared" si="0"/>
        <v>12.959090909090909</v>
      </c>
    </row>
    <row r="16" spans="1:6" x14ac:dyDescent="0.25">
      <c r="A16" t="s">
        <v>12</v>
      </c>
      <c r="C16">
        <v>10</v>
      </c>
      <c r="D16" s="18">
        <f>$C16/LOOKUP($A16,'STAT COSTS'!$A:$A,'STAT COSTS'!$B:$B)</f>
        <v>2.5</v>
      </c>
      <c r="F16" s="18">
        <f t="shared" si="0"/>
        <v>2.5</v>
      </c>
    </row>
    <row r="17" spans="1:6" x14ac:dyDescent="0.25">
      <c r="A17" t="s">
        <v>19</v>
      </c>
      <c r="C17">
        <v>10</v>
      </c>
      <c r="D17" s="18">
        <f>$C17/LOOKUP($A17,'STAT COSTS'!$A:$A,'STAT COSTS'!$B:$B)</f>
        <v>1</v>
      </c>
      <c r="E17">
        <f>F6*0.5</f>
        <v>120.5</v>
      </c>
      <c r="F17" s="18">
        <f t="shared" si="0"/>
        <v>121.5</v>
      </c>
    </row>
    <row r="18" spans="1:6" x14ac:dyDescent="0.25">
      <c r="A18" t="s">
        <v>20</v>
      </c>
      <c r="C18">
        <v>10</v>
      </c>
      <c r="D18" s="18">
        <f>$C18/LOOKUP($A18,'STAT COSTS'!$A:$A,'STAT COSTS'!$B:$B)</f>
        <v>5</v>
      </c>
      <c r="F18" s="18">
        <f t="shared" si="0"/>
        <v>5</v>
      </c>
    </row>
    <row r="19" spans="1:6" x14ac:dyDescent="0.25">
      <c r="A19" t="s">
        <v>17</v>
      </c>
      <c r="C19">
        <v>10</v>
      </c>
      <c r="D19" s="18">
        <f>$C19/LOOKUP($A19,'STAT COSTS'!$A:$A,'STAT COSTS'!$B:$B)</f>
        <v>0.66666666666666663</v>
      </c>
      <c r="E19">
        <f>B3*1.75</f>
        <v>28</v>
      </c>
      <c r="F19" s="18">
        <f t="shared" si="0"/>
        <v>28.666666666666668</v>
      </c>
    </row>
    <row r="20" spans="1:6" x14ac:dyDescent="0.25">
      <c r="A20" t="s">
        <v>18</v>
      </c>
      <c r="C20">
        <v>10</v>
      </c>
      <c r="D20" s="18">
        <f>$C20/LOOKUP($A20,'STAT COSTS'!$A:$A,'STAT COSTS'!$B:$B)</f>
        <v>0.2</v>
      </c>
      <c r="E20">
        <f>1</f>
        <v>1</v>
      </c>
      <c r="F20" s="1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18">
        <f>$C21/LOOKUP($A21,'STAT COSTS'!$A:$A,'STAT COSTS'!$B:$B)</f>
        <v>9.0909090909090917</v>
      </c>
      <c r="F21" s="1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18">
        <f>$C22/LOOKUP($A22,'STAT COSTS'!$A:$A,'STAT COSTS'!$B:$B)</f>
        <v>33.333333333333336</v>
      </c>
      <c r="F22" s="1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18">
        <f>$C23/LOOKUP($A23,'STAT COSTS'!$A:$A,'STAT COSTS'!$B:$B)</f>
        <v>2</v>
      </c>
      <c r="F23" s="18">
        <f t="shared" si="0"/>
        <v>2</v>
      </c>
    </row>
    <row r="24" spans="1:6" x14ac:dyDescent="0.25">
      <c r="A24" t="s">
        <v>128</v>
      </c>
      <c r="B24" t="s">
        <v>49</v>
      </c>
      <c r="C24">
        <v>200</v>
      </c>
      <c r="D24" s="18">
        <f>$C24/LOOKUP($A24,'STAT COSTS'!$A:$A,'STAT COSTS'!$B:$B)</f>
        <v>1</v>
      </c>
      <c r="E24">
        <v>1</v>
      </c>
      <c r="F24" s="18">
        <f t="shared" si="0"/>
        <v>2</v>
      </c>
    </row>
    <row r="25" spans="1:6" x14ac:dyDescent="0.25">
      <c r="A25" t="s">
        <v>5</v>
      </c>
      <c r="B25" t="s">
        <v>75</v>
      </c>
      <c r="C25">
        <v>20</v>
      </c>
      <c r="D25" s="18">
        <f>$C25/LOOKUP($A25,'STAT COSTS'!$A:$A,'STAT COSTS'!$B:$B)</f>
        <v>0.90909090909090906</v>
      </c>
      <c r="F25" s="18">
        <f t="shared" si="0"/>
        <v>0.90909090909090906</v>
      </c>
    </row>
    <row r="26" spans="1:6" x14ac:dyDescent="0.25">
      <c r="A26" t="s">
        <v>6</v>
      </c>
      <c r="B26" t="s">
        <v>75</v>
      </c>
      <c r="C26">
        <v>20</v>
      </c>
      <c r="D26" s="18">
        <f>$C26/LOOKUP($A26,'STAT COSTS'!$A:$A,'STAT COSTS'!$B:$B)</f>
        <v>2.2222222222222223</v>
      </c>
      <c r="F26" s="18">
        <f t="shared" si="0"/>
        <v>2.2222222222222223</v>
      </c>
    </row>
    <row r="27" spans="1:6" x14ac:dyDescent="0.25">
      <c r="A27" t="s">
        <v>5</v>
      </c>
      <c r="B27" t="s">
        <v>76</v>
      </c>
      <c r="D27" s="18">
        <f>$C27/LOOKUP($A27,'STAT COSTS'!$A:$A,'STAT COSTS'!$B:$B)</f>
        <v>0</v>
      </c>
      <c r="F27" s="18">
        <f t="shared" si="0"/>
        <v>0</v>
      </c>
    </row>
    <row r="28" spans="1:6" x14ac:dyDescent="0.25">
      <c r="A28" t="s">
        <v>6</v>
      </c>
      <c r="B28" t="s">
        <v>76</v>
      </c>
      <c r="D28" s="18">
        <f>$C28/LOOKUP($A28,'STAT COSTS'!$A:$A,'STAT COSTS'!$B:$B)</f>
        <v>0</v>
      </c>
      <c r="E28">
        <v>10</v>
      </c>
      <c r="F28" s="18">
        <f t="shared" si="0"/>
        <v>10</v>
      </c>
    </row>
    <row r="29" spans="1:6" x14ac:dyDescent="0.25">
      <c r="A29" t="s">
        <v>7</v>
      </c>
      <c r="B29" t="s">
        <v>76</v>
      </c>
      <c r="D29" s="18">
        <f>$C29/LOOKUP($A29,'STAT COSTS'!$A:$A,'STAT COSTS'!$B:$B)</f>
        <v>0</v>
      </c>
      <c r="F29" s="18">
        <f t="shared" si="0"/>
        <v>0</v>
      </c>
    </row>
    <row r="30" spans="1:6" x14ac:dyDescent="0.25">
      <c r="A30" t="s">
        <v>128</v>
      </c>
      <c r="B30" t="s">
        <v>76</v>
      </c>
      <c r="D30" s="18">
        <f>$C30/LOOKUP($A30,'STAT COSTS'!$A:$A,'STAT COSTS'!$B:$B)</f>
        <v>0</v>
      </c>
      <c r="E30">
        <v>1</v>
      </c>
      <c r="F30" s="18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3:P42"/>
  <sheetViews>
    <sheetView workbookViewId="0">
      <selection activeCell="A3" sqref="A3:P37"/>
    </sheetView>
  </sheetViews>
  <sheetFormatPr defaultRowHeight="15" x14ac:dyDescent="0.25"/>
  <cols>
    <col min="1" max="1" width="10.5703125" customWidth="1"/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12.85546875" customWidth="1"/>
    <col min="12" max="13" width="10.42578125" bestFit="1" customWidth="1"/>
    <col min="15" max="15" width="11.85546875" bestFit="1" customWidth="1"/>
    <col min="16" max="16" width="12.5703125" customWidth="1"/>
  </cols>
  <sheetData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K3" s="1" t="s">
        <v>155</v>
      </c>
      <c r="L3" s="1" t="s">
        <v>136</v>
      </c>
      <c r="M3" s="1" t="s">
        <v>137</v>
      </c>
      <c r="N3" s="1" t="s">
        <v>50</v>
      </c>
      <c r="O3" s="1" t="s">
        <v>156</v>
      </c>
      <c r="P3" s="1" t="s">
        <v>157</v>
      </c>
    </row>
    <row r="4" spans="1:16" x14ac:dyDescent="0.25">
      <c r="A4" s="2"/>
      <c r="B4" s="2"/>
      <c r="C4" s="13" t="s">
        <v>133</v>
      </c>
      <c r="D4" s="13" t="s">
        <v>72</v>
      </c>
      <c r="E4" s="13" t="s">
        <v>134</v>
      </c>
      <c r="F4" s="13" t="s">
        <v>135</v>
      </c>
      <c r="G4" s="13" t="s">
        <v>57</v>
      </c>
      <c r="H4" s="2"/>
      <c r="I4" s="2"/>
      <c r="K4">
        <v>1</v>
      </c>
      <c r="L4" t="s">
        <v>45</v>
      </c>
      <c r="M4" t="s">
        <v>51</v>
      </c>
      <c r="N4" s="18">
        <v>53.2</v>
      </c>
      <c r="O4" s="18"/>
      <c r="P4" s="18"/>
    </row>
    <row r="5" spans="1:16" x14ac:dyDescent="0.25">
      <c r="A5" s="31" t="str">
        <f>LOOKUP(MAX(K:K),K:K,L:L)</f>
        <v>Wryonin</v>
      </c>
      <c r="B5" s="24" t="s">
        <v>8</v>
      </c>
      <c r="C5" s="11" cm="1">
        <f t="array" aca="1" ref="C5" ca="1">INDIRECT("'"&amp;A5&amp;"'!B6")</f>
        <v>6.8181818181818183</v>
      </c>
      <c r="D5" s="11"/>
      <c r="E5" s="12" cm="1">
        <f t="array" aca="1" ref="E5" ca="1">RAND()*INDIRECT("'"&amp;A5&amp;"'!C6")</f>
        <v>10.520344389132237</v>
      </c>
      <c r="F5" s="11">
        <v>1</v>
      </c>
      <c r="G5" s="25">
        <f ca="1">SUM(C5:E5)*F5</f>
        <v>17.338526207314054</v>
      </c>
      <c r="H5" s="3"/>
      <c r="I5" s="2"/>
      <c r="K5">
        <v>2</v>
      </c>
      <c r="N5" s="18"/>
      <c r="O5" s="18"/>
      <c r="P5" s="18"/>
    </row>
    <row r="6" spans="1:16" hidden="1" x14ac:dyDescent="0.25">
      <c r="A6" s="2"/>
      <c r="B6" s="24" t="s">
        <v>53</v>
      </c>
      <c r="C6" s="11" t="e" cm="1">
        <f t="array" aca="1" ref="C6" ca="1">INDIRECT("'"&amp;A6&amp;"'!B6")</f>
        <v>#REF!</v>
      </c>
      <c r="D6" s="11"/>
      <c r="E6" s="12" t="e" cm="1">
        <f t="array" aca="1" ref="E6" ca="1">RAND()*INDIRECT("'"&amp;A6&amp;"'!C6")</f>
        <v>#REF!</v>
      </c>
      <c r="F6" s="11">
        <v>1</v>
      </c>
      <c r="G6" s="25" t="e">
        <f t="shared" ref="G6:G12" ca="1" si="0">SUM(C6:E6)*F6</f>
        <v>#REF!</v>
      </c>
      <c r="H6" s="3"/>
      <c r="I6" s="2"/>
      <c r="N6" s="18"/>
      <c r="O6" s="18"/>
      <c r="P6" s="18"/>
    </row>
    <row r="7" spans="1:16" x14ac:dyDescent="0.25">
      <c r="A7" s="31" t="str">
        <f>LOOKUP(MAX(K:K),K:K,M:M)</f>
        <v>Cat Soldier</v>
      </c>
      <c r="B7" s="24" t="s">
        <v>9</v>
      </c>
      <c r="C7" s="11" cm="1">
        <f t="array" aca="1" ref="C7" ca="1">INDIRECT("'"&amp;A7&amp;"'!F14")</f>
        <v>0.4</v>
      </c>
      <c r="D7" s="11"/>
      <c r="E7" s="12" cm="1">
        <f t="array" aca="1" ref="E7" ca="1">RAND()*INDIRECT("'"&amp;A7&amp;"'!F15")</f>
        <v>4.0072047037729774</v>
      </c>
      <c r="F7" s="11">
        <v>1</v>
      </c>
      <c r="G7" s="25">
        <f t="shared" ca="1" si="0"/>
        <v>4.4072047037729778</v>
      </c>
      <c r="H7" s="3"/>
      <c r="I7" s="2"/>
      <c r="K7">
        <v>3</v>
      </c>
      <c r="L7" t="s">
        <v>45</v>
      </c>
      <c r="M7" t="s">
        <v>51</v>
      </c>
      <c r="N7" s="18">
        <v>31.6</v>
      </c>
      <c r="O7" s="18"/>
      <c r="P7" s="18"/>
    </row>
    <row r="8" spans="1:16" x14ac:dyDescent="0.25">
      <c r="A8" s="2" t="str">
        <f>A5</f>
        <v>Wryonin</v>
      </c>
      <c r="B8" s="24" t="s">
        <v>50</v>
      </c>
      <c r="C8" s="11" cm="1">
        <f t="array" aca="1" ref="C8" ca="1">INDIRECT("'"&amp;A8&amp;"'!D6")</f>
        <v>40</v>
      </c>
      <c r="D8" s="11"/>
      <c r="E8" s="12" cm="1">
        <f t="array" aca="1" ref="E8" ca="1">RAND()*INDIRECT("'"&amp;A8&amp;"'!E6")</f>
        <v>10.288536643597396</v>
      </c>
      <c r="F8" s="11" cm="1">
        <f t="array" aca="1" ref="F8" ca="1">IF(G5&gt;G7*2,INDIRECT("'"&amp;A8&amp;"'!F6"),1)</f>
        <v>2</v>
      </c>
      <c r="G8" s="25">
        <f ca="1">IF(G5&gt;G7,SUM(C8:E8)*F8,0)</f>
        <v>100.57707328719479</v>
      </c>
      <c r="H8" s="3"/>
      <c r="I8" s="2"/>
      <c r="K8">
        <v>4</v>
      </c>
      <c r="N8" s="18"/>
      <c r="O8" s="18"/>
      <c r="P8" s="18"/>
    </row>
    <row r="9" spans="1:16" x14ac:dyDescent="0.25">
      <c r="A9" s="2" t="str">
        <f>A7</f>
        <v>Cat Soldier</v>
      </c>
      <c r="B9" s="24" t="s">
        <v>139</v>
      </c>
      <c r="C9" s="11"/>
      <c r="D9" s="11"/>
      <c r="E9" s="11"/>
      <c r="F9" s="11" cm="1">
        <f t="array" aca="1" ref="F9" ca="1">100/(100+INDIRECT("'"&amp;A9&amp;"'!G6"))</f>
        <v>0.76923076923076927</v>
      </c>
      <c r="G9" s="26">
        <f ca="1">IF(G5&gt;G7,G8*(F9),0)</f>
        <v>77.366979451688309</v>
      </c>
      <c r="H9" s="3" t="str">
        <f ca="1">IF(G5&gt;G7*2, "CRIT!",IF(G5&gt;G7,"HIT","miss"))</f>
        <v>CRIT!</v>
      </c>
      <c r="I9" s="2"/>
      <c r="K9">
        <v>5</v>
      </c>
      <c r="L9" t="s">
        <v>45</v>
      </c>
      <c r="M9" t="s">
        <v>51</v>
      </c>
      <c r="N9" s="18">
        <v>106.2</v>
      </c>
      <c r="O9" s="18"/>
      <c r="P9" s="18"/>
    </row>
    <row r="10" spans="1:16" x14ac:dyDescent="0.25">
      <c r="A10" s="2" t="str">
        <f>A7</f>
        <v>Cat Soldier</v>
      </c>
      <c r="B10" s="24" t="s">
        <v>13</v>
      </c>
      <c r="C10" s="11" cm="1">
        <f t="array" aca="1" ref="C10" ca="1">INDIRECT("'"&amp;A10&amp;"'!F16")</f>
        <v>10.916666666666666</v>
      </c>
      <c r="D10" s="11"/>
      <c r="E10" s="12" cm="1">
        <f t="array" aca="1" ref="E10" ca="1">RAND()*INDIRECT("'"&amp;A10&amp;"'!F17")</f>
        <v>0.56408995740082502</v>
      </c>
      <c r="F10" s="11">
        <v>1</v>
      </c>
      <c r="G10" s="25">
        <f t="shared" ca="1" si="0"/>
        <v>11.480756624067491</v>
      </c>
      <c r="H10" s="3" t="str">
        <f ca="1">IF(G9&gt;G10,"WOUNDED","")</f>
        <v>WOUNDED</v>
      </c>
      <c r="I10" s="2"/>
      <c r="K10">
        <v>6</v>
      </c>
      <c r="N10" s="18"/>
      <c r="O10" s="18"/>
      <c r="P10" s="18"/>
    </row>
    <row r="11" spans="1:16" x14ac:dyDescent="0.25">
      <c r="A11" s="2" t="str">
        <f>A7</f>
        <v>Cat Soldier</v>
      </c>
      <c r="B11" s="24" t="s">
        <v>11</v>
      </c>
      <c r="C11" s="11" cm="1">
        <f t="array" aca="1" ref="C11" ca="1">INDIRECT("'"&amp;A11&amp;"'!F18")</f>
        <v>5.7045454545454541</v>
      </c>
      <c r="D11" s="11"/>
      <c r="E11" s="12" cm="1">
        <f t="array" aca="1" ref="E11" ca="1">RAND()*INDIRECT("'"&amp;A11&amp;"'!F19")</f>
        <v>0.77411845961364945</v>
      </c>
      <c r="F11" s="11">
        <v>1</v>
      </c>
      <c r="G11" s="25">
        <f t="shared" ca="1" si="0"/>
        <v>6.4786639141591031</v>
      </c>
      <c r="H11" s="3" t="str">
        <f ca="1">IF(G9&gt;G11,"WINCED","")</f>
        <v>WINCED</v>
      </c>
      <c r="I11" s="2"/>
      <c r="K11">
        <v>7</v>
      </c>
      <c r="L11" t="s">
        <v>45</v>
      </c>
      <c r="M11" t="s">
        <v>51</v>
      </c>
      <c r="N11" s="18">
        <v>42.5</v>
      </c>
      <c r="O11" s="18"/>
      <c r="P11" s="18"/>
    </row>
    <row r="12" spans="1:16" x14ac:dyDescent="0.25">
      <c r="A12" s="2" t="str">
        <f>A7</f>
        <v>Cat Soldier</v>
      </c>
      <c r="B12" s="24" t="s">
        <v>19</v>
      </c>
      <c r="C12" s="11" cm="1">
        <f t="array" aca="1" ref="C12" ca="1">INDIRECT("'"&amp;A12&amp;"'!F20")</f>
        <v>53</v>
      </c>
      <c r="D12" s="11"/>
      <c r="E12" s="12" cm="1">
        <f t="array" aca="1" ref="E12" ca="1">RAND()*INDIRECT("'"&amp;A12&amp;"'!F21")</f>
        <v>2.4416522325861338</v>
      </c>
      <c r="F12" s="11">
        <v>1</v>
      </c>
      <c r="G12" s="25">
        <f t="shared" ca="1" si="0"/>
        <v>55.441652232586137</v>
      </c>
      <c r="H12" s="3" t="str">
        <f ca="1">IF(_TEST_Runs!C262-_TEST_Runs!C263&gt;G12,"UNCONSCIOUS","")</f>
        <v/>
      </c>
      <c r="I12" s="2"/>
      <c r="K12">
        <v>8</v>
      </c>
      <c r="N12" s="18"/>
      <c r="O12" s="18"/>
      <c r="P12" s="18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K13">
        <v>9</v>
      </c>
      <c r="L13" t="s">
        <v>45</v>
      </c>
      <c r="M13" t="s">
        <v>51</v>
      </c>
      <c r="N13" s="18">
        <v>0</v>
      </c>
      <c r="O13" s="18"/>
      <c r="P13" s="18"/>
    </row>
    <row r="14" spans="1:16" x14ac:dyDescent="0.25">
      <c r="K14">
        <v>9.1</v>
      </c>
      <c r="L14" t="s">
        <v>51</v>
      </c>
      <c r="M14" t="s">
        <v>45</v>
      </c>
      <c r="N14" s="18">
        <v>12</v>
      </c>
      <c r="O14" s="18">
        <f>(7.9-4.4)/1.2</f>
        <v>2.916666666666667</v>
      </c>
      <c r="P14" s="18"/>
    </row>
    <row r="15" spans="1:16" x14ac:dyDescent="0.25">
      <c r="K15">
        <v>10</v>
      </c>
      <c r="L15" t="s">
        <v>51</v>
      </c>
      <c r="M15" t="s">
        <v>45</v>
      </c>
      <c r="N15" s="18">
        <v>12.9</v>
      </c>
      <c r="O15" s="18"/>
      <c r="P15" s="18"/>
    </row>
    <row r="16" spans="1:16" x14ac:dyDescent="0.25">
      <c r="K16">
        <v>10.1</v>
      </c>
      <c r="L16" t="s">
        <v>51</v>
      </c>
      <c r="M16" t="s">
        <v>45</v>
      </c>
      <c r="N16" s="18">
        <v>14.7</v>
      </c>
      <c r="O16" s="18"/>
      <c r="P16" s="18"/>
    </row>
    <row r="17" spans="1:16" x14ac:dyDescent="0.25">
      <c r="A17" s="1" t="s">
        <v>47</v>
      </c>
      <c r="B17" s="1" t="s">
        <v>1</v>
      </c>
      <c r="C17" s="1" t="s">
        <v>46</v>
      </c>
      <c r="D17" s="1" t="s">
        <v>140</v>
      </c>
      <c r="E17" s="1" t="s">
        <v>141</v>
      </c>
      <c r="F17" s="1" t="s">
        <v>153</v>
      </c>
      <c r="G17" s="1" t="s">
        <v>154</v>
      </c>
      <c r="H17" s="1" t="s">
        <v>145</v>
      </c>
      <c r="K17">
        <v>11</v>
      </c>
      <c r="L17" t="s">
        <v>45</v>
      </c>
      <c r="M17" t="s">
        <v>51</v>
      </c>
      <c r="N17" s="18">
        <v>65.900000000000006</v>
      </c>
      <c r="O17" s="18"/>
      <c r="P17" s="18"/>
    </row>
    <row r="18" spans="1:16" x14ac:dyDescent="0.25">
      <c r="A18" t="s">
        <v>45</v>
      </c>
      <c r="B18" s="18" t="str" cm="1">
        <f t="array" aca="1" ref="B18" ca="1">INDIRECT("'"&amp;$A18&amp;"'!D3")</f>
        <v>Wolf</v>
      </c>
      <c r="C18" s="18" cm="1">
        <f t="array" aca="1" ref="C18" ca="1">INDIRECT("'"&amp;$A18&amp;"'!B3")</f>
        <v>16</v>
      </c>
      <c r="D18" s="18">
        <f ca="1">E18-SUMIF(M:M,A18,N:N)</f>
        <v>127</v>
      </c>
      <c r="E18" s="18" cm="1">
        <f t="array" aca="1" ref="E18" ca="1">INDIRECT("'"&amp;$A18&amp;"'!F9")</f>
        <v>241.5</v>
      </c>
      <c r="F18" s="18">
        <f ca="1">G18-SUMIF(L:L,A18,O:O)-SUMIF(M:M,A18,P:P)</f>
        <v>25.066666666666666</v>
      </c>
      <c r="G18" s="18" cm="1">
        <f t="array" aca="1" ref="G18" ca="1">INDIRECT("'"&amp;$A18&amp;"'!F22")</f>
        <v>28.666666666666668</v>
      </c>
      <c r="H18" s="18"/>
      <c r="K18">
        <v>11.1</v>
      </c>
      <c r="L18" t="s">
        <v>51</v>
      </c>
      <c r="M18" t="s">
        <v>45</v>
      </c>
      <c r="N18" s="18">
        <v>0</v>
      </c>
      <c r="O18" s="18"/>
      <c r="P18" s="18"/>
    </row>
    <row r="19" spans="1:16" x14ac:dyDescent="0.25">
      <c r="A19" t="s">
        <v>51</v>
      </c>
      <c r="B19" s="18" t="str" cm="1">
        <f t="array" aca="1" ref="B19" ca="1">INDIRECT("'"&amp;$A19&amp;"'!D3")</f>
        <v>Cat</v>
      </c>
      <c r="C19" s="18" cm="1">
        <f t="array" aca="1" ref="C19" ca="1">INDIRECT("'"&amp;$A19&amp;"'!B3")</f>
        <v>21</v>
      </c>
      <c r="D19" s="18">
        <f t="shared" ref="D19:D27" ca="1" si="1">E19-SUMIF(M:M,A19,N:N)</f>
        <v>-454.9</v>
      </c>
      <c r="E19" s="18" cm="1">
        <f t="array" aca="1" ref="E19" ca="1">INDIRECT("'"&amp;$A19&amp;"'!F9")</f>
        <v>105</v>
      </c>
      <c r="F19" s="18">
        <f t="shared" ref="F19:F27" ca="1" si="2">G19-SUMIF(L:L,A19,O:O)-SUMIF(M:M,A19,P:P)</f>
        <v>40.5</v>
      </c>
      <c r="G19" s="18" cm="1">
        <f t="array" aca="1" ref="G19" ca="1">INDIRECT("'"&amp;$A19&amp;"'!F22")</f>
        <v>43.416666666666664</v>
      </c>
      <c r="H19" s="18" t="s">
        <v>150</v>
      </c>
      <c r="K19">
        <v>11.2</v>
      </c>
      <c r="L19" t="s">
        <v>51</v>
      </c>
      <c r="M19" t="s">
        <v>45</v>
      </c>
      <c r="N19" s="18">
        <v>9.1999999999999993</v>
      </c>
      <c r="O19" s="18"/>
      <c r="P19" s="18"/>
    </row>
    <row r="20" spans="1:16" x14ac:dyDescent="0.25">
      <c r="A20" t="s">
        <v>51</v>
      </c>
      <c r="B20" s="18" t="str" cm="1">
        <f t="array" aca="1" ref="B20" ca="1">INDIRECT("'"&amp;$A20&amp;"'!D3")</f>
        <v>Cat</v>
      </c>
      <c r="C20" s="18" cm="1">
        <f t="array" aca="1" ref="C20" ca="1">INDIRECT("'"&amp;$A20&amp;"'!B3")</f>
        <v>21</v>
      </c>
      <c r="D20" s="18">
        <f t="shared" ca="1" si="1"/>
        <v>-454.9</v>
      </c>
      <c r="E20" s="18" cm="1">
        <f t="array" aca="1" ref="E20" ca="1">INDIRECT("'"&amp;$A20&amp;"'!F9")</f>
        <v>105</v>
      </c>
      <c r="F20" s="18">
        <f t="shared" ca="1" si="2"/>
        <v>40.5</v>
      </c>
      <c r="G20" s="18" cm="1">
        <f t="array" aca="1" ref="G20" ca="1">INDIRECT("'"&amp;$A20&amp;"'!F22")</f>
        <v>43.416666666666664</v>
      </c>
      <c r="H20" s="18" t="s">
        <v>150</v>
      </c>
      <c r="K20">
        <v>12</v>
      </c>
      <c r="L20" t="s">
        <v>51</v>
      </c>
      <c r="M20" t="s">
        <v>45</v>
      </c>
      <c r="N20" s="18">
        <v>0</v>
      </c>
      <c r="O20" s="18"/>
      <c r="P20" s="18"/>
    </row>
    <row r="21" spans="1:16" x14ac:dyDescent="0.25">
      <c r="A21" t="s">
        <v>51</v>
      </c>
      <c r="B21" s="18" t="str" cm="1">
        <f t="array" aca="1" ref="B21" ca="1">INDIRECT("'"&amp;$A21&amp;"'!D3")</f>
        <v>Cat</v>
      </c>
      <c r="C21" s="18" cm="1">
        <f t="array" aca="1" ref="C21" ca="1">INDIRECT("'"&amp;$A21&amp;"'!B3")</f>
        <v>21</v>
      </c>
      <c r="D21" s="18">
        <f t="shared" ca="1" si="1"/>
        <v>-454.9</v>
      </c>
      <c r="E21" s="18" cm="1">
        <f t="array" aca="1" ref="E21" ca="1">INDIRECT("'"&amp;$A21&amp;"'!F9")</f>
        <v>105</v>
      </c>
      <c r="F21" s="18">
        <f t="shared" ca="1" si="2"/>
        <v>40.5</v>
      </c>
      <c r="G21" s="18" cm="1">
        <f t="array" aca="1" ref="G21" ca="1">INDIRECT("'"&amp;$A21&amp;"'!F22")</f>
        <v>43.416666666666664</v>
      </c>
      <c r="H21" s="18" t="s">
        <v>158</v>
      </c>
      <c r="K21">
        <v>12.1</v>
      </c>
      <c r="L21" t="s">
        <v>51</v>
      </c>
      <c r="M21" t="s">
        <v>45</v>
      </c>
      <c r="N21" s="18">
        <v>14.1</v>
      </c>
      <c r="O21" s="18"/>
      <c r="P21" s="18"/>
    </row>
    <row r="22" spans="1:16" x14ac:dyDescent="0.25">
      <c r="A22" t="s">
        <v>51</v>
      </c>
      <c r="B22" s="18" t="str" cm="1">
        <f t="array" aca="1" ref="B22" ca="1">INDIRECT("'"&amp;$A22&amp;"'!D3")</f>
        <v>Cat</v>
      </c>
      <c r="C22" s="18" cm="1">
        <f t="array" aca="1" ref="C22" ca="1">INDIRECT("'"&amp;$A22&amp;"'!B3")</f>
        <v>21</v>
      </c>
      <c r="D22" s="18">
        <f t="shared" ca="1" si="1"/>
        <v>-454.9</v>
      </c>
      <c r="E22" s="18" cm="1">
        <f t="array" aca="1" ref="E22" ca="1">INDIRECT("'"&amp;$A22&amp;"'!F9")</f>
        <v>105</v>
      </c>
      <c r="F22" s="18">
        <f t="shared" ca="1" si="2"/>
        <v>40.5</v>
      </c>
      <c r="G22" s="18" cm="1">
        <f t="array" aca="1" ref="G22" ca="1">INDIRECT("'"&amp;$A22&amp;"'!F22")</f>
        <v>43.416666666666664</v>
      </c>
      <c r="H22" s="18" t="s">
        <v>150</v>
      </c>
      <c r="K22">
        <v>12.2</v>
      </c>
      <c r="L22" t="s">
        <v>51</v>
      </c>
      <c r="M22" t="s">
        <v>45</v>
      </c>
      <c r="N22" s="18">
        <v>9.1</v>
      </c>
      <c r="O22" s="18"/>
      <c r="P22" s="18"/>
    </row>
    <row r="23" spans="1:16" x14ac:dyDescent="0.25">
      <c r="A23" t="s">
        <v>51</v>
      </c>
      <c r="B23" s="18" t="str" cm="1">
        <f t="array" aca="1" ref="B23" ca="1">INDIRECT("'"&amp;$A23&amp;"'!D3")</f>
        <v>Cat</v>
      </c>
      <c r="C23" s="18" cm="1">
        <f t="array" aca="1" ref="C23" ca="1">INDIRECT("'"&amp;$A23&amp;"'!B3")</f>
        <v>21</v>
      </c>
      <c r="D23" s="18">
        <f t="shared" ca="1" si="1"/>
        <v>-454.9</v>
      </c>
      <c r="E23" s="18" cm="1">
        <f t="array" aca="1" ref="E23" ca="1">INDIRECT("'"&amp;$A23&amp;"'!F9")</f>
        <v>105</v>
      </c>
      <c r="F23" s="18">
        <f t="shared" ca="1" si="2"/>
        <v>40.5</v>
      </c>
      <c r="G23" s="18" cm="1">
        <f t="array" aca="1" ref="G23" ca="1">INDIRECT("'"&amp;$A23&amp;"'!F22")</f>
        <v>43.416666666666664</v>
      </c>
      <c r="H23" s="18" t="s">
        <v>150</v>
      </c>
      <c r="K23">
        <v>13</v>
      </c>
      <c r="L23" t="s">
        <v>45</v>
      </c>
      <c r="M23" t="s">
        <v>51</v>
      </c>
      <c r="N23" s="18">
        <v>67.900000000000006</v>
      </c>
      <c r="O23" s="18"/>
      <c r="P23" s="18"/>
    </row>
    <row r="24" spans="1:16" x14ac:dyDescent="0.25">
      <c r="A24" t="s">
        <v>51</v>
      </c>
      <c r="B24" s="18" t="str" cm="1">
        <f t="array" aca="1" ref="B24" ca="1">INDIRECT("'"&amp;$A24&amp;"'!D3")</f>
        <v>Cat</v>
      </c>
      <c r="C24" s="18" cm="1">
        <f t="array" aca="1" ref="C24" ca="1">INDIRECT("'"&amp;$A24&amp;"'!B3")</f>
        <v>21</v>
      </c>
      <c r="D24" s="18">
        <f t="shared" ca="1" si="1"/>
        <v>-454.9</v>
      </c>
      <c r="E24" s="18" cm="1">
        <f t="array" aca="1" ref="E24" ca="1">INDIRECT("'"&amp;$A24&amp;"'!F9")</f>
        <v>105</v>
      </c>
      <c r="F24" s="18">
        <f t="shared" ca="1" si="2"/>
        <v>40.5</v>
      </c>
      <c r="G24" s="18" cm="1">
        <f t="array" aca="1" ref="G24" ca="1">INDIRECT("'"&amp;$A24&amp;"'!F22")</f>
        <v>43.416666666666664</v>
      </c>
      <c r="H24" s="18" t="s">
        <v>149</v>
      </c>
      <c r="K24">
        <v>13.1</v>
      </c>
      <c r="L24" t="s">
        <v>51</v>
      </c>
      <c r="M24" t="s">
        <v>45</v>
      </c>
      <c r="N24" s="18">
        <v>9.6999999999999993</v>
      </c>
      <c r="O24" s="18"/>
      <c r="P24" s="18"/>
    </row>
    <row r="25" spans="1:16" x14ac:dyDescent="0.25">
      <c r="A25" t="s">
        <v>51</v>
      </c>
      <c r="B25" s="18" t="str" cm="1">
        <f t="array" aca="1" ref="B25" ca="1">INDIRECT("'"&amp;$A25&amp;"'!D3")</f>
        <v>Cat</v>
      </c>
      <c r="C25" s="18" cm="1">
        <f t="array" aca="1" ref="C25" ca="1">INDIRECT("'"&amp;$A25&amp;"'!B3")</f>
        <v>21</v>
      </c>
      <c r="D25" s="18">
        <f t="shared" ca="1" si="1"/>
        <v>-454.9</v>
      </c>
      <c r="E25" s="18" cm="1">
        <f t="array" aca="1" ref="E25" ca="1">INDIRECT("'"&amp;$A25&amp;"'!F9")</f>
        <v>105</v>
      </c>
      <c r="F25" s="18">
        <f t="shared" ca="1" si="2"/>
        <v>40.5</v>
      </c>
      <c r="G25" s="18" cm="1">
        <f t="array" aca="1" ref="G25" ca="1">INDIRECT("'"&amp;$A25&amp;"'!F22")</f>
        <v>43.416666666666664</v>
      </c>
      <c r="H25" s="18" t="s">
        <v>150</v>
      </c>
      <c r="K25">
        <v>13.2</v>
      </c>
      <c r="L25" t="s">
        <v>51</v>
      </c>
      <c r="M25" t="s">
        <v>45</v>
      </c>
      <c r="N25" s="18">
        <v>0</v>
      </c>
      <c r="O25" s="18"/>
      <c r="P25" s="18"/>
    </row>
    <row r="26" spans="1:16" x14ac:dyDescent="0.25">
      <c r="A26" t="s">
        <v>51</v>
      </c>
      <c r="B26" s="18" t="str" cm="1">
        <f t="array" aca="1" ref="B26" ca="1">INDIRECT("'"&amp;$A26&amp;"'!D3")</f>
        <v>Cat</v>
      </c>
      <c r="C26" s="18" cm="1">
        <f t="array" aca="1" ref="C26" ca="1">INDIRECT("'"&amp;$A26&amp;"'!B3")</f>
        <v>21</v>
      </c>
      <c r="D26" s="18">
        <f t="shared" ca="1" si="1"/>
        <v>-454.9</v>
      </c>
      <c r="E26" s="18" cm="1">
        <f t="array" aca="1" ref="E26" ca="1">INDIRECT("'"&amp;$A26&amp;"'!F9")</f>
        <v>105</v>
      </c>
      <c r="F26" s="18">
        <f t="shared" ca="1" si="2"/>
        <v>40.5</v>
      </c>
      <c r="G26" s="18" cm="1">
        <f t="array" aca="1" ref="G26" ca="1">INDIRECT("'"&amp;$A26&amp;"'!F22")</f>
        <v>43.416666666666664</v>
      </c>
      <c r="H26" s="18" t="s">
        <v>149</v>
      </c>
      <c r="K26">
        <v>14</v>
      </c>
      <c r="L26" t="s">
        <v>51</v>
      </c>
      <c r="M26" t="s">
        <v>45</v>
      </c>
      <c r="N26" s="18">
        <v>0</v>
      </c>
      <c r="O26" s="18"/>
      <c r="P26" s="18"/>
    </row>
    <row r="27" spans="1:16" x14ac:dyDescent="0.25">
      <c r="A27" t="s">
        <v>51</v>
      </c>
      <c r="B27" s="18" t="str" cm="1">
        <f t="array" aca="1" ref="B27" ca="1">INDIRECT("'"&amp;$A27&amp;"'!D3")</f>
        <v>Cat</v>
      </c>
      <c r="C27" s="18" cm="1">
        <f t="array" aca="1" ref="C27" ca="1">INDIRECT("'"&amp;$A27&amp;"'!B3")</f>
        <v>21</v>
      </c>
      <c r="D27" s="18">
        <f t="shared" ca="1" si="1"/>
        <v>-454.9</v>
      </c>
      <c r="E27" s="18" cm="1">
        <f t="array" aca="1" ref="E27" ca="1">INDIRECT("'"&amp;$A27&amp;"'!F9")</f>
        <v>105</v>
      </c>
      <c r="F27" s="18">
        <f t="shared" ca="1" si="2"/>
        <v>40.5</v>
      </c>
      <c r="G27" s="18" cm="1">
        <f t="array" aca="1" ref="G27" ca="1">INDIRECT("'"&amp;$A27&amp;"'!F22")</f>
        <v>43.416666666666664</v>
      </c>
      <c r="H27" s="18" t="s">
        <v>149</v>
      </c>
      <c r="K27">
        <v>14.1</v>
      </c>
      <c r="L27" t="s">
        <v>51</v>
      </c>
      <c r="M27" t="s">
        <v>45</v>
      </c>
      <c r="N27" s="18">
        <v>0</v>
      </c>
      <c r="O27" s="18"/>
      <c r="P27" s="18"/>
    </row>
    <row r="28" spans="1:16" x14ac:dyDescent="0.25">
      <c r="K28">
        <v>14.2</v>
      </c>
      <c r="L28" t="s">
        <v>51</v>
      </c>
      <c r="M28" t="s">
        <v>45</v>
      </c>
      <c r="N28" s="18">
        <v>9.3000000000000007</v>
      </c>
      <c r="O28" s="18"/>
      <c r="P28" s="18"/>
    </row>
    <row r="29" spans="1:16" x14ac:dyDescent="0.25">
      <c r="K29">
        <v>15</v>
      </c>
      <c r="L29" t="s">
        <v>45</v>
      </c>
      <c r="M29" t="s">
        <v>51</v>
      </c>
      <c r="N29" s="18">
        <v>50.6</v>
      </c>
      <c r="O29" s="18">
        <f>(17.3-11.9)/1.5</f>
        <v>3.6</v>
      </c>
    </row>
    <row r="30" spans="1:16" x14ac:dyDescent="0.25">
      <c r="K30">
        <v>15.1</v>
      </c>
      <c r="L30" t="s">
        <v>51</v>
      </c>
      <c r="M30" t="s">
        <v>45</v>
      </c>
      <c r="N30" s="18">
        <v>0</v>
      </c>
      <c r="O30" s="18"/>
      <c r="P30" s="18"/>
    </row>
    <row r="31" spans="1:16" x14ac:dyDescent="0.25">
      <c r="K31">
        <v>15.2</v>
      </c>
      <c r="L31" t="s">
        <v>51</v>
      </c>
      <c r="M31" t="s">
        <v>45</v>
      </c>
      <c r="N31" s="18">
        <v>14.8</v>
      </c>
      <c r="O31" s="18"/>
      <c r="P31" s="18"/>
    </row>
    <row r="32" spans="1:16" x14ac:dyDescent="0.25">
      <c r="K32">
        <v>16</v>
      </c>
      <c r="L32" t="s">
        <v>51</v>
      </c>
      <c r="M32" t="s">
        <v>45</v>
      </c>
      <c r="N32" s="18">
        <v>0</v>
      </c>
      <c r="O32" s="18"/>
      <c r="P32" s="18"/>
    </row>
    <row r="33" spans="11:16" x14ac:dyDescent="0.25">
      <c r="K33">
        <v>16.100000000000001</v>
      </c>
      <c r="L33" t="s">
        <v>51</v>
      </c>
      <c r="M33" t="s">
        <v>45</v>
      </c>
      <c r="N33" s="18">
        <v>0</v>
      </c>
      <c r="O33" s="18"/>
      <c r="P33" s="18"/>
    </row>
    <row r="34" spans="11:16" x14ac:dyDescent="0.25">
      <c r="K34">
        <v>17</v>
      </c>
      <c r="L34" t="s">
        <v>45</v>
      </c>
      <c r="M34" t="s">
        <v>51</v>
      </c>
      <c r="N34" s="18">
        <v>75.099999999999994</v>
      </c>
      <c r="O34" s="18"/>
      <c r="P34" s="18"/>
    </row>
    <row r="35" spans="11:16" x14ac:dyDescent="0.25">
      <c r="K35">
        <v>17.100000000000001</v>
      </c>
      <c r="L35" t="s">
        <v>51</v>
      </c>
      <c r="M35" t="s">
        <v>45</v>
      </c>
      <c r="N35" s="18">
        <v>8.6999999999999993</v>
      </c>
      <c r="O35" s="18"/>
      <c r="P35" s="18"/>
    </row>
    <row r="36" spans="11:16" x14ac:dyDescent="0.25">
      <c r="K36">
        <v>18</v>
      </c>
      <c r="L36" t="s">
        <v>51</v>
      </c>
      <c r="M36" t="s">
        <v>45</v>
      </c>
      <c r="N36" s="18">
        <v>0</v>
      </c>
      <c r="O36" s="18"/>
      <c r="P36" s="18"/>
    </row>
    <row r="37" spans="11:16" x14ac:dyDescent="0.25">
      <c r="K37">
        <v>19</v>
      </c>
      <c r="L37" t="s">
        <v>45</v>
      </c>
      <c r="M37" t="s">
        <v>51</v>
      </c>
      <c r="N37" s="18">
        <v>66.900000000000006</v>
      </c>
      <c r="O37" s="18"/>
      <c r="P37" s="18"/>
    </row>
    <row r="38" spans="11:16" x14ac:dyDescent="0.25">
      <c r="N38" s="18"/>
      <c r="O38" s="18"/>
      <c r="P38" s="18"/>
    </row>
    <row r="39" spans="11:16" x14ac:dyDescent="0.25">
      <c r="N39" s="18"/>
      <c r="O39" s="18"/>
      <c r="P39" s="18"/>
    </row>
    <row r="40" spans="11:16" x14ac:dyDescent="0.25">
      <c r="N40" s="18"/>
      <c r="O40" s="18"/>
      <c r="P40" s="18"/>
    </row>
    <row r="41" spans="11:16" x14ac:dyDescent="0.25">
      <c r="N41" s="18"/>
      <c r="O41" s="18"/>
      <c r="P41" s="18"/>
    </row>
    <row r="42" spans="11:16" x14ac:dyDescent="0.25">
      <c r="N42" s="18"/>
      <c r="O42" s="18"/>
      <c r="P42" s="18"/>
    </row>
  </sheetData>
  <dataValidations count="1">
    <dataValidation type="list" allowBlank="1" showInputMessage="1" showErrorMessage="1" sqref="L4:M42" xr:uid="{0126374D-DE0E-4077-BD4A-F73046C559D1}">
      <formula1>$A$18:$A$27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2:J34"/>
  <sheetViews>
    <sheetView workbookViewId="0">
      <selection activeCell="C12" sqref="C12"/>
    </sheetView>
  </sheetViews>
  <sheetFormatPr defaultRowHeight="15" x14ac:dyDescent="0.25"/>
  <cols>
    <col min="1" max="1" width="22.85546875" bestFit="1" customWidth="1"/>
    <col min="2" max="2" width="10.5703125" bestFit="1" customWidth="1"/>
    <col min="9" max="9" width="11.42578125" bestFit="1" customWidth="1"/>
  </cols>
  <sheetData>
    <row r="2" spans="1:10" x14ac:dyDescent="0.25">
      <c r="A2" s="1" t="s">
        <v>47</v>
      </c>
      <c r="B2" s="1" t="s">
        <v>46</v>
      </c>
      <c r="C2" s="1" t="s">
        <v>74</v>
      </c>
      <c r="D2" s="23" t="s">
        <v>1</v>
      </c>
    </row>
    <row r="3" spans="1:10" x14ac:dyDescent="0.25">
      <c r="A3" t="s">
        <v>45</v>
      </c>
      <c r="B3">
        <v>16</v>
      </c>
      <c r="C3">
        <f>SUM(C9:C103)+SUM(J9:J103)</f>
        <v>1475</v>
      </c>
      <c r="D3" t="s">
        <v>23</v>
      </c>
    </row>
    <row r="5" spans="1:10" x14ac:dyDescent="0.25">
      <c r="A5" s="1" t="s">
        <v>138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128</v>
      </c>
      <c r="G5" s="23" t="s">
        <v>4</v>
      </c>
    </row>
    <row r="6" spans="1:10" x14ac:dyDescent="0.25">
      <c r="A6" t="s">
        <v>49</v>
      </c>
      <c r="B6" s="18">
        <f>SUMIFS($F:$F,$A:$A,B$5,$B:$B,$A$6)</f>
        <v>6.8181818181818183</v>
      </c>
      <c r="C6" s="18">
        <f t="shared" ref="C6:E6" si="0">SUMIFS($F:$F,$A:$A,C$5,$B:$B,$A$6)</f>
        <v>11.111111111111111</v>
      </c>
      <c r="D6" s="18">
        <f>SUMIF(Weapons!A:A,A6,Weapons!C:C)</f>
        <v>40</v>
      </c>
      <c r="E6" s="18">
        <f t="shared" si="0"/>
        <v>30</v>
      </c>
      <c r="F6" s="18">
        <f>SUMIFS($F:$F,$A:$A,F$5,$B:$B,$A$6)</f>
        <v>2</v>
      </c>
      <c r="G6">
        <v>20</v>
      </c>
    </row>
    <row r="8" spans="1:10" x14ac:dyDescent="0.25">
      <c r="A8" s="1" t="s">
        <v>66</v>
      </c>
      <c r="B8" s="1" t="s">
        <v>71</v>
      </c>
      <c r="C8" s="1" t="s">
        <v>70</v>
      </c>
      <c r="D8" s="1" t="s">
        <v>57</v>
      </c>
      <c r="E8" s="1" t="s">
        <v>72</v>
      </c>
      <c r="F8" s="1" t="s">
        <v>73</v>
      </c>
      <c r="I8" s="23" t="s">
        <v>130</v>
      </c>
      <c r="J8" s="23" t="s">
        <v>67</v>
      </c>
    </row>
    <row r="9" spans="1:10" x14ac:dyDescent="0.25">
      <c r="A9" t="s">
        <v>2</v>
      </c>
      <c r="C9">
        <v>15</v>
      </c>
      <c r="D9" s="18">
        <f>$C9/LOOKUP($A9,'STAT COSTS'!$A:$A,'STAT COSTS'!$B:$B)</f>
        <v>1.5</v>
      </c>
      <c r="E9">
        <f>B3*15</f>
        <v>240</v>
      </c>
      <c r="F9" s="18">
        <f>D9+E9</f>
        <v>241.5</v>
      </c>
      <c r="I9" t="s">
        <v>131</v>
      </c>
      <c r="J9">
        <v>200</v>
      </c>
    </row>
    <row r="10" spans="1:10" x14ac:dyDescent="0.25">
      <c r="A10" t="s">
        <v>15</v>
      </c>
      <c r="C10">
        <v>20</v>
      </c>
      <c r="D10" s="18">
        <f>$C10/LOOKUP($A10,'STAT COSTS'!$A:$A,'STAT COSTS'!$B:$B)</f>
        <v>1.1111111111111112</v>
      </c>
      <c r="E10">
        <f>(MIN(B3,30)*3.5)</f>
        <v>56</v>
      </c>
      <c r="F10" s="18">
        <f t="shared" ref="F10:F33" si="1">D10+E10</f>
        <v>57.111111111111114</v>
      </c>
    </row>
    <row r="11" spans="1:10" x14ac:dyDescent="0.25">
      <c r="A11" t="s">
        <v>16</v>
      </c>
      <c r="C11">
        <v>20</v>
      </c>
      <c r="D11" s="18">
        <f>$C11/LOOKUP($A11,'STAT COSTS'!$A:$A,'STAT COSTS'!$B:$B)</f>
        <v>2</v>
      </c>
      <c r="F11" s="18">
        <f t="shared" si="1"/>
        <v>2</v>
      </c>
    </row>
    <row r="12" spans="1:10" x14ac:dyDescent="0.25">
      <c r="A12" t="s">
        <v>21</v>
      </c>
      <c r="C12">
        <v>50</v>
      </c>
      <c r="D12" s="18">
        <f>$C12/LOOKUP($A12,'STAT COSTS'!$A:$A,'STAT COSTS'!$B:$B)</f>
        <v>2.7777777777777777</v>
      </c>
      <c r="E12">
        <f>MIN(B3,30)*0.15</f>
        <v>2.4</v>
      </c>
      <c r="F12" s="18">
        <f t="shared" si="1"/>
        <v>5.1777777777777771</v>
      </c>
    </row>
    <row r="13" spans="1:10" x14ac:dyDescent="0.25">
      <c r="A13" t="s">
        <v>22</v>
      </c>
      <c r="C13">
        <v>20</v>
      </c>
      <c r="D13" s="18">
        <f>$C13/LOOKUP($A13,'STAT COSTS'!$A:$A,'STAT COSTS'!$B:$B)</f>
        <v>2.5</v>
      </c>
      <c r="F13" s="18">
        <f t="shared" si="1"/>
        <v>2.5</v>
      </c>
    </row>
    <row r="14" spans="1:10" x14ac:dyDescent="0.25">
      <c r="A14" t="s">
        <v>9</v>
      </c>
      <c r="C14">
        <v>20</v>
      </c>
      <c r="D14" s="18">
        <f>$C14/LOOKUP($A14,'STAT COSTS'!$A:$A,'STAT COSTS'!$B:$B)</f>
        <v>0.8</v>
      </c>
      <c r="F14" s="18">
        <f t="shared" si="1"/>
        <v>0.8</v>
      </c>
    </row>
    <row r="15" spans="1:10" x14ac:dyDescent="0.25">
      <c r="A15" t="s">
        <v>10</v>
      </c>
      <c r="C15">
        <v>100</v>
      </c>
      <c r="D15" s="18">
        <f>$C15/LOOKUP($A15,'STAT COSTS'!$A:$A,'STAT COSTS'!$B:$B)</f>
        <v>20</v>
      </c>
      <c r="F15" s="18">
        <f t="shared" si="1"/>
        <v>20</v>
      </c>
    </row>
    <row r="16" spans="1:10" x14ac:dyDescent="0.25">
      <c r="A16" t="s">
        <v>13</v>
      </c>
      <c r="C16">
        <v>10</v>
      </c>
      <c r="D16" s="18">
        <f>$C16/LOOKUP($A16,'STAT COSTS'!$A:$A,'STAT COSTS'!$B:$B)</f>
        <v>0.83333333333333337</v>
      </c>
      <c r="E16">
        <f>F9*0.1</f>
        <v>24.150000000000002</v>
      </c>
      <c r="F16" s="18">
        <f t="shared" si="1"/>
        <v>24.983333333333334</v>
      </c>
    </row>
    <row r="17" spans="1:6" x14ac:dyDescent="0.25">
      <c r="A17" t="s">
        <v>14</v>
      </c>
      <c r="C17">
        <v>10</v>
      </c>
      <c r="D17" s="18">
        <f>$C17/LOOKUP($A17,'STAT COSTS'!$A:$A,'STAT COSTS'!$B:$B)</f>
        <v>2.5</v>
      </c>
      <c r="F17" s="18">
        <f t="shared" si="1"/>
        <v>2.5</v>
      </c>
    </row>
    <row r="18" spans="1:6" x14ac:dyDescent="0.25">
      <c r="A18" t="s">
        <v>11</v>
      </c>
      <c r="C18">
        <v>20</v>
      </c>
      <c r="D18" s="18">
        <f>$C18/LOOKUP($A18,'STAT COSTS'!$A:$A,'STAT COSTS'!$B:$B)</f>
        <v>1.8181818181818181</v>
      </c>
      <c r="E18">
        <f>F9*0.05</f>
        <v>12.075000000000001</v>
      </c>
      <c r="F18" s="18">
        <f t="shared" si="1"/>
        <v>13.893181818181819</v>
      </c>
    </row>
    <row r="19" spans="1:6" x14ac:dyDescent="0.25">
      <c r="A19" t="s">
        <v>12</v>
      </c>
      <c r="C19">
        <v>30</v>
      </c>
      <c r="D19" s="18">
        <f>$C19/LOOKUP($A19,'STAT COSTS'!$A:$A,'STAT COSTS'!$B:$B)</f>
        <v>7.5</v>
      </c>
      <c r="F19" s="18">
        <f t="shared" si="1"/>
        <v>7.5</v>
      </c>
    </row>
    <row r="20" spans="1:6" x14ac:dyDescent="0.25">
      <c r="A20" t="s">
        <v>19</v>
      </c>
      <c r="C20">
        <v>20</v>
      </c>
      <c r="D20" s="18">
        <f>$C20/LOOKUP($A20,'STAT COSTS'!$A:$A,'STAT COSTS'!$B:$B)</f>
        <v>2</v>
      </c>
      <c r="E20">
        <f>F9*0.5</f>
        <v>120.75</v>
      </c>
      <c r="F20" s="18">
        <f t="shared" si="1"/>
        <v>122.75</v>
      </c>
    </row>
    <row r="21" spans="1:6" x14ac:dyDescent="0.25">
      <c r="A21" t="s">
        <v>20</v>
      </c>
      <c r="C21">
        <v>30</v>
      </c>
      <c r="D21" s="18">
        <f>$C21/LOOKUP($A21,'STAT COSTS'!$A:$A,'STAT COSTS'!$B:$B)</f>
        <v>15</v>
      </c>
      <c r="F21" s="18">
        <f t="shared" si="1"/>
        <v>15</v>
      </c>
    </row>
    <row r="22" spans="1:6" x14ac:dyDescent="0.25">
      <c r="A22" t="s">
        <v>17</v>
      </c>
      <c r="C22">
        <v>10</v>
      </c>
      <c r="D22" s="18">
        <f>$C22/LOOKUP($A22,'STAT COSTS'!$A:$A,'STAT COSTS'!$B:$B)</f>
        <v>0.66666666666666663</v>
      </c>
      <c r="E22">
        <f>B3*1.75</f>
        <v>28</v>
      </c>
      <c r="F22" s="18">
        <f t="shared" si="1"/>
        <v>28.666666666666668</v>
      </c>
    </row>
    <row r="23" spans="1:6" x14ac:dyDescent="0.25">
      <c r="A23" t="s">
        <v>18</v>
      </c>
      <c r="C23">
        <v>10</v>
      </c>
      <c r="D23" s="18">
        <f>$C23/LOOKUP($A23,'STAT COSTS'!$A:$A,'STAT COSTS'!$B:$B)</f>
        <v>0.2</v>
      </c>
      <c r="E23">
        <f>1</f>
        <v>1</v>
      </c>
      <c r="F23" s="18">
        <f t="shared" si="1"/>
        <v>1.2</v>
      </c>
    </row>
    <row r="24" spans="1:6" x14ac:dyDescent="0.25">
      <c r="A24" t="s">
        <v>5</v>
      </c>
      <c r="B24" t="s">
        <v>49</v>
      </c>
      <c r="C24">
        <v>150</v>
      </c>
      <c r="D24" s="18">
        <f>$C24/LOOKUP($A24,'STAT COSTS'!$A:$A,'STAT COSTS'!$B:$B)</f>
        <v>6.8181818181818183</v>
      </c>
      <c r="F24" s="18">
        <f t="shared" si="1"/>
        <v>6.8181818181818183</v>
      </c>
    </row>
    <row r="25" spans="1:6" x14ac:dyDescent="0.25">
      <c r="A25" t="s">
        <v>6</v>
      </c>
      <c r="B25" t="s">
        <v>49</v>
      </c>
      <c r="C25">
        <v>100</v>
      </c>
      <c r="D25" s="18">
        <f>$C25/LOOKUP($A25,'STAT COSTS'!$A:$A,'STAT COSTS'!$B:$B)</f>
        <v>11.111111111111111</v>
      </c>
      <c r="F25" s="18">
        <f t="shared" si="1"/>
        <v>11.111111111111111</v>
      </c>
    </row>
    <row r="26" spans="1:6" x14ac:dyDescent="0.25">
      <c r="A26" t="s">
        <v>7</v>
      </c>
      <c r="B26" t="s">
        <v>49</v>
      </c>
      <c r="C26">
        <v>150</v>
      </c>
      <c r="D26" s="18">
        <f>$C26/LOOKUP($A26,'STAT COSTS'!$A:$A,'STAT COSTS'!$B:$B)</f>
        <v>30</v>
      </c>
      <c r="F26" s="18">
        <f t="shared" si="1"/>
        <v>30</v>
      </c>
    </row>
    <row r="27" spans="1:6" x14ac:dyDescent="0.25">
      <c r="A27" t="s">
        <v>128</v>
      </c>
      <c r="B27" t="s">
        <v>49</v>
      </c>
      <c r="C27">
        <v>200</v>
      </c>
      <c r="D27" s="18">
        <f>$C27/LOOKUP($A27,'STAT COSTS'!$A:$A,'STAT COSTS'!$B:$B)</f>
        <v>1</v>
      </c>
      <c r="E27">
        <v>1</v>
      </c>
      <c r="F27" s="18">
        <f t="shared" si="1"/>
        <v>2</v>
      </c>
    </row>
    <row r="28" spans="1:6" x14ac:dyDescent="0.25">
      <c r="A28" t="s">
        <v>132</v>
      </c>
      <c r="B28" t="s">
        <v>49</v>
      </c>
      <c r="C28">
        <v>250</v>
      </c>
      <c r="D28" s="18">
        <f>$C28/LOOKUP($A28,'STAT COSTS'!$A:$A,'STAT COSTS'!$B:$B)</f>
        <v>0.25</v>
      </c>
      <c r="E28">
        <v>0.1</v>
      </c>
      <c r="F28" s="18">
        <f t="shared" si="1"/>
        <v>0.35</v>
      </c>
    </row>
    <row r="29" spans="1:6" x14ac:dyDescent="0.25">
      <c r="A29" t="s">
        <v>5</v>
      </c>
      <c r="B29" t="s">
        <v>75</v>
      </c>
      <c r="C29">
        <v>20</v>
      </c>
      <c r="D29" s="18">
        <f>$C29/LOOKUP($A29,'STAT COSTS'!$A:$A,'STAT COSTS'!$B:$B)</f>
        <v>0.90909090909090906</v>
      </c>
      <c r="F29" s="18">
        <f>D29+E29</f>
        <v>0.90909090909090906</v>
      </c>
    </row>
    <row r="30" spans="1:6" x14ac:dyDescent="0.25">
      <c r="A30" t="s">
        <v>6</v>
      </c>
      <c r="B30" t="s">
        <v>75</v>
      </c>
      <c r="C30">
        <v>20</v>
      </c>
      <c r="D30" s="18">
        <f>$C30/LOOKUP($A30,'STAT COSTS'!$A:$A,'STAT COSTS'!$B:$B)</f>
        <v>2.2222222222222223</v>
      </c>
      <c r="F30" s="18">
        <f>D30+E30</f>
        <v>2.2222222222222223</v>
      </c>
    </row>
    <row r="31" spans="1:6" x14ac:dyDescent="0.25">
      <c r="A31" t="s">
        <v>5</v>
      </c>
      <c r="B31" t="s">
        <v>76</v>
      </c>
      <c r="D31" s="18">
        <f>0</f>
        <v>0</v>
      </c>
      <c r="F31" s="18">
        <f>D31+E31</f>
        <v>0</v>
      </c>
    </row>
    <row r="32" spans="1:6" x14ac:dyDescent="0.25">
      <c r="A32" t="s">
        <v>6</v>
      </c>
      <c r="B32" t="s">
        <v>76</v>
      </c>
      <c r="D32" s="18">
        <f>0</f>
        <v>0</v>
      </c>
      <c r="F32" s="18">
        <f>D32+E32</f>
        <v>0</v>
      </c>
    </row>
    <row r="33" spans="1:6" x14ac:dyDescent="0.25">
      <c r="A33" t="s">
        <v>7</v>
      </c>
      <c r="B33" t="s">
        <v>76</v>
      </c>
      <c r="D33" s="18">
        <f>0</f>
        <v>0</v>
      </c>
      <c r="F33" s="18">
        <f>D33+E33</f>
        <v>0</v>
      </c>
    </row>
    <row r="34" spans="1:6" x14ac:dyDescent="0.25">
      <c r="A34" t="s">
        <v>128</v>
      </c>
      <c r="B34" t="s">
        <v>76</v>
      </c>
      <c r="D34" s="18">
        <f>0</f>
        <v>0</v>
      </c>
      <c r="E34">
        <v>1</v>
      </c>
      <c r="F34" s="18">
        <f>D34+E34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dimension ref="A2:J33"/>
  <sheetViews>
    <sheetView tabSelected="1" workbookViewId="0">
      <selection activeCell="H24" sqref="H24"/>
    </sheetView>
  </sheetViews>
  <sheetFormatPr defaultRowHeight="15" x14ac:dyDescent="0.25"/>
  <cols>
    <col min="1" max="1" width="23.42578125" bestFit="1" customWidth="1"/>
  </cols>
  <sheetData>
    <row r="2" spans="1:10" x14ac:dyDescent="0.25">
      <c r="A2" s="1" t="s">
        <v>47</v>
      </c>
      <c r="B2" s="1" t="s">
        <v>46</v>
      </c>
      <c r="C2" s="1" t="s">
        <v>74</v>
      </c>
      <c r="D2" s="23" t="s">
        <v>1</v>
      </c>
    </row>
    <row r="3" spans="1:10" x14ac:dyDescent="0.25">
      <c r="A3" t="s">
        <v>51</v>
      </c>
      <c r="B3">
        <v>21</v>
      </c>
      <c r="C3">
        <f>SUM(C9:C102)+SUM(J9:J102)</f>
        <v>1025</v>
      </c>
      <c r="D3" t="s">
        <v>26</v>
      </c>
    </row>
    <row r="5" spans="1:10" x14ac:dyDescent="0.25">
      <c r="A5" s="1" t="s">
        <v>138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128</v>
      </c>
      <c r="G5" s="23" t="s">
        <v>4</v>
      </c>
    </row>
    <row r="6" spans="1:10" x14ac:dyDescent="0.25">
      <c r="A6" t="s">
        <v>52</v>
      </c>
      <c r="B6" s="18">
        <f>SUMIFS($F:$F,$A:$A,B$5,$B:$B,$A$6)</f>
        <v>3.4090909090909092</v>
      </c>
      <c r="C6" s="18">
        <f t="shared" ref="C6:E6" si="0">SUMIFS($F:$F,$A:$A,C$5,$B:$B,$A$6)</f>
        <v>8.3333333333333339</v>
      </c>
      <c r="D6" s="18">
        <f>SUMIF(Weapons!A:A,A6,Weapons!C:C)</f>
        <v>10</v>
      </c>
      <c r="E6" s="18">
        <f t="shared" si="0"/>
        <v>2</v>
      </c>
      <c r="F6" s="18">
        <f>SUMIFS($F:$F,$A:$A,F$5,$B:$B,$A$6)</f>
        <v>1.5</v>
      </c>
      <c r="G6">
        <v>30</v>
      </c>
    </row>
    <row r="8" spans="1:10" x14ac:dyDescent="0.25">
      <c r="A8" s="1" t="s">
        <v>66</v>
      </c>
      <c r="B8" s="1" t="s">
        <v>71</v>
      </c>
      <c r="C8" s="1" t="s">
        <v>70</v>
      </c>
      <c r="D8" s="1" t="s">
        <v>57</v>
      </c>
      <c r="E8" s="1" t="s">
        <v>72</v>
      </c>
      <c r="F8" s="1" t="s">
        <v>73</v>
      </c>
      <c r="I8" s="23" t="s">
        <v>130</v>
      </c>
      <c r="J8" s="23" t="s">
        <v>67</v>
      </c>
    </row>
    <row r="9" spans="1:10" x14ac:dyDescent="0.25">
      <c r="A9" t="s">
        <v>2</v>
      </c>
      <c r="C9">
        <v>0</v>
      </c>
      <c r="D9" s="18">
        <f>$C9/LOOKUP($A9,'STAT COSTS'!$A:$A,'STAT COSTS'!$B:$B)</f>
        <v>0</v>
      </c>
      <c r="E9">
        <f>B3*5</f>
        <v>105</v>
      </c>
      <c r="F9" s="18">
        <f>D9+E9</f>
        <v>105</v>
      </c>
    </row>
    <row r="10" spans="1:10" x14ac:dyDescent="0.25">
      <c r="A10" t="s">
        <v>15</v>
      </c>
      <c r="C10">
        <v>10</v>
      </c>
      <c r="D10" s="18">
        <f>$C10/LOOKUP($A10,'STAT COSTS'!$A:$A,'STAT COSTS'!$B:$B)</f>
        <v>0.55555555555555558</v>
      </c>
      <c r="E10">
        <f>(MIN(B3,30)*1.5)</f>
        <v>31.5</v>
      </c>
      <c r="F10" s="18">
        <f t="shared" ref="F10:F27" si="1">D10+E10</f>
        <v>32.055555555555557</v>
      </c>
    </row>
    <row r="11" spans="1:10" x14ac:dyDescent="0.25">
      <c r="A11" t="s">
        <v>16</v>
      </c>
      <c r="C11">
        <v>10</v>
      </c>
      <c r="D11" s="18">
        <f>$C11/LOOKUP($A11,'STAT COSTS'!$A:$A,'STAT COSTS'!$B:$B)</f>
        <v>1</v>
      </c>
      <c r="F11" s="18">
        <f t="shared" si="1"/>
        <v>1</v>
      </c>
    </row>
    <row r="12" spans="1:10" x14ac:dyDescent="0.25">
      <c r="A12" t="s">
        <v>21</v>
      </c>
      <c r="C12">
        <v>30</v>
      </c>
      <c r="D12" s="18">
        <f>$C12/LOOKUP($A12,'STAT COSTS'!$A:$A,'STAT COSTS'!$B:$B)</f>
        <v>1.6666666666666667</v>
      </c>
      <c r="E12">
        <f>MIN(B3,30)*0.15</f>
        <v>3.15</v>
      </c>
      <c r="F12" s="18">
        <f t="shared" si="1"/>
        <v>4.8166666666666664</v>
      </c>
    </row>
    <row r="13" spans="1:10" x14ac:dyDescent="0.25">
      <c r="A13" t="s">
        <v>22</v>
      </c>
      <c r="C13">
        <v>15</v>
      </c>
      <c r="D13" s="18">
        <f>$C13/LOOKUP($A13,'STAT COSTS'!$A:$A,'STAT COSTS'!$B:$B)</f>
        <v>1.875</v>
      </c>
      <c r="F13" s="18">
        <f t="shared" si="1"/>
        <v>1.875</v>
      </c>
    </row>
    <row r="14" spans="1:10" x14ac:dyDescent="0.25">
      <c r="A14" t="s">
        <v>9</v>
      </c>
      <c r="C14">
        <v>10</v>
      </c>
      <c r="D14" s="18">
        <f>$C14/LOOKUP($A14,'STAT COSTS'!$A:$A,'STAT COSTS'!$B:$B)</f>
        <v>0.4</v>
      </c>
      <c r="F14" s="18">
        <f t="shared" si="1"/>
        <v>0.4</v>
      </c>
    </row>
    <row r="15" spans="1:10" x14ac:dyDescent="0.25">
      <c r="A15" t="s">
        <v>10</v>
      </c>
      <c r="C15">
        <v>100</v>
      </c>
      <c r="D15" s="18">
        <f>$C15/LOOKUP($A15,'STAT COSTS'!$A:$A,'STAT COSTS'!$B:$B)</f>
        <v>20</v>
      </c>
      <c r="F15" s="18">
        <f t="shared" si="1"/>
        <v>20</v>
      </c>
    </row>
    <row r="16" spans="1:10" x14ac:dyDescent="0.25">
      <c r="A16" t="s">
        <v>13</v>
      </c>
      <c r="C16">
        <v>5</v>
      </c>
      <c r="D16" s="18">
        <f>$C16/LOOKUP($A16,'STAT COSTS'!$A:$A,'STAT COSTS'!$B:$B)</f>
        <v>0.41666666666666669</v>
      </c>
      <c r="E16">
        <f>F9*0.1</f>
        <v>10.5</v>
      </c>
      <c r="F16" s="18">
        <f t="shared" si="1"/>
        <v>10.916666666666666</v>
      </c>
    </row>
    <row r="17" spans="1:6" x14ac:dyDescent="0.25">
      <c r="A17" t="s">
        <v>14</v>
      </c>
      <c r="C17">
        <v>5</v>
      </c>
      <c r="D17" s="18">
        <f>$C17/LOOKUP($A17,'STAT COSTS'!$A:$A,'STAT COSTS'!$B:$B)</f>
        <v>1.25</v>
      </c>
      <c r="F17" s="18">
        <f t="shared" si="1"/>
        <v>1.25</v>
      </c>
    </row>
    <row r="18" spans="1:6" x14ac:dyDescent="0.25">
      <c r="A18" t="s">
        <v>11</v>
      </c>
      <c r="C18">
        <v>5</v>
      </c>
      <c r="D18" s="18">
        <f>$C18/LOOKUP($A18,'STAT COSTS'!$A:$A,'STAT COSTS'!$B:$B)</f>
        <v>0.45454545454545453</v>
      </c>
      <c r="E18">
        <f>F9*0.05</f>
        <v>5.25</v>
      </c>
      <c r="F18" s="18">
        <f t="shared" si="1"/>
        <v>5.7045454545454541</v>
      </c>
    </row>
    <row r="19" spans="1:6" x14ac:dyDescent="0.25">
      <c r="A19" t="s">
        <v>12</v>
      </c>
      <c r="C19">
        <v>5</v>
      </c>
      <c r="D19" s="18">
        <f>$C19/LOOKUP($A19,'STAT COSTS'!$A:$A,'STAT COSTS'!$B:$B)</f>
        <v>1.25</v>
      </c>
      <c r="F19" s="18">
        <f t="shared" si="1"/>
        <v>1.25</v>
      </c>
    </row>
    <row r="20" spans="1:6" x14ac:dyDescent="0.25">
      <c r="A20" t="s">
        <v>19</v>
      </c>
      <c r="C20">
        <v>5</v>
      </c>
      <c r="D20" s="18">
        <f>$C20/LOOKUP($A20,'STAT COSTS'!$A:$A,'STAT COSTS'!$B:$B)</f>
        <v>0.5</v>
      </c>
      <c r="E20">
        <f>F9*0.5</f>
        <v>52.5</v>
      </c>
      <c r="F20" s="18">
        <f t="shared" si="1"/>
        <v>53</v>
      </c>
    </row>
    <row r="21" spans="1:6" x14ac:dyDescent="0.25">
      <c r="A21" t="s">
        <v>20</v>
      </c>
      <c r="C21">
        <v>5</v>
      </c>
      <c r="D21" s="18">
        <f>$C21/LOOKUP($A21,'STAT COSTS'!$A:$A,'STAT COSTS'!$B:$B)</f>
        <v>2.5</v>
      </c>
      <c r="F21" s="18">
        <f t="shared" si="1"/>
        <v>2.5</v>
      </c>
    </row>
    <row r="22" spans="1:6" x14ac:dyDescent="0.25">
      <c r="A22" t="s">
        <v>17</v>
      </c>
      <c r="C22">
        <v>100</v>
      </c>
      <c r="D22" s="18">
        <f>$C22/LOOKUP($A22,'STAT COSTS'!$A:$A,'STAT COSTS'!$B:$B)</f>
        <v>6.666666666666667</v>
      </c>
      <c r="E22">
        <f>B3*1.75</f>
        <v>36.75</v>
      </c>
      <c r="F22" s="18">
        <f t="shared" si="1"/>
        <v>43.416666666666664</v>
      </c>
    </row>
    <row r="23" spans="1:6" x14ac:dyDescent="0.25">
      <c r="A23" t="s">
        <v>18</v>
      </c>
      <c r="C23">
        <v>10</v>
      </c>
      <c r="D23" s="18">
        <f>$C23/LOOKUP($A23,'STAT COSTS'!$A:$A,'STAT COSTS'!$B:$B)</f>
        <v>0.2</v>
      </c>
      <c r="E23">
        <f>1</f>
        <v>1</v>
      </c>
      <c r="F23" s="18">
        <f t="shared" si="1"/>
        <v>1.2</v>
      </c>
    </row>
    <row r="24" spans="1:6" x14ac:dyDescent="0.25">
      <c r="A24" t="s">
        <v>5</v>
      </c>
      <c r="B24" t="s">
        <v>52</v>
      </c>
      <c r="C24">
        <v>75</v>
      </c>
      <c r="D24" s="18">
        <f>$C24/LOOKUP($A24,'STAT COSTS'!$A:$A,'STAT COSTS'!$B:$B)</f>
        <v>3.4090909090909092</v>
      </c>
      <c r="F24" s="1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18">
        <f>$C25/LOOKUP($A25,'STAT COSTS'!$A:$A,'STAT COSTS'!$B:$B)</f>
        <v>8.3333333333333339</v>
      </c>
      <c r="F25" s="1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18">
        <f>$C26/LOOKUP($A26,'STAT COSTS'!$A:$A,'STAT COSTS'!$B:$B)</f>
        <v>2</v>
      </c>
      <c r="F26" s="18">
        <f t="shared" si="1"/>
        <v>2</v>
      </c>
    </row>
    <row r="27" spans="1:6" x14ac:dyDescent="0.25">
      <c r="A27" t="s">
        <v>128</v>
      </c>
      <c r="B27" t="s">
        <v>52</v>
      </c>
      <c r="C27">
        <v>100</v>
      </c>
      <c r="D27" s="18">
        <f>$C27/LOOKUP($A27,'STAT COSTS'!$A:$A,'STAT COSTS'!$B:$B)</f>
        <v>0.5</v>
      </c>
      <c r="E27">
        <v>1</v>
      </c>
      <c r="F27" s="18">
        <f t="shared" si="1"/>
        <v>1.5</v>
      </c>
    </row>
    <row r="28" spans="1:6" x14ac:dyDescent="0.25">
      <c r="A28" t="s">
        <v>5</v>
      </c>
      <c r="B28" t="s">
        <v>75</v>
      </c>
      <c r="C28">
        <v>30</v>
      </c>
      <c r="D28" s="18">
        <f>$C28/LOOKUP($A28,'STAT COSTS'!$A:$A,'STAT COSTS'!$B:$B)</f>
        <v>1.3636363636363635</v>
      </c>
      <c r="F28" s="18">
        <f>D28+E28</f>
        <v>1.3636363636363635</v>
      </c>
    </row>
    <row r="29" spans="1:6" x14ac:dyDescent="0.25">
      <c r="A29" t="s">
        <v>6</v>
      </c>
      <c r="B29" t="s">
        <v>75</v>
      </c>
      <c r="C29">
        <v>20</v>
      </c>
      <c r="D29" s="18">
        <f>$C29/LOOKUP($A29,'STAT COSTS'!$A:$A,'STAT COSTS'!$B:$B)</f>
        <v>2.2222222222222223</v>
      </c>
      <c r="F29" s="18">
        <f>D29+E29</f>
        <v>2.2222222222222223</v>
      </c>
    </row>
    <row r="30" spans="1:6" x14ac:dyDescent="0.25">
      <c r="A30" t="s">
        <v>5</v>
      </c>
      <c r="B30" t="s">
        <v>76</v>
      </c>
      <c r="C30">
        <v>100</v>
      </c>
      <c r="D30" s="18">
        <f>$C30/LOOKUP($A30,'STAT COSTS'!$A:$A,'STAT COSTS'!$B:$B)</f>
        <v>4.5454545454545459</v>
      </c>
      <c r="F30" s="18">
        <f>D30+E30</f>
        <v>4.5454545454545459</v>
      </c>
    </row>
    <row r="31" spans="1:6" x14ac:dyDescent="0.25">
      <c r="A31" t="s">
        <v>6</v>
      </c>
      <c r="B31" t="s">
        <v>76</v>
      </c>
      <c r="C31">
        <v>100</v>
      </c>
      <c r="D31" s="18">
        <f>$C31/LOOKUP($A31,'STAT COSTS'!$A:$A,'STAT COSTS'!$B:$B)</f>
        <v>11.111111111111111</v>
      </c>
      <c r="F31" s="18">
        <f>D31+E31</f>
        <v>11.111111111111111</v>
      </c>
    </row>
    <row r="32" spans="1:6" x14ac:dyDescent="0.25">
      <c r="A32" t="s">
        <v>7</v>
      </c>
      <c r="B32" t="s">
        <v>76</v>
      </c>
      <c r="C32">
        <v>100</v>
      </c>
      <c r="D32" s="18">
        <f>$C32/LOOKUP($A32,'STAT COSTS'!$A:$A,'STAT COSTS'!$B:$B)</f>
        <v>20</v>
      </c>
      <c r="F32" s="18">
        <f>D32+E32</f>
        <v>20</v>
      </c>
    </row>
    <row r="33" spans="1:6" x14ac:dyDescent="0.25">
      <c r="A33" t="s">
        <v>128</v>
      </c>
      <c r="B33" t="s">
        <v>76</v>
      </c>
      <c r="C33">
        <v>100</v>
      </c>
      <c r="D33" s="18">
        <f>$C33/LOOKUP($A33,'STAT COSTS'!$A:$A,'STAT COSTS'!$B:$B)</f>
        <v>0.5</v>
      </c>
      <c r="E33">
        <v>1</v>
      </c>
      <c r="F33" s="18">
        <f>D33+E33</f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77</v>
      </c>
      <c r="C3" s="1" t="s">
        <v>50</v>
      </c>
      <c r="D3" s="1" t="s">
        <v>97</v>
      </c>
      <c r="E3" s="1" t="s">
        <v>84</v>
      </c>
      <c r="F3" s="1" t="s">
        <v>95</v>
      </c>
      <c r="G3" s="1" t="s">
        <v>96</v>
      </c>
    </row>
    <row r="4" spans="1:7" x14ac:dyDescent="0.25">
      <c r="A4" t="s">
        <v>49</v>
      </c>
      <c r="B4">
        <v>300</v>
      </c>
      <c r="C4">
        <v>40</v>
      </c>
      <c r="D4" t="s">
        <v>98</v>
      </c>
      <c r="E4">
        <v>1</v>
      </c>
      <c r="F4">
        <v>1</v>
      </c>
      <c r="G4">
        <v>1</v>
      </c>
    </row>
    <row r="5" spans="1:7" x14ac:dyDescent="0.25">
      <c r="A5" t="s">
        <v>78</v>
      </c>
      <c r="B5">
        <v>1</v>
      </c>
      <c r="C5">
        <v>10</v>
      </c>
      <c r="D5" t="s">
        <v>99</v>
      </c>
      <c r="F5">
        <v>1</v>
      </c>
      <c r="G5">
        <v>0</v>
      </c>
    </row>
    <row r="6" spans="1:7" x14ac:dyDescent="0.25">
      <c r="A6" t="s">
        <v>81</v>
      </c>
      <c r="B6">
        <v>1</v>
      </c>
      <c r="C6">
        <v>12</v>
      </c>
      <c r="D6" t="s">
        <v>99</v>
      </c>
      <c r="F6">
        <v>1</v>
      </c>
      <c r="G6">
        <v>0</v>
      </c>
    </row>
    <row r="7" spans="1:7" x14ac:dyDescent="0.25">
      <c r="A7" t="s">
        <v>69</v>
      </c>
      <c r="B7">
        <v>1</v>
      </c>
      <c r="C7">
        <v>12</v>
      </c>
      <c r="D7" t="s">
        <v>99</v>
      </c>
      <c r="F7">
        <v>1</v>
      </c>
      <c r="G7">
        <v>0</v>
      </c>
    </row>
    <row r="8" spans="1:7" x14ac:dyDescent="0.25">
      <c r="A8" t="s">
        <v>82</v>
      </c>
      <c r="B8">
        <v>1</v>
      </c>
      <c r="C8">
        <v>1</v>
      </c>
      <c r="D8" t="s">
        <v>98</v>
      </c>
      <c r="F8">
        <v>1</v>
      </c>
      <c r="G8">
        <v>0</v>
      </c>
    </row>
    <row r="9" spans="1:7" x14ac:dyDescent="0.25">
      <c r="A9" t="s">
        <v>83</v>
      </c>
      <c r="B9">
        <v>1</v>
      </c>
      <c r="C9">
        <v>50</v>
      </c>
      <c r="D9" t="s">
        <v>98</v>
      </c>
      <c r="E9">
        <v>25</v>
      </c>
      <c r="F9">
        <v>2</v>
      </c>
      <c r="G9">
        <v>1</v>
      </c>
    </row>
    <row r="10" spans="1:7" x14ac:dyDescent="0.25">
      <c r="A10" t="s">
        <v>100</v>
      </c>
      <c r="B10">
        <v>2</v>
      </c>
      <c r="C10">
        <v>8</v>
      </c>
      <c r="D10" t="s">
        <v>101</v>
      </c>
      <c r="E10">
        <v>3</v>
      </c>
      <c r="F10">
        <v>1</v>
      </c>
      <c r="G10">
        <v>0</v>
      </c>
    </row>
    <row r="11" spans="1:7" x14ac:dyDescent="0.25">
      <c r="A11" t="s">
        <v>129</v>
      </c>
      <c r="B11">
        <v>2</v>
      </c>
      <c r="C11">
        <v>30</v>
      </c>
      <c r="D11" t="s">
        <v>99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99</v>
      </c>
      <c r="F12">
        <v>1</v>
      </c>
      <c r="G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110</v>
      </c>
    </row>
    <row r="2" spans="1:5" x14ac:dyDescent="0.25">
      <c r="C2" s="22" t="s">
        <v>103</v>
      </c>
      <c r="D2" s="22"/>
    </row>
    <row r="3" spans="1:5" s="1" customFormat="1" x14ac:dyDescent="0.25">
      <c r="A3" s="1" t="s">
        <v>108</v>
      </c>
      <c r="B3" s="1" t="s">
        <v>67</v>
      </c>
      <c r="C3" s="1">
        <v>1</v>
      </c>
      <c r="D3" s="1">
        <v>2</v>
      </c>
      <c r="E3" s="1" t="s">
        <v>111</v>
      </c>
    </row>
    <row r="4" spans="1:5" x14ac:dyDescent="0.25">
      <c r="A4" t="s">
        <v>102</v>
      </c>
      <c r="B4">
        <v>100</v>
      </c>
      <c r="C4" t="s">
        <v>104</v>
      </c>
      <c r="D4" t="s">
        <v>114</v>
      </c>
      <c r="E4" t="s">
        <v>121</v>
      </c>
    </row>
    <row r="5" spans="1:5" x14ac:dyDescent="0.25">
      <c r="A5" t="s">
        <v>105</v>
      </c>
      <c r="B5">
        <v>100</v>
      </c>
      <c r="C5" t="s">
        <v>107</v>
      </c>
      <c r="D5" t="s">
        <v>106</v>
      </c>
      <c r="E5" t="s">
        <v>113</v>
      </c>
    </row>
    <row r="6" spans="1:5" x14ac:dyDescent="0.25">
      <c r="A6" t="s">
        <v>115</v>
      </c>
      <c r="B6">
        <v>100</v>
      </c>
      <c r="C6" t="s">
        <v>116</v>
      </c>
      <c r="E6" t="s">
        <v>117</v>
      </c>
    </row>
  </sheetData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108</v>
      </c>
      <c r="B3" s="1" t="s">
        <v>66</v>
      </c>
      <c r="C3" s="1" t="s">
        <v>111</v>
      </c>
    </row>
    <row r="4" spans="1:3" x14ac:dyDescent="0.25">
      <c r="A4" t="s">
        <v>109</v>
      </c>
      <c r="B4" t="s">
        <v>112</v>
      </c>
      <c r="C4" t="s">
        <v>122</v>
      </c>
    </row>
    <row r="5" spans="1:3" x14ac:dyDescent="0.25">
      <c r="A5" t="s">
        <v>118</v>
      </c>
      <c r="C5" t="s">
        <v>123</v>
      </c>
    </row>
    <row r="6" spans="1:3" x14ac:dyDescent="0.25">
      <c r="A6" t="s">
        <v>119</v>
      </c>
      <c r="C6" t="s">
        <v>124</v>
      </c>
    </row>
    <row r="7" spans="1:3" x14ac:dyDescent="0.25">
      <c r="A7" t="s">
        <v>120</v>
      </c>
      <c r="C7" t="s">
        <v>125</v>
      </c>
    </row>
    <row r="8" spans="1:3" x14ac:dyDescent="0.25">
      <c r="A8" t="s">
        <v>126</v>
      </c>
      <c r="C8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66</v>
      </c>
      <c r="B3" s="1" t="s">
        <v>67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128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132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5F29-6E10-4830-A171-787A5F0E29D4}">
  <dimension ref="A1:AA30"/>
  <sheetViews>
    <sheetView workbookViewId="0">
      <selection activeCell="I29" sqref="I29:P29"/>
    </sheetView>
  </sheetViews>
  <sheetFormatPr defaultRowHeight="15" x14ac:dyDescent="0.25"/>
  <sheetData>
    <row r="1" spans="1:27" x14ac:dyDescent="0.25">
      <c r="A1" t="s">
        <v>0</v>
      </c>
      <c r="D1">
        <v>5</v>
      </c>
      <c r="E1">
        <v>2</v>
      </c>
    </row>
    <row r="2" spans="1:27" x14ac:dyDescent="0.25">
      <c r="E2" s="19" t="s">
        <v>35</v>
      </c>
      <c r="F2" s="19"/>
      <c r="G2" s="19"/>
      <c r="H2" s="19"/>
      <c r="I2" s="19" t="s">
        <v>8</v>
      </c>
      <c r="J2" s="19"/>
      <c r="K2" s="19"/>
      <c r="L2" s="19"/>
      <c r="M2" s="19"/>
      <c r="N2" s="19" t="s">
        <v>44</v>
      </c>
      <c r="O2" s="19"/>
      <c r="P2" s="19"/>
      <c r="Q2" s="19"/>
      <c r="R2" s="19"/>
      <c r="S2" s="19"/>
    </row>
    <row r="3" spans="1:27" s="1" customFormat="1" x14ac:dyDescent="0.25">
      <c r="A3" s="1" t="s">
        <v>47</v>
      </c>
      <c r="B3" s="1" t="s">
        <v>1</v>
      </c>
      <c r="C3" s="1" t="s">
        <v>46</v>
      </c>
      <c r="D3" s="1" t="s">
        <v>2</v>
      </c>
      <c r="E3" s="1" t="s">
        <v>3</v>
      </c>
      <c r="G3" s="1" t="s">
        <v>4</v>
      </c>
      <c r="H3" s="1" t="s">
        <v>36</v>
      </c>
      <c r="I3" s="1" t="s">
        <v>48</v>
      </c>
      <c r="J3" s="1" t="s">
        <v>5</v>
      </c>
      <c r="K3" s="1" t="s">
        <v>6</v>
      </c>
      <c r="L3" s="1" t="s">
        <v>50</v>
      </c>
      <c r="M3" s="1" t="s">
        <v>7</v>
      </c>
      <c r="N3" s="1" t="s">
        <v>9</v>
      </c>
      <c r="O3" s="1" t="s">
        <v>10</v>
      </c>
      <c r="P3" s="1" t="s">
        <v>13</v>
      </c>
      <c r="Q3" s="1" t="s">
        <v>14</v>
      </c>
      <c r="R3" s="1" t="s">
        <v>11</v>
      </c>
      <c r="S3" s="1" t="s">
        <v>12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</row>
    <row r="4" spans="1:27" x14ac:dyDescent="0.25">
      <c r="A4" t="s">
        <v>45</v>
      </c>
      <c r="B4" t="s">
        <v>23</v>
      </c>
      <c r="C4">
        <v>16</v>
      </c>
      <c r="D4">
        <v>2400</v>
      </c>
      <c r="G4">
        <v>20</v>
      </c>
      <c r="I4" t="s">
        <v>49</v>
      </c>
      <c r="J4">
        <v>50</v>
      </c>
      <c r="K4">
        <v>75</v>
      </c>
      <c r="L4">
        <v>40</v>
      </c>
      <c r="M4">
        <v>80</v>
      </c>
      <c r="N4">
        <v>20</v>
      </c>
      <c r="O4">
        <v>160</v>
      </c>
      <c r="Z4" t="s">
        <v>40</v>
      </c>
    </row>
    <row r="5" spans="1:27" x14ac:dyDescent="0.25">
      <c r="A5" t="s">
        <v>51</v>
      </c>
      <c r="B5" t="s">
        <v>26</v>
      </c>
      <c r="C5">
        <v>20</v>
      </c>
      <c r="D5">
        <v>1000</v>
      </c>
      <c r="G5">
        <v>10</v>
      </c>
      <c r="I5" t="s">
        <v>52</v>
      </c>
      <c r="J5">
        <v>20</v>
      </c>
      <c r="K5">
        <v>40</v>
      </c>
      <c r="L5">
        <v>10</v>
      </c>
      <c r="M5">
        <v>10</v>
      </c>
      <c r="N5">
        <v>20</v>
      </c>
      <c r="O5">
        <v>20</v>
      </c>
    </row>
    <row r="8" spans="1:27" x14ac:dyDescent="0.25">
      <c r="A8" t="s">
        <v>45</v>
      </c>
      <c r="B8" t="s">
        <v>23</v>
      </c>
      <c r="C8">
        <v>16</v>
      </c>
      <c r="D8">
        <v>2400</v>
      </c>
      <c r="G8">
        <v>20</v>
      </c>
      <c r="I8" t="s">
        <v>49</v>
      </c>
      <c r="J8">
        <v>50</v>
      </c>
      <c r="K8">
        <v>75</v>
      </c>
      <c r="L8">
        <v>40</v>
      </c>
      <c r="M8">
        <v>80</v>
      </c>
      <c r="N8">
        <v>20</v>
      </c>
      <c r="O8">
        <v>170</v>
      </c>
      <c r="P8">
        <f>J8*$D$1+K8*$E$1+M8*$E$1+N8*$D$1+O8*$E$1</f>
        <v>1000</v>
      </c>
    </row>
    <row r="9" spans="1:27" x14ac:dyDescent="0.25">
      <c r="A9" t="s">
        <v>51</v>
      </c>
      <c r="B9" t="s">
        <v>26</v>
      </c>
      <c r="C9">
        <v>20</v>
      </c>
      <c r="D9">
        <v>1000</v>
      </c>
      <c r="G9">
        <v>30</v>
      </c>
      <c r="I9" t="s">
        <v>52</v>
      </c>
      <c r="J9">
        <v>45</v>
      </c>
      <c r="K9">
        <v>20</v>
      </c>
      <c r="L9">
        <v>10</v>
      </c>
      <c r="M9">
        <v>20</v>
      </c>
      <c r="N9">
        <v>21</v>
      </c>
      <c r="O9">
        <v>45</v>
      </c>
      <c r="P9">
        <f>J9*$D$1+K9*$E$1+M9*$E$1+N9*$D$1+O9*$E$1</f>
        <v>500</v>
      </c>
    </row>
    <row r="12" spans="1:27" x14ac:dyDescent="0.25">
      <c r="J12">
        <v>7</v>
      </c>
      <c r="K12">
        <v>5</v>
      </c>
      <c r="L12">
        <v>2</v>
      </c>
      <c r="M12">
        <v>1</v>
      </c>
      <c r="N12">
        <v>5</v>
      </c>
      <c r="O12">
        <v>3</v>
      </c>
    </row>
    <row r="13" spans="1:27" x14ac:dyDescent="0.25">
      <c r="A13" t="s">
        <v>45</v>
      </c>
      <c r="B13" t="s">
        <v>23</v>
      </c>
      <c r="C13">
        <v>16</v>
      </c>
      <c r="D13">
        <v>240</v>
      </c>
      <c r="G13">
        <v>20</v>
      </c>
      <c r="I13" t="s">
        <v>49</v>
      </c>
      <c r="J13">
        <v>30</v>
      </c>
      <c r="K13">
        <v>70</v>
      </c>
      <c r="L13">
        <v>40</v>
      </c>
      <c r="M13">
        <v>79</v>
      </c>
      <c r="N13">
        <v>10</v>
      </c>
      <c r="O13">
        <v>77</v>
      </c>
      <c r="P13">
        <f>J13*$J$12+K13*$K$12+L13*$L$12+M13*$M$12+N13*$N$12+O13*$O$12</f>
        <v>1000</v>
      </c>
    </row>
    <row r="14" spans="1:27" x14ac:dyDescent="0.25">
      <c r="A14" t="s">
        <v>51</v>
      </c>
      <c r="B14" t="s">
        <v>26</v>
      </c>
      <c r="C14">
        <v>20</v>
      </c>
      <c r="D14">
        <v>100</v>
      </c>
      <c r="G14">
        <v>30</v>
      </c>
      <c r="I14" t="s">
        <v>52</v>
      </c>
      <c r="J14">
        <v>45</v>
      </c>
      <c r="K14">
        <v>20</v>
      </c>
      <c r="L14">
        <v>10</v>
      </c>
      <c r="M14">
        <v>20</v>
      </c>
      <c r="N14">
        <v>22</v>
      </c>
      <c r="O14">
        <v>45</v>
      </c>
      <c r="P14">
        <f>J14*$J$12+K14*$K$12+L14*$L$12+M14*$M$12+N14*$N$12+O14*$O$12</f>
        <v>700</v>
      </c>
    </row>
    <row r="17" spans="1:16" x14ac:dyDescent="0.25">
      <c r="J17">
        <v>20</v>
      </c>
      <c r="K17">
        <v>8</v>
      </c>
      <c r="M17">
        <v>2</v>
      </c>
      <c r="N17">
        <v>15</v>
      </c>
      <c r="O17">
        <v>4</v>
      </c>
    </row>
    <row r="18" spans="1:16" x14ac:dyDescent="0.25">
      <c r="A18" t="s">
        <v>45</v>
      </c>
      <c r="B18" t="s">
        <v>23</v>
      </c>
      <c r="C18">
        <v>16</v>
      </c>
      <c r="D18">
        <v>240</v>
      </c>
      <c r="G18">
        <v>20</v>
      </c>
      <c r="I18" t="s">
        <v>49</v>
      </c>
      <c r="J18">
        <v>20</v>
      </c>
      <c r="K18">
        <v>51</v>
      </c>
      <c r="L18">
        <v>40</v>
      </c>
      <c r="M18">
        <v>80</v>
      </c>
      <c r="N18">
        <v>15</v>
      </c>
      <c r="O18">
        <v>77</v>
      </c>
      <c r="P18">
        <f>J18*$J$17+K18*$K$17+M18*$M$17+N18*$N$17+O18*$O$17</f>
        <v>1501</v>
      </c>
    </row>
    <row r="19" spans="1:16" x14ac:dyDescent="0.25">
      <c r="A19" t="s">
        <v>51</v>
      </c>
      <c r="B19" t="s">
        <v>26</v>
      </c>
      <c r="C19">
        <v>20</v>
      </c>
      <c r="D19">
        <v>100</v>
      </c>
      <c r="G19">
        <v>30</v>
      </c>
      <c r="I19" t="s">
        <v>52</v>
      </c>
      <c r="J19">
        <v>22</v>
      </c>
      <c r="K19">
        <v>20</v>
      </c>
      <c r="L19">
        <v>10</v>
      </c>
      <c r="M19">
        <v>25</v>
      </c>
      <c r="N19">
        <v>21</v>
      </c>
      <c r="O19">
        <v>34</v>
      </c>
      <c r="P19">
        <f>J19*$J$17+K19*$K$17+M19*$M$17+N19*$N$17+O19*$O$17</f>
        <v>1101</v>
      </c>
    </row>
    <row r="22" spans="1:16" x14ac:dyDescent="0.25">
      <c r="J22">
        <v>22</v>
      </c>
      <c r="K22">
        <v>9</v>
      </c>
      <c r="M22">
        <v>5</v>
      </c>
      <c r="N22">
        <v>18</v>
      </c>
      <c r="O22">
        <v>8</v>
      </c>
    </row>
    <row r="23" spans="1:16" x14ac:dyDescent="0.25">
      <c r="A23" t="s">
        <v>45</v>
      </c>
      <c r="B23" t="s">
        <v>23</v>
      </c>
      <c r="C23">
        <v>16</v>
      </c>
      <c r="D23">
        <v>240</v>
      </c>
      <c r="G23">
        <v>20</v>
      </c>
      <c r="I23" t="s">
        <v>49</v>
      </c>
      <c r="J23">
        <v>20</v>
      </c>
      <c r="K23">
        <v>51</v>
      </c>
      <c r="L23">
        <v>40</v>
      </c>
      <c r="M23">
        <v>77</v>
      </c>
      <c r="N23">
        <v>12</v>
      </c>
      <c r="O23">
        <v>50</v>
      </c>
      <c r="P23">
        <f>J23*$J$22+K23*$K$22+M23*$M$22+N23*$N$22+O23*$O$22</f>
        <v>1900</v>
      </c>
    </row>
    <row r="24" spans="1:16" x14ac:dyDescent="0.25">
      <c r="A24" t="s">
        <v>51</v>
      </c>
      <c r="B24" t="s">
        <v>26</v>
      </c>
      <c r="C24">
        <v>20</v>
      </c>
      <c r="D24">
        <v>100</v>
      </c>
      <c r="G24">
        <v>30</v>
      </c>
      <c r="I24" t="s">
        <v>52</v>
      </c>
      <c r="J24">
        <v>22</v>
      </c>
      <c r="K24">
        <v>27</v>
      </c>
      <c r="L24">
        <v>10</v>
      </c>
      <c r="M24">
        <v>25</v>
      </c>
      <c r="N24">
        <v>21</v>
      </c>
      <c r="O24">
        <v>34</v>
      </c>
      <c r="P24">
        <f>J24*$J$22+K24*$K$22+M24*$M$22+N24*$N$22+O24*$O$22</f>
        <v>1502</v>
      </c>
    </row>
    <row r="28" spans="1:16" x14ac:dyDescent="0.25">
      <c r="J28">
        <v>22</v>
      </c>
      <c r="K28">
        <v>9</v>
      </c>
      <c r="M28">
        <v>5</v>
      </c>
      <c r="N28">
        <v>18</v>
      </c>
      <c r="O28">
        <v>8</v>
      </c>
    </row>
    <row r="29" spans="1:16" x14ac:dyDescent="0.25">
      <c r="A29" t="s">
        <v>68</v>
      </c>
      <c r="B29" t="s">
        <v>23</v>
      </c>
      <c r="C29">
        <v>17</v>
      </c>
      <c r="D29">
        <v>255</v>
      </c>
      <c r="G29">
        <v>20</v>
      </c>
      <c r="I29" t="s">
        <v>69</v>
      </c>
      <c r="J29">
        <v>15</v>
      </c>
      <c r="K29">
        <v>27</v>
      </c>
      <c r="L29">
        <v>12</v>
      </c>
      <c r="M29">
        <v>15</v>
      </c>
      <c r="N29">
        <v>12</v>
      </c>
      <c r="O29">
        <v>17</v>
      </c>
      <c r="P29">
        <f>J29*$J$28+K29*$K$28+M29*$M$28+N29*$N$28+O29*$O$28</f>
        <v>1000</v>
      </c>
    </row>
    <row r="30" spans="1:16" x14ac:dyDescent="0.25">
      <c r="A30" t="s">
        <v>51</v>
      </c>
      <c r="B30" t="s">
        <v>26</v>
      </c>
      <c r="C30">
        <v>20</v>
      </c>
      <c r="D30">
        <v>100</v>
      </c>
      <c r="G30">
        <v>30</v>
      </c>
      <c r="I30" t="s">
        <v>52</v>
      </c>
      <c r="J30">
        <v>13</v>
      </c>
      <c r="K30">
        <v>16</v>
      </c>
      <c r="L30">
        <v>10</v>
      </c>
      <c r="M30">
        <v>16</v>
      </c>
      <c r="N30">
        <v>17</v>
      </c>
      <c r="O30">
        <v>23</v>
      </c>
      <c r="P30">
        <f>J30*$J$22+K30*$K$22+M30*$M$22+N30*$N$22+O30*$O$22</f>
        <v>1000</v>
      </c>
    </row>
  </sheetData>
  <mergeCells count="3">
    <mergeCell ref="E2:H2"/>
    <mergeCell ref="N2:S2"/>
    <mergeCell ref="I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258C-90F0-4480-8728-E8C8535487DE}">
  <dimension ref="A1:X332"/>
  <sheetViews>
    <sheetView topLeftCell="A287" workbookViewId="0">
      <selection activeCell="N304" sqref="N304"/>
    </sheetView>
  </sheetViews>
  <sheetFormatPr defaultRowHeight="15" x14ac:dyDescent="0.25"/>
  <sheetData>
    <row r="1" spans="1:5" x14ac:dyDescent="0.25">
      <c r="A1" t="s">
        <v>45</v>
      </c>
      <c r="D1" t="s">
        <v>26</v>
      </c>
    </row>
    <row r="2" spans="1:5" x14ac:dyDescent="0.25">
      <c r="A2" s="16">
        <f>2400</f>
        <v>2400</v>
      </c>
      <c r="B2" s="16"/>
      <c r="D2" s="16">
        <f>1000</f>
        <v>1000</v>
      </c>
      <c r="E2" s="16"/>
    </row>
    <row r="3" spans="1:5" x14ac:dyDescent="0.25">
      <c r="A3">
        <v>0</v>
      </c>
      <c r="B3">
        <f>A3</f>
        <v>0</v>
      </c>
      <c r="D3">
        <v>170.9</v>
      </c>
      <c r="E3">
        <f>D3</f>
        <v>170.9</v>
      </c>
    </row>
    <row r="4" spans="1:5" x14ac:dyDescent="0.25">
      <c r="A4">
        <v>0</v>
      </c>
      <c r="B4">
        <f>B3+A4</f>
        <v>0</v>
      </c>
    </row>
    <row r="5" spans="1:5" x14ac:dyDescent="0.25">
      <c r="A5">
        <v>10</v>
      </c>
      <c r="B5">
        <f>A5</f>
        <v>10</v>
      </c>
      <c r="D5">
        <v>45.5</v>
      </c>
      <c r="E5">
        <f>D5+E3</f>
        <v>216.4</v>
      </c>
    </row>
    <row r="6" spans="1:5" x14ac:dyDescent="0.25">
      <c r="A6">
        <v>0</v>
      </c>
      <c r="B6">
        <f t="shared" ref="B6:B17" si="0">B5+A6</f>
        <v>10</v>
      </c>
    </row>
    <row r="7" spans="1:5" x14ac:dyDescent="0.25">
      <c r="A7">
        <v>0</v>
      </c>
      <c r="B7">
        <f t="shared" si="0"/>
        <v>10</v>
      </c>
      <c r="D7">
        <v>78.2</v>
      </c>
      <c r="E7">
        <f>D7+E5</f>
        <v>294.60000000000002</v>
      </c>
    </row>
    <row r="8" spans="1:5" x14ac:dyDescent="0.25">
      <c r="A8">
        <v>0</v>
      </c>
      <c r="B8">
        <f t="shared" si="0"/>
        <v>10</v>
      </c>
    </row>
    <row r="9" spans="1:5" x14ac:dyDescent="0.25">
      <c r="A9">
        <v>0</v>
      </c>
      <c r="B9">
        <f t="shared" si="0"/>
        <v>10</v>
      </c>
      <c r="D9">
        <v>79.099999999999994</v>
      </c>
      <c r="E9">
        <f>D9+E7</f>
        <v>373.70000000000005</v>
      </c>
    </row>
    <row r="10" spans="1:5" x14ac:dyDescent="0.25">
      <c r="A10">
        <v>0</v>
      </c>
      <c r="B10">
        <f t="shared" si="0"/>
        <v>10</v>
      </c>
    </row>
    <row r="11" spans="1:5" x14ac:dyDescent="0.25">
      <c r="A11">
        <v>0</v>
      </c>
      <c r="B11">
        <f t="shared" si="0"/>
        <v>10</v>
      </c>
      <c r="D11">
        <v>185.5</v>
      </c>
      <c r="E11">
        <f>D11+E9</f>
        <v>559.20000000000005</v>
      </c>
    </row>
    <row r="12" spans="1:5" x14ac:dyDescent="0.25">
      <c r="A12">
        <v>0</v>
      </c>
      <c r="B12">
        <f t="shared" si="0"/>
        <v>10</v>
      </c>
    </row>
    <row r="13" spans="1:5" x14ac:dyDescent="0.25">
      <c r="A13">
        <v>0</v>
      </c>
      <c r="B13">
        <f t="shared" si="0"/>
        <v>10</v>
      </c>
      <c r="D13">
        <v>218.2</v>
      </c>
      <c r="E13">
        <f>D13+E11</f>
        <v>777.40000000000009</v>
      </c>
    </row>
    <row r="14" spans="1:5" x14ac:dyDescent="0.25">
      <c r="A14">
        <v>0</v>
      </c>
      <c r="B14">
        <f t="shared" si="0"/>
        <v>10</v>
      </c>
    </row>
    <row r="15" spans="1:5" x14ac:dyDescent="0.25">
      <c r="A15">
        <v>10</v>
      </c>
      <c r="B15">
        <f t="shared" si="0"/>
        <v>20</v>
      </c>
      <c r="D15">
        <v>172.7</v>
      </c>
      <c r="E15">
        <f>D15+E13</f>
        <v>950.10000000000014</v>
      </c>
    </row>
    <row r="16" spans="1:5" x14ac:dyDescent="0.25">
      <c r="A16">
        <v>0</v>
      </c>
      <c r="B16">
        <f t="shared" si="0"/>
        <v>20</v>
      </c>
    </row>
    <row r="17" spans="1:5" x14ac:dyDescent="0.25">
      <c r="A17">
        <v>0</v>
      </c>
      <c r="B17">
        <f t="shared" si="0"/>
        <v>20</v>
      </c>
      <c r="D17">
        <v>149.1</v>
      </c>
      <c r="E17">
        <f>D17+E15</f>
        <v>1099.2</v>
      </c>
    </row>
    <row r="23" spans="1:5" x14ac:dyDescent="0.25">
      <c r="A23" t="s">
        <v>45</v>
      </c>
      <c r="D23" t="s">
        <v>26</v>
      </c>
    </row>
    <row r="24" spans="1:5" x14ac:dyDescent="0.25">
      <c r="A24" s="16">
        <f>2400</f>
        <v>2400</v>
      </c>
      <c r="B24" s="16"/>
      <c r="D24" s="16">
        <f>1000</f>
        <v>1000</v>
      </c>
      <c r="E24" s="16"/>
    </row>
    <row r="25" spans="1:5" x14ac:dyDescent="0.25">
      <c r="A25">
        <v>0</v>
      </c>
      <c r="B25">
        <f>A25</f>
        <v>0</v>
      </c>
      <c r="D25">
        <v>45.5</v>
      </c>
      <c r="E25">
        <f>D25</f>
        <v>45.5</v>
      </c>
    </row>
    <row r="26" spans="1:5" x14ac:dyDescent="0.25">
      <c r="A26">
        <v>0</v>
      </c>
      <c r="B26">
        <f>B25+A26</f>
        <v>0</v>
      </c>
      <c r="D26">
        <v>0</v>
      </c>
      <c r="E26">
        <f t="shared" ref="E26:E51" si="1">D26+E25</f>
        <v>45.5</v>
      </c>
    </row>
    <row r="27" spans="1:5" x14ac:dyDescent="0.25">
      <c r="A27">
        <v>0</v>
      </c>
      <c r="B27">
        <f>A27</f>
        <v>0</v>
      </c>
      <c r="D27">
        <v>0</v>
      </c>
      <c r="E27">
        <f t="shared" si="1"/>
        <v>45.5</v>
      </c>
    </row>
    <row r="28" spans="1:5" x14ac:dyDescent="0.25">
      <c r="A28">
        <v>0</v>
      </c>
      <c r="B28">
        <f t="shared" ref="B28:B51" si="2">B27+A28</f>
        <v>0</v>
      </c>
      <c r="D28">
        <v>0</v>
      </c>
      <c r="E28">
        <f t="shared" si="1"/>
        <v>45.5</v>
      </c>
    </row>
    <row r="29" spans="1:5" x14ac:dyDescent="0.25">
      <c r="A29">
        <v>0</v>
      </c>
      <c r="B29">
        <f t="shared" si="2"/>
        <v>0</v>
      </c>
      <c r="D29">
        <v>0</v>
      </c>
      <c r="E29">
        <f t="shared" si="1"/>
        <v>45.5</v>
      </c>
    </row>
    <row r="30" spans="1:5" x14ac:dyDescent="0.25">
      <c r="B30">
        <f t="shared" si="2"/>
        <v>0</v>
      </c>
      <c r="D30">
        <v>0</v>
      </c>
      <c r="E30">
        <f t="shared" si="1"/>
        <v>45.5</v>
      </c>
    </row>
    <row r="31" spans="1:5" x14ac:dyDescent="0.25">
      <c r="B31">
        <f t="shared" si="2"/>
        <v>0</v>
      </c>
      <c r="D31">
        <v>0</v>
      </c>
      <c r="E31">
        <f t="shared" si="1"/>
        <v>45.5</v>
      </c>
    </row>
    <row r="32" spans="1:5" x14ac:dyDescent="0.25">
      <c r="B32">
        <f t="shared" si="2"/>
        <v>0</v>
      </c>
      <c r="D32">
        <v>0</v>
      </c>
      <c r="E32">
        <f t="shared" si="1"/>
        <v>45.5</v>
      </c>
    </row>
    <row r="33" spans="2:5" x14ac:dyDescent="0.25">
      <c r="B33">
        <f t="shared" si="2"/>
        <v>0</v>
      </c>
      <c r="D33">
        <v>0</v>
      </c>
      <c r="E33">
        <f t="shared" si="1"/>
        <v>45.5</v>
      </c>
    </row>
    <row r="34" spans="2:5" x14ac:dyDescent="0.25">
      <c r="B34">
        <f t="shared" si="2"/>
        <v>0</v>
      </c>
      <c r="D34">
        <v>0</v>
      </c>
      <c r="E34">
        <f t="shared" si="1"/>
        <v>45.5</v>
      </c>
    </row>
    <row r="35" spans="2:5" x14ac:dyDescent="0.25">
      <c r="B35">
        <f t="shared" si="2"/>
        <v>0</v>
      </c>
      <c r="D35">
        <v>86.4</v>
      </c>
      <c r="E35">
        <f t="shared" si="1"/>
        <v>131.9</v>
      </c>
    </row>
    <row r="36" spans="2:5" x14ac:dyDescent="0.25">
      <c r="B36">
        <f t="shared" si="2"/>
        <v>0</v>
      </c>
      <c r="D36">
        <v>0</v>
      </c>
      <c r="E36">
        <f t="shared" si="1"/>
        <v>131.9</v>
      </c>
    </row>
    <row r="37" spans="2:5" x14ac:dyDescent="0.25">
      <c r="B37">
        <f t="shared" si="2"/>
        <v>0</v>
      </c>
      <c r="D37">
        <v>0</v>
      </c>
      <c r="E37">
        <f t="shared" si="1"/>
        <v>131.9</v>
      </c>
    </row>
    <row r="38" spans="2:5" x14ac:dyDescent="0.25">
      <c r="B38">
        <f t="shared" si="2"/>
        <v>0</v>
      </c>
      <c r="D38">
        <v>38.200000000000003</v>
      </c>
      <c r="E38">
        <f t="shared" si="1"/>
        <v>170.10000000000002</v>
      </c>
    </row>
    <row r="39" spans="2:5" x14ac:dyDescent="0.25">
      <c r="B39">
        <f t="shared" si="2"/>
        <v>0</v>
      </c>
      <c r="D39">
        <v>0</v>
      </c>
      <c r="E39">
        <f t="shared" si="1"/>
        <v>170.10000000000002</v>
      </c>
    </row>
    <row r="40" spans="2:5" x14ac:dyDescent="0.25">
      <c r="B40">
        <f t="shared" si="2"/>
        <v>0</v>
      </c>
      <c r="D40">
        <v>0</v>
      </c>
      <c r="E40">
        <f t="shared" si="1"/>
        <v>170.10000000000002</v>
      </c>
    </row>
    <row r="41" spans="2:5" x14ac:dyDescent="0.25">
      <c r="B41">
        <f t="shared" si="2"/>
        <v>0</v>
      </c>
      <c r="D41">
        <v>0</v>
      </c>
      <c r="E41">
        <f t="shared" si="1"/>
        <v>170.10000000000002</v>
      </c>
    </row>
    <row r="42" spans="2:5" x14ac:dyDescent="0.25">
      <c r="B42">
        <f t="shared" si="2"/>
        <v>0</v>
      </c>
      <c r="D42">
        <v>0</v>
      </c>
      <c r="E42">
        <f t="shared" si="1"/>
        <v>170.10000000000002</v>
      </c>
    </row>
    <row r="43" spans="2:5" x14ac:dyDescent="0.25">
      <c r="B43">
        <f t="shared" si="2"/>
        <v>0</v>
      </c>
      <c r="D43">
        <v>0</v>
      </c>
      <c r="E43">
        <f t="shared" si="1"/>
        <v>170.10000000000002</v>
      </c>
    </row>
    <row r="44" spans="2:5" x14ac:dyDescent="0.25">
      <c r="B44">
        <f t="shared" si="2"/>
        <v>0</v>
      </c>
      <c r="D44">
        <v>0</v>
      </c>
      <c r="E44">
        <f t="shared" si="1"/>
        <v>170.10000000000002</v>
      </c>
    </row>
    <row r="45" spans="2:5" x14ac:dyDescent="0.25">
      <c r="B45">
        <f t="shared" si="2"/>
        <v>0</v>
      </c>
      <c r="D45">
        <v>0</v>
      </c>
      <c r="E45">
        <f t="shared" si="1"/>
        <v>170.10000000000002</v>
      </c>
    </row>
    <row r="46" spans="2:5" x14ac:dyDescent="0.25">
      <c r="B46">
        <f t="shared" si="2"/>
        <v>0</v>
      </c>
      <c r="D46">
        <v>0</v>
      </c>
      <c r="E46">
        <f t="shared" si="1"/>
        <v>170.10000000000002</v>
      </c>
    </row>
    <row r="47" spans="2:5" x14ac:dyDescent="0.25">
      <c r="B47">
        <f t="shared" si="2"/>
        <v>0</v>
      </c>
      <c r="D47">
        <v>0</v>
      </c>
      <c r="E47">
        <f t="shared" si="1"/>
        <v>170.10000000000002</v>
      </c>
    </row>
    <row r="48" spans="2:5" x14ac:dyDescent="0.25">
      <c r="B48">
        <f t="shared" si="2"/>
        <v>0</v>
      </c>
      <c r="D48">
        <v>0</v>
      </c>
      <c r="E48">
        <f t="shared" si="1"/>
        <v>170.10000000000002</v>
      </c>
    </row>
    <row r="49" spans="1:5" x14ac:dyDescent="0.25">
      <c r="B49">
        <f t="shared" si="2"/>
        <v>0</v>
      </c>
      <c r="E49">
        <f t="shared" si="1"/>
        <v>170.10000000000002</v>
      </c>
    </row>
    <row r="50" spans="1:5" x14ac:dyDescent="0.25">
      <c r="B50">
        <f t="shared" si="2"/>
        <v>0</v>
      </c>
      <c r="E50">
        <f t="shared" si="1"/>
        <v>170.10000000000002</v>
      </c>
    </row>
    <row r="51" spans="1:5" x14ac:dyDescent="0.25">
      <c r="B51">
        <f t="shared" si="2"/>
        <v>0</v>
      </c>
      <c r="E51">
        <f t="shared" si="1"/>
        <v>170.10000000000002</v>
      </c>
    </row>
    <row r="55" spans="1:5" x14ac:dyDescent="0.25">
      <c r="A55" t="s">
        <v>45</v>
      </c>
      <c r="D55" t="s">
        <v>26</v>
      </c>
    </row>
    <row r="56" spans="1:5" x14ac:dyDescent="0.25">
      <c r="A56" s="16">
        <f>2400</f>
        <v>2400</v>
      </c>
      <c r="B56" s="16"/>
      <c r="D56" s="16">
        <f>1000</f>
        <v>1000</v>
      </c>
      <c r="E56" s="16"/>
    </row>
    <row r="57" spans="1:5" x14ac:dyDescent="0.25">
      <c r="A57">
        <v>25</v>
      </c>
      <c r="B57">
        <f>A57</f>
        <v>25</v>
      </c>
      <c r="D57">
        <v>60.8</v>
      </c>
      <c r="E57">
        <f>D57</f>
        <v>60.8</v>
      </c>
    </row>
    <row r="58" spans="1:5" x14ac:dyDescent="0.25">
      <c r="A58">
        <v>25</v>
      </c>
      <c r="B58">
        <f t="shared" ref="B58:B73" si="3">B57+A58</f>
        <v>50</v>
      </c>
      <c r="D58">
        <v>0</v>
      </c>
      <c r="E58">
        <f t="shared" ref="E58:E73" si="4">D58+E57</f>
        <v>60.8</v>
      </c>
    </row>
    <row r="59" spans="1:5" x14ac:dyDescent="0.25">
      <c r="A59">
        <v>0</v>
      </c>
      <c r="B59">
        <f t="shared" si="3"/>
        <v>50</v>
      </c>
      <c r="D59">
        <v>161.5</v>
      </c>
      <c r="E59">
        <f t="shared" si="4"/>
        <v>222.3</v>
      </c>
    </row>
    <row r="60" spans="1:5" x14ac:dyDescent="0.25">
      <c r="A60">
        <v>10.8</v>
      </c>
      <c r="B60">
        <f t="shared" si="3"/>
        <v>60.8</v>
      </c>
      <c r="D60">
        <v>0</v>
      </c>
      <c r="E60">
        <f t="shared" si="4"/>
        <v>222.3</v>
      </c>
    </row>
    <row r="61" spans="1:5" x14ac:dyDescent="0.25">
      <c r="A61">
        <v>19.2</v>
      </c>
      <c r="B61">
        <f t="shared" si="3"/>
        <v>80</v>
      </c>
      <c r="D61">
        <v>141.5</v>
      </c>
      <c r="E61">
        <f t="shared" si="4"/>
        <v>363.8</v>
      </c>
    </row>
    <row r="62" spans="1:5" x14ac:dyDescent="0.25">
      <c r="A62">
        <v>15.8</v>
      </c>
      <c r="B62">
        <f t="shared" si="3"/>
        <v>95.8</v>
      </c>
      <c r="D62">
        <v>0</v>
      </c>
      <c r="E62">
        <f t="shared" si="4"/>
        <v>363.8</v>
      </c>
    </row>
    <row r="63" spans="1:5" x14ac:dyDescent="0.25">
      <c r="A63">
        <v>20</v>
      </c>
      <c r="B63">
        <f t="shared" si="3"/>
        <v>115.8</v>
      </c>
      <c r="D63">
        <v>140</v>
      </c>
      <c r="E63" s="14">
        <f t="shared" si="4"/>
        <v>503.8</v>
      </c>
    </row>
    <row r="64" spans="1:5" x14ac:dyDescent="0.25">
      <c r="A64">
        <v>23.3</v>
      </c>
      <c r="B64">
        <f t="shared" si="3"/>
        <v>139.1</v>
      </c>
      <c r="D64">
        <v>0</v>
      </c>
      <c r="E64">
        <f t="shared" si="4"/>
        <v>503.8</v>
      </c>
    </row>
    <row r="65" spans="1:5" x14ac:dyDescent="0.25">
      <c r="A65">
        <v>15.8</v>
      </c>
      <c r="B65">
        <f t="shared" si="3"/>
        <v>154.9</v>
      </c>
      <c r="D65">
        <v>0</v>
      </c>
      <c r="E65">
        <f t="shared" si="4"/>
        <v>503.8</v>
      </c>
    </row>
    <row r="66" spans="1:5" x14ac:dyDescent="0.25">
      <c r="A66">
        <v>9.1999999999999993</v>
      </c>
      <c r="B66">
        <f t="shared" si="3"/>
        <v>164.1</v>
      </c>
      <c r="D66">
        <v>0</v>
      </c>
      <c r="E66">
        <f t="shared" si="4"/>
        <v>503.8</v>
      </c>
    </row>
    <row r="67" spans="1:5" x14ac:dyDescent="0.25">
      <c r="A67">
        <v>13.3</v>
      </c>
      <c r="B67">
        <f t="shared" si="3"/>
        <v>177.4</v>
      </c>
      <c r="D67">
        <v>78.5</v>
      </c>
      <c r="E67">
        <f t="shared" si="4"/>
        <v>582.29999999999995</v>
      </c>
    </row>
    <row r="68" spans="1:5" x14ac:dyDescent="0.25">
      <c r="A68">
        <v>13.3</v>
      </c>
      <c r="B68">
        <f t="shared" si="3"/>
        <v>190.70000000000002</v>
      </c>
      <c r="D68">
        <v>0</v>
      </c>
      <c r="E68">
        <f t="shared" si="4"/>
        <v>582.29999999999995</v>
      </c>
    </row>
    <row r="69" spans="1:5" x14ac:dyDescent="0.25">
      <c r="A69">
        <v>25</v>
      </c>
      <c r="B69">
        <f t="shared" si="3"/>
        <v>215.70000000000002</v>
      </c>
      <c r="E69">
        <f t="shared" si="4"/>
        <v>582.29999999999995</v>
      </c>
    </row>
    <row r="70" spans="1:5" x14ac:dyDescent="0.25">
      <c r="A70">
        <v>15</v>
      </c>
      <c r="B70">
        <f t="shared" si="3"/>
        <v>230.70000000000002</v>
      </c>
      <c r="E70">
        <f t="shared" si="4"/>
        <v>582.29999999999995</v>
      </c>
    </row>
    <row r="71" spans="1:5" x14ac:dyDescent="0.25">
      <c r="A71">
        <v>22.5</v>
      </c>
      <c r="B71">
        <f t="shared" si="3"/>
        <v>253.20000000000002</v>
      </c>
      <c r="E71">
        <f t="shared" si="4"/>
        <v>582.29999999999995</v>
      </c>
    </row>
    <row r="72" spans="1:5" x14ac:dyDescent="0.25">
      <c r="B72">
        <f t="shared" si="3"/>
        <v>253.20000000000002</v>
      </c>
      <c r="E72">
        <f t="shared" si="4"/>
        <v>582.29999999999995</v>
      </c>
    </row>
    <row r="73" spans="1:5" x14ac:dyDescent="0.25">
      <c r="B73">
        <f t="shared" si="3"/>
        <v>253.20000000000002</v>
      </c>
      <c r="E73">
        <f t="shared" si="4"/>
        <v>582.29999999999995</v>
      </c>
    </row>
    <row r="77" spans="1:5" x14ac:dyDescent="0.25">
      <c r="A77" t="s">
        <v>45</v>
      </c>
      <c r="D77" t="s">
        <v>26</v>
      </c>
    </row>
    <row r="78" spans="1:5" ht="15.75" thickBot="1" x14ac:dyDescent="0.3">
      <c r="A78" s="16">
        <v>240</v>
      </c>
      <c r="B78" s="16"/>
      <c r="D78" s="16">
        <v>100</v>
      </c>
    </row>
    <row r="79" spans="1:5" ht="15.75" thickBot="1" x14ac:dyDescent="0.3">
      <c r="A79">
        <v>0</v>
      </c>
      <c r="B79">
        <f>A79</f>
        <v>0</v>
      </c>
      <c r="D79">
        <v>190</v>
      </c>
      <c r="E79" s="15">
        <f>D79</f>
        <v>190</v>
      </c>
    </row>
    <row r="80" spans="1:5" x14ac:dyDescent="0.25">
      <c r="A80">
        <v>0</v>
      </c>
      <c r="B80">
        <f t="shared" ref="B80:B106" si="5">A80+B79</f>
        <v>0</v>
      </c>
      <c r="D80">
        <v>0</v>
      </c>
      <c r="E80">
        <f>D80+E79</f>
        <v>190</v>
      </c>
    </row>
    <row r="81" spans="1:6" x14ac:dyDescent="0.25">
      <c r="A81">
        <v>0</v>
      </c>
      <c r="B81">
        <f t="shared" si="5"/>
        <v>0</v>
      </c>
      <c r="D81">
        <v>50</v>
      </c>
      <c r="E81" s="14">
        <f>D81</f>
        <v>50</v>
      </c>
    </row>
    <row r="82" spans="1:6" x14ac:dyDescent="0.25">
      <c r="A82">
        <v>0</v>
      </c>
      <c r="B82">
        <f t="shared" si="5"/>
        <v>0</v>
      </c>
      <c r="D82">
        <v>0</v>
      </c>
      <c r="E82">
        <f>D82+E81</f>
        <v>50</v>
      </c>
    </row>
    <row r="83" spans="1:6" x14ac:dyDescent="0.25">
      <c r="A83">
        <v>0</v>
      </c>
      <c r="B83">
        <f t="shared" si="5"/>
        <v>0</v>
      </c>
      <c r="D83">
        <v>88.3</v>
      </c>
      <c r="E83" s="14">
        <f>D83</f>
        <v>88.3</v>
      </c>
    </row>
    <row r="84" spans="1:6" x14ac:dyDescent="0.25">
      <c r="A84">
        <v>43.3</v>
      </c>
      <c r="B84">
        <f t="shared" si="5"/>
        <v>43.3</v>
      </c>
      <c r="D84">
        <v>0</v>
      </c>
      <c r="E84">
        <f>D84+E83</f>
        <v>88.3</v>
      </c>
    </row>
    <row r="85" spans="1:6" x14ac:dyDescent="0.25">
      <c r="A85">
        <v>16.7</v>
      </c>
      <c r="B85">
        <f t="shared" si="5"/>
        <v>60</v>
      </c>
      <c r="D85">
        <v>65.8</v>
      </c>
      <c r="E85" s="14">
        <f>D85</f>
        <v>65.8</v>
      </c>
    </row>
    <row r="86" spans="1:6" x14ac:dyDescent="0.25">
      <c r="A86">
        <v>25</v>
      </c>
      <c r="B86">
        <f t="shared" si="5"/>
        <v>85</v>
      </c>
      <c r="D86">
        <v>0</v>
      </c>
      <c r="E86">
        <f>D86+E85</f>
        <v>65.8</v>
      </c>
    </row>
    <row r="87" spans="1:6" x14ac:dyDescent="0.25">
      <c r="A87">
        <v>20</v>
      </c>
      <c r="B87">
        <f t="shared" si="5"/>
        <v>105</v>
      </c>
      <c r="D87">
        <v>49.2</v>
      </c>
      <c r="E87">
        <f>D87</f>
        <v>49.2</v>
      </c>
    </row>
    <row r="88" spans="1:6" ht="15.75" thickBot="1" x14ac:dyDescent="0.3">
      <c r="A88">
        <v>0</v>
      </c>
      <c r="B88">
        <f t="shared" si="5"/>
        <v>105</v>
      </c>
      <c r="D88">
        <v>0</v>
      </c>
      <c r="E88">
        <f>D88+E87</f>
        <v>49.2</v>
      </c>
    </row>
    <row r="89" spans="1:6" ht="15.75" thickBot="1" x14ac:dyDescent="0.3">
      <c r="A89">
        <v>0</v>
      </c>
      <c r="B89">
        <f t="shared" si="5"/>
        <v>105</v>
      </c>
      <c r="D89">
        <v>65</v>
      </c>
      <c r="E89" s="15">
        <f>D89+E88</f>
        <v>114.2</v>
      </c>
    </row>
    <row r="90" spans="1:6" x14ac:dyDescent="0.25">
      <c r="A90">
        <v>0</v>
      </c>
      <c r="B90">
        <f t="shared" si="5"/>
        <v>105</v>
      </c>
      <c r="D90">
        <v>0</v>
      </c>
      <c r="E90">
        <f>D90+E89</f>
        <v>114.2</v>
      </c>
    </row>
    <row r="91" spans="1:6" x14ac:dyDescent="0.25">
      <c r="A91">
        <v>43.3</v>
      </c>
      <c r="B91" s="14">
        <f t="shared" si="5"/>
        <v>148.30000000000001</v>
      </c>
      <c r="D91">
        <v>35</v>
      </c>
      <c r="E91">
        <f>D91</f>
        <v>35</v>
      </c>
    </row>
    <row r="92" spans="1:6" ht="15.75" thickBot="1" x14ac:dyDescent="0.3">
      <c r="A92">
        <v>31.7</v>
      </c>
      <c r="B92">
        <f t="shared" si="5"/>
        <v>180</v>
      </c>
      <c r="D92">
        <v>0</v>
      </c>
      <c r="E92">
        <f>D92+E91</f>
        <v>35</v>
      </c>
    </row>
    <row r="93" spans="1:6" ht="15.75" thickBot="1" x14ac:dyDescent="0.3">
      <c r="A93">
        <v>0</v>
      </c>
      <c r="B93">
        <f t="shared" si="5"/>
        <v>180</v>
      </c>
      <c r="D93">
        <v>80</v>
      </c>
      <c r="E93" s="15">
        <f>D93+E92</f>
        <v>115</v>
      </c>
    </row>
    <row r="94" spans="1:6" x14ac:dyDescent="0.25">
      <c r="A94">
        <v>0</v>
      </c>
      <c r="B94">
        <f t="shared" si="5"/>
        <v>180</v>
      </c>
      <c r="D94">
        <v>0</v>
      </c>
      <c r="E94">
        <f>D94+E93</f>
        <v>115</v>
      </c>
    </row>
    <row r="95" spans="1:6" x14ac:dyDescent="0.25">
      <c r="A95">
        <v>0</v>
      </c>
      <c r="B95">
        <f t="shared" si="5"/>
        <v>180</v>
      </c>
      <c r="D95">
        <v>45.4</v>
      </c>
      <c r="E95">
        <f>D95</f>
        <v>45.4</v>
      </c>
      <c r="F95" t="s">
        <v>65</v>
      </c>
    </row>
    <row r="96" spans="1:6" ht="15.75" thickBot="1" x14ac:dyDescent="0.3">
      <c r="A96">
        <v>0</v>
      </c>
      <c r="B96">
        <f t="shared" si="5"/>
        <v>180</v>
      </c>
      <c r="D96">
        <v>0</v>
      </c>
      <c r="E96">
        <f>D96+E95</f>
        <v>45.4</v>
      </c>
    </row>
    <row r="97" spans="1:5" ht="15.75" thickBot="1" x14ac:dyDescent="0.3">
      <c r="A97">
        <v>14.2</v>
      </c>
      <c r="B97">
        <f t="shared" si="5"/>
        <v>194.2</v>
      </c>
      <c r="D97">
        <v>63.8</v>
      </c>
      <c r="E97" s="15">
        <f>D97+E96</f>
        <v>109.19999999999999</v>
      </c>
    </row>
    <row r="98" spans="1:5" x14ac:dyDescent="0.25">
      <c r="A98">
        <v>0</v>
      </c>
      <c r="B98">
        <f t="shared" si="5"/>
        <v>194.2</v>
      </c>
      <c r="D98">
        <v>0</v>
      </c>
      <c r="E98">
        <f>D98+E97</f>
        <v>109.19999999999999</v>
      </c>
    </row>
    <row r="99" spans="1:5" x14ac:dyDescent="0.25">
      <c r="A99">
        <v>0</v>
      </c>
      <c r="B99">
        <f t="shared" si="5"/>
        <v>194.2</v>
      </c>
      <c r="D99">
        <v>0</v>
      </c>
      <c r="E99">
        <f>D99</f>
        <v>0</v>
      </c>
    </row>
    <row r="100" spans="1:5" x14ac:dyDescent="0.25">
      <c r="A100">
        <v>25</v>
      </c>
      <c r="B100">
        <f t="shared" si="5"/>
        <v>219.2</v>
      </c>
      <c r="D100">
        <v>0</v>
      </c>
      <c r="E100">
        <f t="shared" ref="E100:E106" si="6">D100+E99</f>
        <v>0</v>
      </c>
    </row>
    <row r="101" spans="1:5" ht="15.75" thickBot="1" x14ac:dyDescent="0.3">
      <c r="A101">
        <v>0</v>
      </c>
      <c r="B101">
        <f t="shared" si="5"/>
        <v>219.2</v>
      </c>
      <c r="D101">
        <v>39.200000000000003</v>
      </c>
      <c r="E101">
        <f t="shared" si="6"/>
        <v>39.200000000000003</v>
      </c>
    </row>
    <row r="102" spans="1:5" ht="15.75" thickBot="1" x14ac:dyDescent="0.3">
      <c r="A102">
        <v>50</v>
      </c>
      <c r="B102" s="15">
        <f t="shared" si="5"/>
        <v>269.2</v>
      </c>
      <c r="D102">
        <v>0</v>
      </c>
      <c r="E102">
        <f t="shared" si="6"/>
        <v>39.200000000000003</v>
      </c>
    </row>
    <row r="103" spans="1:5" x14ac:dyDescent="0.25">
      <c r="B103">
        <f t="shared" si="5"/>
        <v>269.2</v>
      </c>
      <c r="D103">
        <v>0</v>
      </c>
      <c r="E103">
        <f t="shared" si="6"/>
        <v>39.200000000000003</v>
      </c>
    </row>
    <row r="104" spans="1:5" ht="15.75" thickBot="1" x14ac:dyDescent="0.3">
      <c r="B104">
        <f t="shared" si="5"/>
        <v>269.2</v>
      </c>
      <c r="D104">
        <v>0</v>
      </c>
      <c r="E104">
        <f t="shared" si="6"/>
        <v>39.200000000000003</v>
      </c>
    </row>
    <row r="105" spans="1:5" ht="15.75" thickBot="1" x14ac:dyDescent="0.3">
      <c r="B105">
        <f t="shared" si="5"/>
        <v>269.2</v>
      </c>
      <c r="D105">
        <v>120</v>
      </c>
      <c r="E105" s="15">
        <f t="shared" si="6"/>
        <v>159.19999999999999</v>
      </c>
    </row>
    <row r="106" spans="1:5" x14ac:dyDescent="0.25">
      <c r="B106">
        <f t="shared" si="5"/>
        <v>269.2</v>
      </c>
      <c r="D106">
        <v>0</v>
      </c>
      <c r="E106">
        <f t="shared" si="6"/>
        <v>159.19999999999999</v>
      </c>
    </row>
    <row r="110" spans="1:5" x14ac:dyDescent="0.25">
      <c r="A110" t="s">
        <v>45</v>
      </c>
      <c r="D110" t="s">
        <v>26</v>
      </c>
    </row>
    <row r="111" spans="1:5" x14ac:dyDescent="0.25">
      <c r="A111" s="16">
        <v>240</v>
      </c>
      <c r="B111" s="16"/>
      <c r="D111" s="16">
        <v>100</v>
      </c>
    </row>
    <row r="112" spans="1:5" x14ac:dyDescent="0.25">
      <c r="A112">
        <v>0</v>
      </c>
      <c r="B112">
        <f>A112</f>
        <v>0</v>
      </c>
      <c r="D112">
        <v>79.2</v>
      </c>
      <c r="E112" s="14">
        <f>D112</f>
        <v>79.2</v>
      </c>
    </row>
    <row r="113" spans="1:6" x14ac:dyDescent="0.25">
      <c r="A113">
        <v>0</v>
      </c>
      <c r="B113">
        <f t="shared" ref="B113:B139" si="7">A113+B112</f>
        <v>0</v>
      </c>
      <c r="D113">
        <v>0</v>
      </c>
      <c r="E113">
        <f>D113+E112</f>
        <v>79.2</v>
      </c>
    </row>
    <row r="114" spans="1:6" x14ac:dyDescent="0.25">
      <c r="A114">
        <v>0</v>
      </c>
      <c r="B114">
        <f t="shared" si="7"/>
        <v>0</v>
      </c>
      <c r="D114">
        <v>85</v>
      </c>
      <c r="E114" s="14">
        <f>D114</f>
        <v>85</v>
      </c>
    </row>
    <row r="115" spans="1:6" x14ac:dyDescent="0.25">
      <c r="A115">
        <v>0</v>
      </c>
      <c r="B115">
        <f t="shared" si="7"/>
        <v>0</v>
      </c>
      <c r="D115">
        <v>0</v>
      </c>
      <c r="E115">
        <f>D115+E114</f>
        <v>85</v>
      </c>
    </row>
    <row r="116" spans="1:6" x14ac:dyDescent="0.25">
      <c r="A116">
        <v>0</v>
      </c>
      <c r="B116">
        <f t="shared" si="7"/>
        <v>0</v>
      </c>
      <c r="D116">
        <v>88.3</v>
      </c>
      <c r="E116" s="14">
        <f>D116</f>
        <v>88.3</v>
      </c>
    </row>
    <row r="117" spans="1:6" x14ac:dyDescent="0.25">
      <c r="A117" s="14">
        <v>0</v>
      </c>
      <c r="B117">
        <f t="shared" si="7"/>
        <v>0</v>
      </c>
      <c r="D117">
        <v>0</v>
      </c>
      <c r="E117">
        <f>D117+E116</f>
        <v>88.3</v>
      </c>
    </row>
    <row r="118" spans="1:6" x14ac:dyDescent="0.25">
      <c r="A118">
        <v>0</v>
      </c>
      <c r="B118">
        <f t="shared" si="7"/>
        <v>0</v>
      </c>
      <c r="D118">
        <v>31.5</v>
      </c>
      <c r="E118">
        <f>D118</f>
        <v>31.5</v>
      </c>
      <c r="F118" t="s">
        <v>64</v>
      </c>
    </row>
    <row r="119" spans="1:6" ht="15.75" thickBot="1" x14ac:dyDescent="0.3">
      <c r="A119">
        <v>0</v>
      </c>
      <c r="B119">
        <f t="shared" si="7"/>
        <v>0</v>
      </c>
      <c r="D119">
        <v>0</v>
      </c>
      <c r="E119">
        <f>D119+E118</f>
        <v>31.5</v>
      </c>
    </row>
    <row r="120" spans="1:6" ht="15.75" thickBot="1" x14ac:dyDescent="0.3">
      <c r="A120">
        <v>0</v>
      </c>
      <c r="B120">
        <f t="shared" si="7"/>
        <v>0</v>
      </c>
      <c r="D120">
        <v>73.8</v>
      </c>
      <c r="E120" s="15">
        <f>D120+E119</f>
        <v>105.3</v>
      </c>
    </row>
    <row r="121" spans="1:6" x14ac:dyDescent="0.25">
      <c r="A121">
        <v>15.8</v>
      </c>
      <c r="B121">
        <f t="shared" si="7"/>
        <v>15.8</v>
      </c>
      <c r="D121">
        <v>0</v>
      </c>
      <c r="E121">
        <f>D121+E120</f>
        <v>105.3</v>
      </c>
    </row>
    <row r="122" spans="1:6" x14ac:dyDescent="0.25">
      <c r="A122">
        <v>0</v>
      </c>
      <c r="B122">
        <f t="shared" si="7"/>
        <v>15.8</v>
      </c>
      <c r="D122">
        <v>0</v>
      </c>
      <c r="E122">
        <f>D122</f>
        <v>0</v>
      </c>
    </row>
    <row r="123" spans="1:6" x14ac:dyDescent="0.25">
      <c r="A123">
        <v>0</v>
      </c>
      <c r="B123">
        <f t="shared" si="7"/>
        <v>15.8</v>
      </c>
      <c r="D123">
        <v>0</v>
      </c>
      <c r="E123">
        <f>D123+E122</f>
        <v>0</v>
      </c>
    </row>
    <row r="124" spans="1:6" x14ac:dyDescent="0.25">
      <c r="A124">
        <v>0</v>
      </c>
      <c r="B124">
        <f t="shared" si="7"/>
        <v>15.8</v>
      </c>
      <c r="D124">
        <v>86.2</v>
      </c>
      <c r="E124" s="14">
        <f>D124+E123</f>
        <v>86.2</v>
      </c>
    </row>
    <row r="125" spans="1:6" x14ac:dyDescent="0.25">
      <c r="A125">
        <v>0</v>
      </c>
      <c r="B125">
        <f t="shared" si="7"/>
        <v>15.8</v>
      </c>
      <c r="D125">
        <v>0</v>
      </c>
      <c r="E125">
        <f>D125+E124</f>
        <v>86.2</v>
      </c>
    </row>
    <row r="126" spans="1:6" x14ac:dyDescent="0.25">
      <c r="A126">
        <v>0</v>
      </c>
      <c r="B126">
        <f t="shared" si="7"/>
        <v>15.8</v>
      </c>
      <c r="D126">
        <v>75.400000000000006</v>
      </c>
      <c r="E126" s="14">
        <f>D126</f>
        <v>75.400000000000006</v>
      </c>
    </row>
    <row r="127" spans="1:6" x14ac:dyDescent="0.25">
      <c r="A127">
        <v>0</v>
      </c>
      <c r="B127">
        <f t="shared" si="7"/>
        <v>15.8</v>
      </c>
      <c r="D127">
        <v>0</v>
      </c>
      <c r="E127">
        <f>D127+E126</f>
        <v>75.400000000000006</v>
      </c>
    </row>
    <row r="128" spans="1:6" x14ac:dyDescent="0.25">
      <c r="A128">
        <v>0</v>
      </c>
      <c r="B128">
        <f t="shared" si="7"/>
        <v>15.8</v>
      </c>
      <c r="D128">
        <v>66.2</v>
      </c>
      <c r="E128" s="14">
        <f>D128</f>
        <v>66.2</v>
      </c>
    </row>
    <row r="129" spans="1:5" x14ac:dyDescent="0.25">
      <c r="A129">
        <v>0</v>
      </c>
      <c r="B129">
        <f t="shared" si="7"/>
        <v>15.8</v>
      </c>
      <c r="D129">
        <v>0</v>
      </c>
      <c r="E129">
        <f>D129+E128</f>
        <v>66.2</v>
      </c>
    </row>
    <row r="130" spans="1:5" x14ac:dyDescent="0.25">
      <c r="A130">
        <v>0</v>
      </c>
      <c r="B130">
        <f t="shared" si="7"/>
        <v>15.8</v>
      </c>
      <c r="D130">
        <v>65.400000000000006</v>
      </c>
      <c r="E130" s="14">
        <f>D130</f>
        <v>65.400000000000006</v>
      </c>
    </row>
    <row r="131" spans="1:5" x14ac:dyDescent="0.25">
      <c r="A131">
        <v>0</v>
      </c>
      <c r="B131">
        <f t="shared" si="7"/>
        <v>15.8</v>
      </c>
      <c r="D131">
        <v>0</v>
      </c>
      <c r="E131">
        <f>D131+E130</f>
        <v>65.400000000000006</v>
      </c>
    </row>
    <row r="132" spans="1:5" x14ac:dyDescent="0.25">
      <c r="A132">
        <v>0</v>
      </c>
      <c r="B132">
        <f t="shared" si="7"/>
        <v>15.8</v>
      </c>
      <c r="D132">
        <v>0</v>
      </c>
      <c r="E132">
        <f>D132</f>
        <v>0</v>
      </c>
    </row>
    <row r="133" spans="1:5" x14ac:dyDescent="0.25">
      <c r="A133">
        <v>0</v>
      </c>
      <c r="B133">
        <f t="shared" si="7"/>
        <v>15.8</v>
      </c>
      <c r="D133">
        <v>0</v>
      </c>
      <c r="E133">
        <f>D133+E132</f>
        <v>0</v>
      </c>
    </row>
    <row r="134" spans="1:5" x14ac:dyDescent="0.25">
      <c r="A134">
        <v>0</v>
      </c>
      <c r="B134">
        <f t="shared" si="7"/>
        <v>15.8</v>
      </c>
      <c r="D134">
        <v>50.8</v>
      </c>
      <c r="E134" s="14">
        <f>D134+E133</f>
        <v>50.8</v>
      </c>
    </row>
    <row r="135" spans="1:5" x14ac:dyDescent="0.25">
      <c r="A135">
        <v>0</v>
      </c>
      <c r="B135">
        <f t="shared" si="7"/>
        <v>15.8</v>
      </c>
      <c r="D135">
        <v>0</v>
      </c>
      <c r="E135">
        <f>D135+E134</f>
        <v>50.8</v>
      </c>
    </row>
    <row r="136" spans="1:5" x14ac:dyDescent="0.25">
      <c r="A136">
        <v>0</v>
      </c>
      <c r="B136">
        <f t="shared" si="7"/>
        <v>15.8</v>
      </c>
      <c r="D136">
        <v>40</v>
      </c>
      <c r="E136">
        <f>D136</f>
        <v>40</v>
      </c>
    </row>
    <row r="137" spans="1:5" x14ac:dyDescent="0.25">
      <c r="A137">
        <v>0</v>
      </c>
      <c r="B137">
        <f t="shared" si="7"/>
        <v>15.8</v>
      </c>
      <c r="D137">
        <v>0</v>
      </c>
      <c r="E137">
        <f>D137+E136</f>
        <v>40</v>
      </c>
    </row>
    <row r="138" spans="1:5" x14ac:dyDescent="0.25">
      <c r="A138">
        <v>0</v>
      </c>
      <c r="B138">
        <f t="shared" si="7"/>
        <v>15.8</v>
      </c>
      <c r="D138">
        <v>53.8</v>
      </c>
      <c r="E138" s="14">
        <f>D138+E137</f>
        <v>93.8</v>
      </c>
    </row>
    <row r="139" spans="1:5" x14ac:dyDescent="0.25">
      <c r="A139">
        <v>0</v>
      </c>
      <c r="B139">
        <f t="shared" si="7"/>
        <v>15.8</v>
      </c>
      <c r="E139">
        <f>D139+E138</f>
        <v>93.8</v>
      </c>
    </row>
    <row r="142" spans="1:5" x14ac:dyDescent="0.25">
      <c r="A142" t="s">
        <v>45</v>
      </c>
      <c r="D142" t="s">
        <v>26</v>
      </c>
    </row>
    <row r="143" spans="1:5" ht="15.75" thickBot="1" x14ac:dyDescent="0.3">
      <c r="A143" s="16">
        <v>240</v>
      </c>
      <c r="B143" s="16"/>
      <c r="D143" s="16">
        <v>100</v>
      </c>
    </row>
    <row r="144" spans="1:5" ht="15.75" thickBot="1" x14ac:dyDescent="0.3">
      <c r="A144">
        <v>0</v>
      </c>
      <c r="B144">
        <f>A144</f>
        <v>0</v>
      </c>
      <c r="D144">
        <v>133.80000000000001</v>
      </c>
      <c r="E144" s="15">
        <f>D144</f>
        <v>133.80000000000001</v>
      </c>
    </row>
    <row r="145" spans="1:5" x14ac:dyDescent="0.25">
      <c r="A145">
        <v>0</v>
      </c>
      <c r="B145">
        <f t="shared" ref="B145:B185" si="8">A145+B144</f>
        <v>0</v>
      </c>
      <c r="E145">
        <f>D145+E144</f>
        <v>133.80000000000001</v>
      </c>
    </row>
    <row r="146" spans="1:5" x14ac:dyDescent="0.25">
      <c r="A146">
        <v>0</v>
      </c>
      <c r="B146">
        <f t="shared" si="8"/>
        <v>0</v>
      </c>
      <c r="D146">
        <v>77.7</v>
      </c>
      <c r="E146" s="14">
        <f>D146</f>
        <v>77.7</v>
      </c>
    </row>
    <row r="147" spans="1:5" x14ac:dyDescent="0.25">
      <c r="A147">
        <v>0</v>
      </c>
      <c r="B147">
        <f t="shared" si="8"/>
        <v>0</v>
      </c>
      <c r="E147">
        <f>D147+E146</f>
        <v>77.7</v>
      </c>
    </row>
    <row r="148" spans="1:5" x14ac:dyDescent="0.25">
      <c r="A148">
        <v>0</v>
      </c>
      <c r="B148">
        <f t="shared" si="8"/>
        <v>0</v>
      </c>
      <c r="D148">
        <v>0</v>
      </c>
      <c r="E148">
        <f>D148</f>
        <v>0</v>
      </c>
    </row>
    <row r="149" spans="1:5" x14ac:dyDescent="0.25">
      <c r="A149" s="14">
        <v>12.5</v>
      </c>
      <c r="B149">
        <f t="shared" si="8"/>
        <v>12.5</v>
      </c>
      <c r="E149">
        <f t="shared" ref="E149:E155" si="9">D149+E148</f>
        <v>0</v>
      </c>
    </row>
    <row r="150" spans="1:5" x14ac:dyDescent="0.25">
      <c r="A150">
        <v>0</v>
      </c>
      <c r="B150">
        <f t="shared" si="8"/>
        <v>12.5</v>
      </c>
      <c r="D150">
        <v>0</v>
      </c>
      <c r="E150">
        <f t="shared" si="9"/>
        <v>0</v>
      </c>
    </row>
    <row r="151" spans="1:5" x14ac:dyDescent="0.25">
      <c r="A151">
        <v>0</v>
      </c>
      <c r="B151">
        <f t="shared" si="8"/>
        <v>12.5</v>
      </c>
      <c r="E151">
        <f t="shared" si="9"/>
        <v>0</v>
      </c>
    </row>
    <row r="152" spans="1:5" x14ac:dyDescent="0.25">
      <c r="A152">
        <v>26.7</v>
      </c>
      <c r="B152">
        <f t="shared" si="8"/>
        <v>39.200000000000003</v>
      </c>
      <c r="D152">
        <v>47.7</v>
      </c>
      <c r="E152">
        <f t="shared" si="9"/>
        <v>47.7</v>
      </c>
    </row>
    <row r="153" spans="1:5" x14ac:dyDescent="0.25">
      <c r="A153">
        <v>0</v>
      </c>
      <c r="B153">
        <f t="shared" si="8"/>
        <v>39.200000000000003</v>
      </c>
      <c r="E153">
        <f t="shared" si="9"/>
        <v>47.7</v>
      </c>
    </row>
    <row r="154" spans="1:5" x14ac:dyDescent="0.25">
      <c r="A154">
        <v>20</v>
      </c>
      <c r="B154">
        <f t="shared" si="8"/>
        <v>59.2</v>
      </c>
      <c r="D154">
        <v>49.2</v>
      </c>
      <c r="E154" s="14">
        <f t="shared" si="9"/>
        <v>96.9</v>
      </c>
    </row>
    <row r="155" spans="1:5" x14ac:dyDescent="0.25">
      <c r="A155">
        <v>10.8</v>
      </c>
      <c r="B155">
        <f t="shared" si="8"/>
        <v>70</v>
      </c>
      <c r="E155">
        <f t="shared" si="9"/>
        <v>96.9</v>
      </c>
    </row>
    <row r="156" spans="1:5" x14ac:dyDescent="0.25">
      <c r="A156">
        <v>0</v>
      </c>
      <c r="B156">
        <f t="shared" si="8"/>
        <v>70</v>
      </c>
      <c r="D156">
        <v>73.8</v>
      </c>
      <c r="E156" s="14">
        <f>D156</f>
        <v>73.8</v>
      </c>
    </row>
    <row r="157" spans="1:5" ht="15.75" thickBot="1" x14ac:dyDescent="0.3">
      <c r="A157">
        <v>19.2</v>
      </c>
      <c r="B157">
        <f t="shared" si="8"/>
        <v>89.2</v>
      </c>
      <c r="E157">
        <f>D157+E156</f>
        <v>73.8</v>
      </c>
    </row>
    <row r="158" spans="1:5" ht="15.75" thickBot="1" x14ac:dyDescent="0.3">
      <c r="A158">
        <v>0</v>
      </c>
      <c r="B158">
        <f t="shared" si="8"/>
        <v>89.2</v>
      </c>
      <c r="D158">
        <v>180</v>
      </c>
      <c r="E158" s="15">
        <f>D158</f>
        <v>180</v>
      </c>
    </row>
    <row r="159" spans="1:5" x14ac:dyDescent="0.25">
      <c r="A159">
        <v>0</v>
      </c>
      <c r="B159">
        <f t="shared" si="8"/>
        <v>89.2</v>
      </c>
      <c r="E159">
        <f>D159+E158</f>
        <v>180</v>
      </c>
    </row>
    <row r="160" spans="1:5" x14ac:dyDescent="0.25">
      <c r="A160">
        <v>14.2</v>
      </c>
      <c r="B160">
        <f t="shared" si="8"/>
        <v>103.4</v>
      </c>
      <c r="D160">
        <v>0</v>
      </c>
      <c r="E160">
        <f>D160</f>
        <v>0</v>
      </c>
    </row>
    <row r="161" spans="1:5" x14ac:dyDescent="0.25">
      <c r="A161">
        <v>28.3</v>
      </c>
      <c r="B161" s="14">
        <f t="shared" si="8"/>
        <v>131.70000000000002</v>
      </c>
      <c r="E161">
        <f>D161+E160</f>
        <v>0</v>
      </c>
    </row>
    <row r="162" spans="1:5" x14ac:dyDescent="0.25">
      <c r="A162">
        <v>0</v>
      </c>
      <c r="B162">
        <f t="shared" si="8"/>
        <v>131.70000000000002</v>
      </c>
      <c r="D162">
        <v>47.7</v>
      </c>
      <c r="E162">
        <f>D162+E161</f>
        <v>47.7</v>
      </c>
    </row>
    <row r="163" spans="1:5" ht="15.75" thickBot="1" x14ac:dyDescent="0.3">
      <c r="A163">
        <v>0</v>
      </c>
      <c r="B163">
        <f t="shared" si="8"/>
        <v>131.70000000000002</v>
      </c>
      <c r="E163">
        <f>D163+E162</f>
        <v>47.7</v>
      </c>
    </row>
    <row r="164" spans="1:5" ht="15.75" thickBot="1" x14ac:dyDescent="0.3">
      <c r="A164">
        <v>0</v>
      </c>
      <c r="B164">
        <f t="shared" si="8"/>
        <v>131.70000000000002</v>
      </c>
      <c r="D164">
        <v>72.3</v>
      </c>
      <c r="E164" s="15">
        <f>D164+E163</f>
        <v>120</v>
      </c>
    </row>
    <row r="165" spans="1:5" ht="15.75" thickBot="1" x14ac:dyDescent="0.3">
      <c r="A165">
        <v>0</v>
      </c>
      <c r="B165">
        <f t="shared" si="8"/>
        <v>131.70000000000002</v>
      </c>
      <c r="E165">
        <f>D165+E164</f>
        <v>120</v>
      </c>
    </row>
    <row r="166" spans="1:5" ht="15.75" thickBot="1" x14ac:dyDescent="0.3">
      <c r="A166">
        <v>10.8</v>
      </c>
      <c r="B166">
        <f t="shared" si="8"/>
        <v>142.50000000000003</v>
      </c>
      <c r="D166">
        <v>180</v>
      </c>
      <c r="E166" s="15">
        <f>D166</f>
        <v>180</v>
      </c>
    </row>
    <row r="167" spans="1:5" x14ac:dyDescent="0.25">
      <c r="A167">
        <v>19.2</v>
      </c>
      <c r="B167">
        <f t="shared" si="8"/>
        <v>161.70000000000002</v>
      </c>
      <c r="E167">
        <f>D167+E166</f>
        <v>180</v>
      </c>
    </row>
    <row r="168" spans="1:5" x14ac:dyDescent="0.25">
      <c r="A168">
        <v>0</v>
      </c>
      <c r="B168">
        <f t="shared" si="8"/>
        <v>161.70000000000002</v>
      </c>
      <c r="D168">
        <v>0</v>
      </c>
      <c r="E168">
        <f>D168</f>
        <v>0</v>
      </c>
    </row>
    <row r="169" spans="1:5" x14ac:dyDescent="0.25">
      <c r="A169">
        <v>10.8</v>
      </c>
      <c r="B169">
        <f t="shared" si="8"/>
        <v>172.50000000000003</v>
      </c>
      <c r="E169">
        <f>D169+E168</f>
        <v>0</v>
      </c>
    </row>
    <row r="170" spans="1:5" x14ac:dyDescent="0.25">
      <c r="A170">
        <v>12.5</v>
      </c>
      <c r="B170">
        <f t="shared" si="8"/>
        <v>185.00000000000003</v>
      </c>
      <c r="D170">
        <v>57.7</v>
      </c>
      <c r="E170" s="14">
        <f>D170+E169</f>
        <v>57.7</v>
      </c>
    </row>
    <row r="171" spans="1:5" x14ac:dyDescent="0.25">
      <c r="A171">
        <v>17.5</v>
      </c>
      <c r="B171">
        <f t="shared" si="8"/>
        <v>202.50000000000003</v>
      </c>
      <c r="E171">
        <f>D171+E170</f>
        <v>57.7</v>
      </c>
    </row>
    <row r="172" spans="1:5" x14ac:dyDescent="0.25">
      <c r="A172">
        <v>0</v>
      </c>
      <c r="B172">
        <f t="shared" si="8"/>
        <v>202.50000000000003</v>
      </c>
      <c r="D172">
        <v>0</v>
      </c>
      <c r="E172">
        <f>D172</f>
        <v>0</v>
      </c>
    </row>
    <row r="173" spans="1:5" x14ac:dyDescent="0.25">
      <c r="A173">
        <v>0</v>
      </c>
      <c r="B173">
        <f t="shared" si="8"/>
        <v>202.50000000000003</v>
      </c>
      <c r="E173">
        <f t="shared" ref="E173:E179" si="10">D173+E172</f>
        <v>0</v>
      </c>
    </row>
    <row r="174" spans="1:5" x14ac:dyDescent="0.25">
      <c r="A174">
        <v>16.7</v>
      </c>
      <c r="B174">
        <f t="shared" si="8"/>
        <v>219.20000000000002</v>
      </c>
      <c r="D174">
        <v>42.3</v>
      </c>
      <c r="E174">
        <f t="shared" si="10"/>
        <v>42.3</v>
      </c>
    </row>
    <row r="175" spans="1:5" x14ac:dyDescent="0.25">
      <c r="A175">
        <v>0</v>
      </c>
      <c r="B175">
        <f t="shared" si="8"/>
        <v>219.20000000000002</v>
      </c>
      <c r="E175">
        <f t="shared" si="10"/>
        <v>42.3</v>
      </c>
    </row>
    <row r="176" spans="1:5" x14ac:dyDescent="0.25">
      <c r="A176">
        <v>9.1999999999999993</v>
      </c>
      <c r="B176">
        <f t="shared" si="8"/>
        <v>228.4</v>
      </c>
      <c r="D176">
        <v>0</v>
      </c>
      <c r="E176">
        <f t="shared" si="10"/>
        <v>42.3</v>
      </c>
    </row>
    <row r="177" spans="1:24" ht="15.75" thickBot="1" x14ac:dyDescent="0.3">
      <c r="A177">
        <v>10</v>
      </c>
      <c r="B177">
        <f t="shared" si="8"/>
        <v>238.4</v>
      </c>
      <c r="E177">
        <f t="shared" si="10"/>
        <v>42.3</v>
      </c>
    </row>
    <row r="178" spans="1:24" ht="15.75" thickBot="1" x14ac:dyDescent="0.3">
      <c r="A178">
        <v>56.7</v>
      </c>
      <c r="B178" s="15">
        <f t="shared" si="8"/>
        <v>295.10000000000002</v>
      </c>
      <c r="D178">
        <v>176.9</v>
      </c>
      <c r="E178" s="15">
        <f t="shared" si="10"/>
        <v>219.2</v>
      </c>
    </row>
    <row r="179" spans="1:24" x14ac:dyDescent="0.25">
      <c r="B179">
        <f t="shared" si="8"/>
        <v>295.10000000000002</v>
      </c>
      <c r="E179">
        <f t="shared" si="10"/>
        <v>219.2</v>
      </c>
    </row>
    <row r="180" spans="1:24" x14ac:dyDescent="0.25">
      <c r="B180">
        <f t="shared" si="8"/>
        <v>295.10000000000002</v>
      </c>
      <c r="D180">
        <v>0</v>
      </c>
      <c r="E180">
        <f>D180</f>
        <v>0</v>
      </c>
    </row>
    <row r="181" spans="1:24" x14ac:dyDescent="0.25">
      <c r="B181">
        <f t="shared" si="8"/>
        <v>295.10000000000002</v>
      </c>
      <c r="E181">
        <f>D181+E180</f>
        <v>0</v>
      </c>
    </row>
    <row r="182" spans="1:24" x14ac:dyDescent="0.25">
      <c r="B182">
        <f t="shared" si="8"/>
        <v>295.10000000000002</v>
      </c>
      <c r="D182">
        <v>37.700000000000003</v>
      </c>
      <c r="E182">
        <f>D182+E181</f>
        <v>37.700000000000003</v>
      </c>
    </row>
    <row r="183" spans="1:24" x14ac:dyDescent="0.25">
      <c r="B183">
        <f t="shared" si="8"/>
        <v>295.10000000000002</v>
      </c>
      <c r="E183">
        <f>D183+E182</f>
        <v>37.700000000000003</v>
      </c>
    </row>
    <row r="184" spans="1:24" x14ac:dyDescent="0.25">
      <c r="B184">
        <f t="shared" si="8"/>
        <v>295.10000000000002</v>
      </c>
      <c r="D184">
        <v>41.5</v>
      </c>
      <c r="E184" s="14">
        <f>D184+E183</f>
        <v>79.2</v>
      </c>
    </row>
    <row r="185" spans="1:24" x14ac:dyDescent="0.25">
      <c r="B185">
        <f t="shared" si="8"/>
        <v>295.10000000000002</v>
      </c>
      <c r="E185">
        <f>D185+E184</f>
        <v>79.2</v>
      </c>
    </row>
    <row r="189" spans="1:24" x14ac:dyDescent="0.25">
      <c r="A189" t="s">
        <v>68</v>
      </c>
      <c r="D189" t="s">
        <v>51</v>
      </c>
      <c r="G189" s="2" t="s">
        <v>68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16">
        <v>255</v>
      </c>
      <c r="B190" s="16"/>
      <c r="D190" s="16">
        <v>100</v>
      </c>
      <c r="E190" s="16"/>
      <c r="G190" s="20" t="s">
        <v>8</v>
      </c>
      <c r="H190" s="20"/>
      <c r="I190" s="20"/>
      <c r="J190" s="20" t="s">
        <v>53</v>
      </c>
      <c r="K190" s="20"/>
      <c r="L190" s="20"/>
      <c r="M190" s="20"/>
      <c r="N190" s="20" t="s">
        <v>9</v>
      </c>
      <c r="O190" s="20"/>
      <c r="P190" s="20"/>
      <c r="Q190" s="2" t="s">
        <v>55</v>
      </c>
      <c r="R190" s="20" t="s">
        <v>50</v>
      </c>
      <c r="S190" s="20"/>
      <c r="T190" s="20"/>
      <c r="U190" s="3" t="s">
        <v>35</v>
      </c>
      <c r="V190" s="20" t="s">
        <v>56</v>
      </c>
      <c r="W190" s="20"/>
      <c r="X190" s="2"/>
    </row>
    <row r="191" spans="1:24" ht="15.75" thickBot="1" x14ac:dyDescent="0.3">
      <c r="A191">
        <v>13.3</v>
      </c>
      <c r="B191">
        <f>A191</f>
        <v>13.3</v>
      </c>
      <c r="D191">
        <v>0</v>
      </c>
      <c r="E191">
        <f>D191</f>
        <v>0</v>
      </c>
      <c r="G191" s="4" t="s">
        <v>5</v>
      </c>
      <c r="H191" s="4" t="s">
        <v>6</v>
      </c>
      <c r="I191" s="13" t="s">
        <v>57</v>
      </c>
      <c r="J191" s="4" t="s">
        <v>58</v>
      </c>
      <c r="K191" s="4" t="s">
        <v>53</v>
      </c>
      <c r="L191" s="4" t="s">
        <v>54</v>
      </c>
      <c r="M191" s="4" t="s">
        <v>57</v>
      </c>
      <c r="N191" s="4" t="s">
        <v>9</v>
      </c>
      <c r="O191" s="4" t="s">
        <v>10</v>
      </c>
      <c r="P191" s="13" t="s">
        <v>57</v>
      </c>
      <c r="Q191" s="4" t="s">
        <v>55</v>
      </c>
      <c r="R191" s="4" t="s">
        <v>50</v>
      </c>
      <c r="S191" s="4" t="s">
        <v>7</v>
      </c>
      <c r="T191" s="13" t="s">
        <v>57</v>
      </c>
      <c r="U191" s="4" t="s">
        <v>35</v>
      </c>
      <c r="V191" s="4" t="s">
        <v>59</v>
      </c>
      <c r="W191" s="13" t="s">
        <v>56</v>
      </c>
      <c r="X191" s="4"/>
    </row>
    <row r="192" spans="1:24" ht="15.75" thickBot="1" x14ac:dyDescent="0.3">
      <c r="A192">
        <v>0</v>
      </c>
      <c r="B192">
        <f>A192+B191</f>
        <v>13.3</v>
      </c>
      <c r="D192">
        <v>0</v>
      </c>
      <c r="E192">
        <f>D192+E191</f>
        <v>0</v>
      </c>
      <c r="G192" s="5">
        <v>15</v>
      </c>
      <c r="H192" s="12">
        <v>12</v>
      </c>
      <c r="I192" s="17">
        <f>G192+H192</f>
        <v>27</v>
      </c>
      <c r="J192" s="2">
        <v>0</v>
      </c>
      <c r="K192" s="2"/>
      <c r="L192" s="2"/>
      <c r="M192" s="2">
        <f>K192+L192</f>
        <v>0</v>
      </c>
      <c r="N192" s="5">
        <v>17</v>
      </c>
      <c r="O192" s="5">
        <v>5</v>
      </c>
      <c r="P192" s="7">
        <f>N192+O192</f>
        <v>22</v>
      </c>
      <c r="Q192" s="2" t="str">
        <f>IF(I192&gt;P192*2,"CRIT",IF(I192&gt;P192,"HIT","MISS"))</f>
        <v>HIT</v>
      </c>
      <c r="R192" s="5">
        <v>12</v>
      </c>
      <c r="S192" s="5">
        <v>7</v>
      </c>
      <c r="T192" s="8">
        <f>IF(Q192="CRIT",(R192+S192)*2,IF(Q192="HIT",R192+S192,0))</f>
        <v>19</v>
      </c>
      <c r="U192" s="5">
        <v>30</v>
      </c>
      <c r="V192" s="11">
        <f>T192*(100/(100+U192))</f>
        <v>14.615384615384617</v>
      </c>
      <c r="W192" s="10">
        <f>IF(Q192&lt;&gt;"MISS",V192,"MISS")</f>
        <v>14.615384615384617</v>
      </c>
      <c r="X192" s="2"/>
    </row>
    <row r="193" spans="1:24" x14ac:dyDescent="0.25">
      <c r="A193">
        <v>0</v>
      </c>
      <c r="B193">
        <f>A193+B192</f>
        <v>13.3</v>
      </c>
      <c r="D193">
        <v>16.2</v>
      </c>
      <c r="E193">
        <f>D193+E192</f>
        <v>16.2</v>
      </c>
      <c r="G193" s="2"/>
      <c r="H193" s="2">
        <v>27</v>
      </c>
      <c r="I193" s="2"/>
      <c r="J193" s="2"/>
      <c r="K193" s="2"/>
      <c r="L193" s="2"/>
      <c r="M193" s="2"/>
      <c r="N193" s="2"/>
      <c r="O193" s="2">
        <v>23</v>
      </c>
      <c r="P193" s="2"/>
      <c r="Q193" s="2"/>
      <c r="R193" s="2"/>
      <c r="S193" s="2">
        <v>15</v>
      </c>
      <c r="T193" s="2"/>
      <c r="U193" s="2"/>
      <c r="V193" s="2"/>
      <c r="W193" s="2"/>
      <c r="X193" s="2"/>
    </row>
    <row r="194" spans="1:24" x14ac:dyDescent="0.25">
      <c r="A194">
        <v>0</v>
      </c>
      <c r="B194">
        <f>A194+B193</f>
        <v>13.3</v>
      </c>
      <c r="D194">
        <v>0</v>
      </c>
      <c r="E194">
        <f>D194+E193</f>
        <v>16.2</v>
      </c>
    </row>
    <row r="195" spans="1:24" x14ac:dyDescent="0.25">
      <c r="A195">
        <v>0</v>
      </c>
      <c r="B195">
        <f t="shared" ref="B195:B201" si="11">A195+B194</f>
        <v>13.3</v>
      </c>
      <c r="D195">
        <v>10.8</v>
      </c>
      <c r="E195">
        <f t="shared" ref="E195:E201" si="12">D195+E194</f>
        <v>27</v>
      </c>
    </row>
    <row r="196" spans="1:24" x14ac:dyDescent="0.25">
      <c r="A196">
        <v>0</v>
      </c>
      <c r="B196">
        <f t="shared" si="11"/>
        <v>13.3</v>
      </c>
      <c r="D196">
        <v>16.899999999999999</v>
      </c>
      <c r="E196">
        <f t="shared" si="12"/>
        <v>43.9</v>
      </c>
      <c r="G196" s="2" t="s">
        <v>51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B197">
        <f t="shared" si="11"/>
        <v>13.3</v>
      </c>
      <c r="D197">
        <v>14.6</v>
      </c>
      <c r="E197" s="14">
        <f t="shared" si="12"/>
        <v>58.5</v>
      </c>
      <c r="G197" s="20" t="s">
        <v>8</v>
      </c>
      <c r="H197" s="20"/>
      <c r="I197" s="20"/>
      <c r="J197" s="20" t="s">
        <v>53</v>
      </c>
      <c r="K197" s="20"/>
      <c r="L197" s="20"/>
      <c r="M197" s="20"/>
      <c r="N197" s="20" t="s">
        <v>9</v>
      </c>
      <c r="O197" s="20"/>
      <c r="P197" s="20"/>
      <c r="Q197" s="2" t="s">
        <v>55</v>
      </c>
      <c r="R197" s="20" t="s">
        <v>50</v>
      </c>
      <c r="S197" s="20"/>
      <c r="T197" s="20"/>
      <c r="U197" s="3" t="s">
        <v>35</v>
      </c>
      <c r="V197" s="20" t="s">
        <v>56</v>
      </c>
      <c r="W197" s="20"/>
      <c r="X197" s="2"/>
    </row>
    <row r="198" spans="1:24" ht="15.75" thickBot="1" x14ac:dyDescent="0.3">
      <c r="B198">
        <f t="shared" si="11"/>
        <v>13.3</v>
      </c>
      <c r="E198">
        <f t="shared" si="12"/>
        <v>58.5</v>
      </c>
      <c r="G198" s="4" t="s">
        <v>5</v>
      </c>
      <c r="H198" s="4" t="s">
        <v>6</v>
      </c>
      <c r="I198" s="13" t="s">
        <v>57</v>
      </c>
      <c r="J198" s="4" t="s">
        <v>58</v>
      </c>
      <c r="K198" s="4" t="s">
        <v>53</v>
      </c>
      <c r="L198" s="4" t="s">
        <v>54</v>
      </c>
      <c r="M198" s="4" t="s">
        <v>57</v>
      </c>
      <c r="N198" s="4" t="s">
        <v>9</v>
      </c>
      <c r="O198" s="4" t="s">
        <v>10</v>
      </c>
      <c r="P198" s="13" t="s">
        <v>57</v>
      </c>
      <c r="Q198" s="4" t="s">
        <v>55</v>
      </c>
      <c r="R198" s="4" t="s">
        <v>50</v>
      </c>
      <c r="S198" s="4" t="s">
        <v>7</v>
      </c>
      <c r="T198" s="13" t="s">
        <v>57</v>
      </c>
      <c r="U198" s="4" t="s">
        <v>35</v>
      </c>
      <c r="V198" s="4" t="s">
        <v>59</v>
      </c>
      <c r="W198" s="13" t="s">
        <v>56</v>
      </c>
      <c r="X198" s="4"/>
    </row>
    <row r="199" spans="1:24" ht="15.75" thickBot="1" x14ac:dyDescent="0.3">
      <c r="B199">
        <f t="shared" si="11"/>
        <v>13.3</v>
      </c>
      <c r="E199">
        <f t="shared" si="12"/>
        <v>58.5</v>
      </c>
      <c r="G199" s="5">
        <v>13</v>
      </c>
      <c r="H199" s="12">
        <v>11</v>
      </c>
      <c r="I199" s="6">
        <f>G199+H199</f>
        <v>24</v>
      </c>
      <c r="J199" s="2">
        <v>0</v>
      </c>
      <c r="K199" s="2"/>
      <c r="L199" s="2"/>
      <c r="M199" s="2">
        <f>K199+L199</f>
        <v>0</v>
      </c>
      <c r="N199" s="5">
        <v>12</v>
      </c>
      <c r="O199" s="5">
        <v>14</v>
      </c>
      <c r="P199" s="7">
        <f>N199+O199</f>
        <v>26</v>
      </c>
      <c r="Q199" s="2" t="str">
        <f>IF(I199&gt;P199*2,"CRIT",IF(I199&gt;P199,"HIT","MISS"))</f>
        <v>MISS</v>
      </c>
      <c r="R199" s="5">
        <v>10</v>
      </c>
      <c r="S199" s="5">
        <v>6</v>
      </c>
      <c r="T199" s="8">
        <f>IF(Q199="CRIT",(R199+S199)*2,IF(Q199="HIT",R199+S199,0))</f>
        <v>0</v>
      </c>
      <c r="U199" s="5">
        <v>20</v>
      </c>
      <c r="V199" s="11">
        <f>T199*(100/(100+U199))</f>
        <v>0</v>
      </c>
      <c r="W199" s="10" t="str">
        <f>IF(Q199&lt;&gt;"MISS",V199,"MISS")</f>
        <v>MISS</v>
      </c>
      <c r="X199" s="2"/>
    </row>
    <row r="200" spans="1:24" x14ac:dyDescent="0.25">
      <c r="B200">
        <f t="shared" si="11"/>
        <v>13.3</v>
      </c>
      <c r="E200">
        <f t="shared" si="12"/>
        <v>58.5</v>
      </c>
      <c r="G200" s="2"/>
      <c r="H200" s="2">
        <v>16</v>
      </c>
      <c r="I200" s="2"/>
      <c r="J200" s="2"/>
      <c r="K200" s="2"/>
      <c r="L200" s="2"/>
      <c r="M200" s="2"/>
      <c r="N200" s="2"/>
      <c r="O200" s="2">
        <v>17</v>
      </c>
      <c r="P200" s="2"/>
      <c r="Q200" s="2"/>
      <c r="R200" s="2"/>
      <c r="S200" s="2">
        <v>16</v>
      </c>
      <c r="T200" s="2"/>
      <c r="U200" s="2"/>
      <c r="V200" s="2"/>
      <c r="W200" s="2"/>
      <c r="X200" s="2"/>
    </row>
    <row r="201" spans="1:24" x14ac:dyDescent="0.25">
      <c r="B201">
        <f t="shared" si="11"/>
        <v>13.3</v>
      </c>
      <c r="E201">
        <f t="shared" si="12"/>
        <v>58.5</v>
      </c>
    </row>
    <row r="207" spans="1:24" x14ac:dyDescent="0.25">
      <c r="B207" s="21" t="s">
        <v>136</v>
      </c>
      <c r="C207" s="21" t="s">
        <v>137</v>
      </c>
      <c r="G207" s="1" t="s">
        <v>142</v>
      </c>
      <c r="H207" t="s">
        <v>144</v>
      </c>
      <c r="I207" t="s">
        <v>145</v>
      </c>
      <c r="J207" t="s">
        <v>146</v>
      </c>
    </row>
    <row r="208" spans="1:24" x14ac:dyDescent="0.25">
      <c r="A208" t="s">
        <v>47</v>
      </c>
      <c r="B208" t="s">
        <v>51</v>
      </c>
      <c r="C208" t="s">
        <v>45</v>
      </c>
      <c r="G208" s="27" t="s">
        <v>45</v>
      </c>
      <c r="H208" s="18">
        <v>25.599999999999966</v>
      </c>
      <c r="I208" t="s">
        <v>143</v>
      </c>
      <c r="J208">
        <v>22</v>
      </c>
    </row>
    <row r="209" spans="1:10" x14ac:dyDescent="0.25">
      <c r="A209" t="s">
        <v>46</v>
      </c>
      <c r="B209" s="30">
        <v>21</v>
      </c>
      <c r="C209" s="30">
        <v>16</v>
      </c>
      <c r="G209" s="28" t="s">
        <v>51</v>
      </c>
      <c r="H209">
        <v>42.8</v>
      </c>
      <c r="I209" t="s">
        <v>143</v>
      </c>
    </row>
    <row r="210" spans="1:10" x14ac:dyDescent="0.25">
      <c r="A210" t="s">
        <v>141</v>
      </c>
      <c r="B210" s="30">
        <v>105</v>
      </c>
      <c r="C210" s="30">
        <v>241</v>
      </c>
      <c r="G210" s="28" t="s">
        <v>51</v>
      </c>
      <c r="H210">
        <v>40.799999999999997</v>
      </c>
      <c r="I210" t="s">
        <v>143</v>
      </c>
    </row>
    <row r="211" spans="1:10" x14ac:dyDescent="0.25">
      <c r="A211" t="s">
        <v>140</v>
      </c>
      <c r="B211" s="18">
        <v>105</v>
      </c>
      <c r="C211" s="18">
        <v>25.599999999999966</v>
      </c>
      <c r="G211" s="28" t="s">
        <v>51</v>
      </c>
      <c r="H211">
        <v>9.5</v>
      </c>
      <c r="I211" t="s">
        <v>143</v>
      </c>
    </row>
    <row r="212" spans="1:10" x14ac:dyDescent="0.25">
      <c r="B212" s="16"/>
      <c r="C212" s="16"/>
      <c r="G212" s="28" t="s">
        <v>51</v>
      </c>
      <c r="H212">
        <v>43.4</v>
      </c>
      <c r="I212" t="s">
        <v>143</v>
      </c>
    </row>
    <row r="213" spans="1:10" x14ac:dyDescent="0.25">
      <c r="A213">
        <v>1</v>
      </c>
      <c r="C213" s="18">
        <v>12.6</v>
      </c>
      <c r="G213" s="28" t="s">
        <v>51</v>
      </c>
      <c r="H213">
        <v>12</v>
      </c>
      <c r="I213" t="s">
        <v>143</v>
      </c>
    </row>
    <row r="214" spans="1:10" x14ac:dyDescent="0.25">
      <c r="A214">
        <v>2</v>
      </c>
      <c r="C214">
        <v>0</v>
      </c>
      <c r="G214" s="28" t="s">
        <v>51</v>
      </c>
      <c r="H214">
        <v>42.3</v>
      </c>
      <c r="I214" t="s">
        <v>143</v>
      </c>
    </row>
    <row r="215" spans="1:10" x14ac:dyDescent="0.25">
      <c r="A215">
        <v>3</v>
      </c>
      <c r="C215">
        <v>8.4</v>
      </c>
      <c r="G215" s="28" t="s">
        <v>51</v>
      </c>
      <c r="H215">
        <v>41.8</v>
      </c>
      <c r="I215" t="s">
        <v>143</v>
      </c>
    </row>
    <row r="216" spans="1:10" x14ac:dyDescent="0.25">
      <c r="A216">
        <v>4</v>
      </c>
      <c r="C216">
        <v>0</v>
      </c>
      <c r="G216" s="28" t="s">
        <v>51</v>
      </c>
      <c r="H216">
        <v>42.4</v>
      </c>
      <c r="I216" t="s">
        <v>143</v>
      </c>
    </row>
    <row r="217" spans="1:10" x14ac:dyDescent="0.25">
      <c r="A217">
        <v>5</v>
      </c>
      <c r="C217">
        <v>14.5</v>
      </c>
      <c r="G217" s="29" t="s">
        <v>51</v>
      </c>
      <c r="H217">
        <v>41.4</v>
      </c>
      <c r="I217" t="s">
        <v>143</v>
      </c>
      <c r="J217">
        <v>41</v>
      </c>
    </row>
    <row r="218" spans="1:10" x14ac:dyDescent="0.25">
      <c r="A218">
        <v>6</v>
      </c>
      <c r="C218">
        <v>0</v>
      </c>
    </row>
    <row r="219" spans="1:10" x14ac:dyDescent="0.25">
      <c r="A219">
        <v>7</v>
      </c>
      <c r="C219">
        <v>0</v>
      </c>
    </row>
    <row r="220" spans="1:10" x14ac:dyDescent="0.25">
      <c r="A220">
        <v>8</v>
      </c>
      <c r="C220">
        <v>9</v>
      </c>
    </row>
    <row r="221" spans="1:10" x14ac:dyDescent="0.25">
      <c r="A221">
        <v>9</v>
      </c>
      <c r="C221">
        <v>14.6</v>
      </c>
    </row>
    <row r="222" spans="1:10" x14ac:dyDescent="0.25">
      <c r="A222">
        <v>10</v>
      </c>
      <c r="C222">
        <v>9.5</v>
      </c>
    </row>
    <row r="223" spans="1:10" x14ac:dyDescent="0.25">
      <c r="A223">
        <v>11</v>
      </c>
      <c r="C223">
        <v>0</v>
      </c>
    </row>
    <row r="224" spans="1:10" x14ac:dyDescent="0.25">
      <c r="A224">
        <v>12</v>
      </c>
      <c r="C224">
        <v>8.6999999999999993</v>
      </c>
    </row>
    <row r="225" spans="1:3" x14ac:dyDescent="0.25">
      <c r="A225">
        <v>13</v>
      </c>
      <c r="C225">
        <v>0</v>
      </c>
    </row>
    <row r="226" spans="1:3" x14ac:dyDescent="0.25">
      <c r="A226">
        <v>14</v>
      </c>
      <c r="C226">
        <v>0</v>
      </c>
    </row>
    <row r="227" spans="1:3" x14ac:dyDescent="0.25">
      <c r="A227">
        <v>15</v>
      </c>
      <c r="C227">
        <v>8.9</v>
      </c>
    </row>
    <row r="228" spans="1:3" x14ac:dyDescent="0.25">
      <c r="A228">
        <v>16</v>
      </c>
      <c r="C228">
        <v>9</v>
      </c>
    </row>
    <row r="229" spans="1:3" x14ac:dyDescent="0.25">
      <c r="A229">
        <v>17</v>
      </c>
      <c r="C229">
        <v>0</v>
      </c>
    </row>
    <row r="230" spans="1:3" x14ac:dyDescent="0.25">
      <c r="A230">
        <v>18</v>
      </c>
      <c r="C230">
        <v>0</v>
      </c>
    </row>
    <row r="231" spans="1:3" x14ac:dyDescent="0.25">
      <c r="A231">
        <v>19</v>
      </c>
      <c r="C231">
        <v>14.4</v>
      </c>
    </row>
    <row r="232" spans="1:3" x14ac:dyDescent="0.25">
      <c r="A232">
        <v>20</v>
      </c>
      <c r="C232">
        <v>8.5</v>
      </c>
    </row>
    <row r="233" spans="1:3" x14ac:dyDescent="0.25">
      <c r="A233">
        <v>21</v>
      </c>
      <c r="C233">
        <v>0</v>
      </c>
    </row>
    <row r="234" spans="1:3" x14ac:dyDescent="0.25">
      <c r="A234">
        <v>22</v>
      </c>
      <c r="C234" s="14">
        <v>13.7</v>
      </c>
    </row>
    <row r="235" spans="1:3" x14ac:dyDescent="0.25">
      <c r="A235">
        <v>23</v>
      </c>
      <c r="C235">
        <v>12.8</v>
      </c>
    </row>
    <row r="236" spans="1:3" x14ac:dyDescent="0.25">
      <c r="A236">
        <v>24</v>
      </c>
      <c r="C236">
        <v>0</v>
      </c>
    </row>
    <row r="237" spans="1:3" x14ac:dyDescent="0.25">
      <c r="A237">
        <v>25</v>
      </c>
      <c r="C237">
        <v>13</v>
      </c>
    </row>
    <row r="238" spans="1:3" x14ac:dyDescent="0.25">
      <c r="A238">
        <v>26</v>
      </c>
      <c r="C238">
        <v>0</v>
      </c>
    </row>
    <row r="239" spans="1:3" x14ac:dyDescent="0.25">
      <c r="A239">
        <v>27</v>
      </c>
      <c r="C239">
        <v>10</v>
      </c>
    </row>
    <row r="240" spans="1:3" x14ac:dyDescent="0.25">
      <c r="A240">
        <v>28</v>
      </c>
      <c r="C240">
        <v>0</v>
      </c>
    </row>
    <row r="241" spans="1:3" x14ac:dyDescent="0.25">
      <c r="A241">
        <v>29</v>
      </c>
      <c r="C241">
        <v>0</v>
      </c>
    </row>
    <row r="242" spans="1:3" x14ac:dyDescent="0.25">
      <c r="A242">
        <v>30</v>
      </c>
      <c r="C242">
        <v>12.9</v>
      </c>
    </row>
    <row r="243" spans="1:3" x14ac:dyDescent="0.25">
      <c r="A243">
        <v>31</v>
      </c>
      <c r="C243">
        <v>0</v>
      </c>
    </row>
    <row r="244" spans="1:3" x14ac:dyDescent="0.25">
      <c r="A244">
        <v>32</v>
      </c>
      <c r="C244">
        <v>0</v>
      </c>
    </row>
    <row r="245" spans="1:3" x14ac:dyDescent="0.25">
      <c r="A245">
        <v>33</v>
      </c>
      <c r="C245">
        <v>0</v>
      </c>
    </row>
    <row r="246" spans="1:3" x14ac:dyDescent="0.25">
      <c r="A246">
        <v>34</v>
      </c>
      <c r="C246">
        <v>0</v>
      </c>
    </row>
    <row r="247" spans="1:3" x14ac:dyDescent="0.25">
      <c r="A247">
        <v>35</v>
      </c>
      <c r="C247">
        <v>12.9</v>
      </c>
    </row>
    <row r="248" spans="1:3" x14ac:dyDescent="0.25">
      <c r="A248">
        <v>36</v>
      </c>
      <c r="C248">
        <v>0</v>
      </c>
    </row>
    <row r="249" spans="1:3" x14ac:dyDescent="0.25">
      <c r="A249">
        <v>37</v>
      </c>
      <c r="C249">
        <v>0</v>
      </c>
    </row>
    <row r="250" spans="1:3" x14ac:dyDescent="0.25">
      <c r="A250">
        <v>38</v>
      </c>
      <c r="C250">
        <v>0</v>
      </c>
    </row>
    <row r="251" spans="1:3" x14ac:dyDescent="0.25">
      <c r="A251">
        <v>39</v>
      </c>
      <c r="C251">
        <v>12.8</v>
      </c>
    </row>
    <row r="252" spans="1:3" x14ac:dyDescent="0.25">
      <c r="A252">
        <v>40</v>
      </c>
      <c r="C252">
        <v>0</v>
      </c>
    </row>
    <row r="253" spans="1:3" x14ac:dyDescent="0.25">
      <c r="A253">
        <v>41</v>
      </c>
      <c r="C253">
        <v>9.1999999999999993</v>
      </c>
    </row>
    <row r="260" spans="1:11" x14ac:dyDescent="0.25">
      <c r="A260" s="21" t="s">
        <v>47</v>
      </c>
      <c r="B260" t="s">
        <v>45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  <c r="H260" t="s">
        <v>51</v>
      </c>
      <c r="I260" t="s">
        <v>51</v>
      </c>
      <c r="J260" t="s">
        <v>51</v>
      </c>
      <c r="K260" t="s">
        <v>51</v>
      </c>
    </row>
    <row r="261" spans="1:11" x14ac:dyDescent="0.25">
      <c r="A261" s="21" t="s">
        <v>46</v>
      </c>
      <c r="B261" s="18" cm="1">
        <f t="array" aca="1" ref="B261" ca="1">INDIRECT("'"&amp;B260&amp;"'!B3")</f>
        <v>16</v>
      </c>
      <c r="C261" s="18" cm="1">
        <f t="array" aca="1" ref="C261" ca="1">INDIRECT("'"&amp;C260&amp;"'!B3")</f>
        <v>21</v>
      </c>
      <c r="D261" s="18" cm="1">
        <f t="array" aca="1" ref="D261" ca="1">INDIRECT("'"&amp;D260&amp;"'!B3")</f>
        <v>21</v>
      </c>
      <c r="E261" s="18" cm="1">
        <f t="array" aca="1" ref="E261" ca="1">INDIRECT("'"&amp;E260&amp;"'!B3")</f>
        <v>21</v>
      </c>
      <c r="F261" s="18" cm="1">
        <f t="array" aca="1" ref="F261" ca="1">INDIRECT("'"&amp;F260&amp;"'!B3")</f>
        <v>21</v>
      </c>
      <c r="G261" s="18" cm="1">
        <f t="array" aca="1" ref="G261" ca="1">INDIRECT("'"&amp;G260&amp;"'!B3")</f>
        <v>21</v>
      </c>
      <c r="H261" s="18" cm="1">
        <f t="array" aca="1" ref="H261" ca="1">INDIRECT("'"&amp;H260&amp;"'!B3")</f>
        <v>21</v>
      </c>
      <c r="I261" s="18" cm="1">
        <f t="array" aca="1" ref="I261" ca="1">INDIRECT("'"&amp;I260&amp;"'!B3")</f>
        <v>21</v>
      </c>
      <c r="J261" s="18" cm="1">
        <f t="array" aca="1" ref="J261" ca="1">INDIRECT("'"&amp;J260&amp;"'!B3")</f>
        <v>21</v>
      </c>
      <c r="K261" s="18" cm="1">
        <f t="array" aca="1" ref="K261" ca="1">INDIRECT("'"&amp;K260&amp;"'!B3")</f>
        <v>21</v>
      </c>
    </row>
    <row r="262" spans="1:11" x14ac:dyDescent="0.25">
      <c r="A262" s="21" t="s">
        <v>140</v>
      </c>
      <c r="B262" s="18">
        <f ca="1">B263-SUM(B268:B294)</f>
        <v>46.69999999999996</v>
      </c>
      <c r="C262" s="18">
        <f ca="1">C263-SUM(C268:C294)</f>
        <v>40.400000000000006</v>
      </c>
      <c r="D262" s="18">
        <f ca="1">D263-SUM(D268:D294)</f>
        <v>74.099999999999994</v>
      </c>
      <c r="E262" s="18">
        <f ca="1">E263-SUM(E268:E294)</f>
        <v>42.8</v>
      </c>
      <c r="F262" s="18">
        <f ca="1">F263-SUM(F268:F294)</f>
        <v>42.8</v>
      </c>
      <c r="G262" s="18">
        <f ca="1">G263-SUM(G268:G294)</f>
        <v>73.599999999999994</v>
      </c>
      <c r="H262" s="18">
        <f ca="1">H263-SUM(H268:H294)</f>
        <v>73.7</v>
      </c>
      <c r="I262" s="18">
        <f ca="1">I263-SUM(I268:I294)</f>
        <v>43</v>
      </c>
      <c r="J262" s="18">
        <f ca="1">J263-SUM(J268:J294)</f>
        <v>64.2</v>
      </c>
      <c r="K262" s="18">
        <f ca="1">K263-SUM(K268:K294)</f>
        <v>41.2</v>
      </c>
    </row>
    <row r="263" spans="1:11" x14ac:dyDescent="0.25">
      <c r="A263" s="21" t="s">
        <v>141</v>
      </c>
      <c r="B263" s="18" cm="1">
        <f t="array" aca="1" ref="B263" ca="1">INDIRECT("'"&amp;B260&amp;"'!F9")</f>
        <v>241.5</v>
      </c>
      <c r="C263" s="18" cm="1">
        <f t="array" aca="1" ref="C263" ca="1">INDIRECT("'"&amp;C260&amp;"'!F9")</f>
        <v>105</v>
      </c>
      <c r="D263" s="18" cm="1">
        <f t="array" aca="1" ref="D263" ca="1">INDIRECT("'"&amp;D260&amp;"'!F9")</f>
        <v>105</v>
      </c>
      <c r="E263" s="18" cm="1">
        <f t="array" aca="1" ref="E263" ca="1">INDIRECT("'"&amp;E260&amp;"'!F9")</f>
        <v>105</v>
      </c>
      <c r="F263" s="18" cm="1">
        <f t="array" aca="1" ref="F263" ca="1">INDIRECT("'"&amp;F260&amp;"'!F9")</f>
        <v>105</v>
      </c>
      <c r="G263" s="18" cm="1">
        <f t="array" aca="1" ref="G263" ca="1">INDIRECT("'"&amp;G260&amp;"'!F9")</f>
        <v>105</v>
      </c>
      <c r="H263" s="18" cm="1">
        <f t="array" aca="1" ref="H263" ca="1">INDIRECT("'"&amp;H260&amp;"'!F9")</f>
        <v>105</v>
      </c>
      <c r="I263" s="18" cm="1">
        <f t="array" aca="1" ref="I263" ca="1">INDIRECT("'"&amp;I260&amp;"'!F9")</f>
        <v>105</v>
      </c>
      <c r="J263" s="18" cm="1">
        <f t="array" aca="1" ref="J263" ca="1">INDIRECT("'"&amp;J260&amp;"'!F9")</f>
        <v>105</v>
      </c>
      <c r="K263" s="18" cm="1">
        <f t="array" aca="1" ref="K263" ca="1">INDIRECT("'"&amp;K260&amp;"'!F9")</f>
        <v>105</v>
      </c>
    </row>
    <row r="264" spans="1:11" x14ac:dyDescent="0.25">
      <c r="A264" s="21" t="s">
        <v>17</v>
      </c>
      <c r="B264" s="18">
        <f ca="1">B265-7-7-3.5-5.9/1.2</f>
        <v>6.2500000000000009</v>
      </c>
      <c r="C264" s="18">
        <f ca="1">C265</f>
        <v>43.416666666666664</v>
      </c>
      <c r="D264" s="18">
        <f ca="1">D265</f>
        <v>43.416666666666664</v>
      </c>
      <c r="E264" s="18">
        <f ca="1">E265</f>
        <v>43.416666666666664</v>
      </c>
      <c r="F264" s="18">
        <f ca="1">F265</f>
        <v>43.416666666666664</v>
      </c>
      <c r="G264" s="18">
        <f ca="1">G265</f>
        <v>43.416666666666664</v>
      </c>
      <c r="H264" s="18">
        <f ca="1">H265</f>
        <v>43.416666666666664</v>
      </c>
      <c r="I264" s="18">
        <f ca="1">I265</f>
        <v>43.416666666666664</v>
      </c>
      <c r="J264" s="18">
        <f ca="1">J265</f>
        <v>43.416666666666664</v>
      </c>
      <c r="K264" s="18">
        <f ca="1">K265</f>
        <v>43.416666666666664</v>
      </c>
    </row>
    <row r="265" spans="1:11" x14ac:dyDescent="0.25">
      <c r="A265" s="21" t="s">
        <v>147</v>
      </c>
      <c r="B265" s="18" cm="1">
        <f t="array" aca="1" ref="B265" ca="1">INDIRECT("'"&amp;B260&amp;"'!F22")</f>
        <v>28.666666666666668</v>
      </c>
      <c r="C265" s="18" cm="1">
        <f t="array" aca="1" ref="C265" ca="1">INDIRECT("'"&amp;C260&amp;"'!F22")</f>
        <v>43.416666666666664</v>
      </c>
      <c r="D265" s="18" cm="1">
        <f t="array" aca="1" ref="D265" ca="1">INDIRECT("'"&amp;D260&amp;"'!F22")</f>
        <v>43.416666666666664</v>
      </c>
      <c r="E265" s="18" cm="1">
        <f t="array" aca="1" ref="E265" ca="1">INDIRECT("'"&amp;E260&amp;"'!F22")</f>
        <v>43.416666666666664</v>
      </c>
      <c r="F265" s="18" cm="1">
        <f t="array" aca="1" ref="F265" ca="1">INDIRECT("'"&amp;F260&amp;"'!F22")</f>
        <v>43.416666666666664</v>
      </c>
      <c r="G265" s="18" cm="1">
        <f t="array" aca="1" ref="G265" ca="1">INDIRECT("'"&amp;G260&amp;"'!F22")</f>
        <v>43.416666666666664</v>
      </c>
      <c r="H265" s="18" cm="1">
        <f t="array" aca="1" ref="H265" ca="1">INDIRECT("'"&amp;H260&amp;"'!F22")</f>
        <v>43.416666666666664</v>
      </c>
      <c r="I265" s="18" cm="1">
        <f t="array" aca="1" ref="I265" ca="1">INDIRECT("'"&amp;I260&amp;"'!F22")</f>
        <v>43.416666666666664</v>
      </c>
      <c r="J265" s="18" cm="1">
        <f t="array" aca="1" ref="J265" ca="1">INDIRECT("'"&amp;J260&amp;"'!F22")</f>
        <v>43.416666666666664</v>
      </c>
      <c r="K265" s="18" cm="1">
        <f t="array" aca="1" ref="K265" ca="1">INDIRECT("'"&amp;K260&amp;"'!F22")</f>
        <v>43.416666666666664</v>
      </c>
    </row>
    <row r="266" spans="1:11" x14ac:dyDescent="0.25">
      <c r="C266" t="s">
        <v>151</v>
      </c>
      <c r="D266" t="s">
        <v>152</v>
      </c>
      <c r="E266" t="s">
        <v>151</v>
      </c>
      <c r="F266" t="s">
        <v>151</v>
      </c>
      <c r="G266" t="s">
        <v>152</v>
      </c>
      <c r="H266" t="s">
        <v>152</v>
      </c>
      <c r="I266" t="s">
        <v>151</v>
      </c>
      <c r="J266" t="s">
        <v>152</v>
      </c>
    </row>
    <row r="267" spans="1:11" x14ac:dyDescent="0.25">
      <c r="A267" s="21" t="s">
        <v>148</v>
      </c>
      <c r="B267" s="16"/>
      <c r="C267" s="16">
        <f>MAX(0,5-MAX($A$268:$A$294))</f>
        <v>0</v>
      </c>
      <c r="D267" s="16">
        <f>MAX(0,6-MAX($A$268:$A$294))</f>
        <v>0</v>
      </c>
      <c r="E267" s="16">
        <f>MAX(0,7-MAX($A$268:$A$294))</f>
        <v>0</v>
      </c>
      <c r="F267" s="16">
        <f>MAX(0,8-MAX($A$268:$A$294))</f>
        <v>0</v>
      </c>
      <c r="G267" s="16">
        <f>MAX(0,9-MAX($A$268:$A$294))</f>
        <v>0</v>
      </c>
      <c r="H267" s="16">
        <f>MAX(0,10-MAX($A$268:$A$294))</f>
        <v>0</v>
      </c>
      <c r="I267" s="16">
        <f>MAX(0,11-MAX($A$268:$A$294))</f>
        <v>0</v>
      </c>
      <c r="J267" s="16">
        <f>MAX(0,12-MAX($A$268:$A$294))</f>
        <v>0</v>
      </c>
      <c r="K267" s="16">
        <f>MAX(0,13-MAX($A$268:$A$294))</f>
        <v>0</v>
      </c>
    </row>
    <row r="268" spans="1:11" x14ac:dyDescent="0.25">
      <c r="A268">
        <v>1</v>
      </c>
      <c r="C268">
        <v>0</v>
      </c>
    </row>
    <row r="269" spans="1:11" x14ac:dyDescent="0.25">
      <c r="A269">
        <v>2</v>
      </c>
    </row>
    <row r="270" spans="1:11" x14ac:dyDescent="0.25">
      <c r="A270">
        <v>3</v>
      </c>
      <c r="C270">
        <v>64.599999999999994</v>
      </c>
    </row>
    <row r="271" spans="1:11" x14ac:dyDescent="0.25">
      <c r="A271">
        <v>4</v>
      </c>
    </row>
    <row r="272" spans="1:11" x14ac:dyDescent="0.25">
      <c r="A272">
        <v>5</v>
      </c>
      <c r="D272">
        <v>30.9</v>
      </c>
    </row>
    <row r="273" spans="1:10" x14ac:dyDescent="0.25">
      <c r="A273">
        <v>6</v>
      </c>
      <c r="B273">
        <v>0</v>
      </c>
    </row>
    <row r="274" spans="1:10" x14ac:dyDescent="0.25">
      <c r="A274">
        <v>7</v>
      </c>
      <c r="E274">
        <v>62.2</v>
      </c>
    </row>
    <row r="275" spans="1:10" x14ac:dyDescent="0.25">
      <c r="A275">
        <v>8</v>
      </c>
      <c r="B275">
        <v>0</v>
      </c>
    </row>
    <row r="276" spans="1:10" x14ac:dyDescent="0.25">
      <c r="A276">
        <v>9</v>
      </c>
      <c r="B276">
        <v>0</v>
      </c>
      <c r="F276">
        <v>62.2</v>
      </c>
    </row>
    <row r="277" spans="1:10" x14ac:dyDescent="0.25">
      <c r="A277">
        <v>10</v>
      </c>
      <c r="B277">
        <v>9.6</v>
      </c>
    </row>
    <row r="278" spans="1:10" x14ac:dyDescent="0.25">
      <c r="A278">
        <v>11</v>
      </c>
      <c r="B278">
        <v>14.6</v>
      </c>
      <c r="H278">
        <v>0</v>
      </c>
    </row>
    <row r="279" spans="1:10" x14ac:dyDescent="0.25">
      <c r="A279">
        <v>12</v>
      </c>
      <c r="B279">
        <f>0+9.8+12.7+0</f>
        <v>22.5</v>
      </c>
    </row>
    <row r="280" spans="1:10" x14ac:dyDescent="0.25">
      <c r="A280">
        <v>13</v>
      </c>
      <c r="B280">
        <f>0+9.7+13.4+0+13.1</f>
        <v>36.200000000000003</v>
      </c>
    </row>
    <row r="281" spans="1:10" x14ac:dyDescent="0.25">
      <c r="A281">
        <v>14</v>
      </c>
      <c r="B281">
        <f>0+0+9.9+0+9.3</f>
        <v>19.200000000000003</v>
      </c>
    </row>
    <row r="282" spans="1:10" x14ac:dyDescent="0.25">
      <c r="A282">
        <v>15</v>
      </c>
      <c r="B282">
        <f>14.7/1.5+0+0+0</f>
        <v>9.7999999999999989</v>
      </c>
      <c r="I282">
        <v>62</v>
      </c>
    </row>
    <row r="283" spans="1:10" x14ac:dyDescent="0.25">
      <c r="A283">
        <v>16</v>
      </c>
      <c r="B283" s="14">
        <f>13.8/1.5+0+9.1+0</f>
        <v>18.3</v>
      </c>
    </row>
    <row r="284" spans="1:10" x14ac:dyDescent="0.25">
      <c r="A284">
        <v>17</v>
      </c>
      <c r="B284">
        <f>9.6+13.2/1.5+0</f>
        <v>18.399999999999999</v>
      </c>
      <c r="G284">
        <v>31.4</v>
      </c>
    </row>
    <row r="285" spans="1:10" x14ac:dyDescent="0.25">
      <c r="A285">
        <v>18</v>
      </c>
      <c r="B285">
        <f>0+0+0</f>
        <v>0</v>
      </c>
    </row>
    <row r="286" spans="1:10" x14ac:dyDescent="0.25">
      <c r="A286">
        <v>19</v>
      </c>
      <c r="B286">
        <f>9.9+0+0</f>
        <v>9.9</v>
      </c>
      <c r="H286">
        <v>0</v>
      </c>
    </row>
    <row r="287" spans="1:10" x14ac:dyDescent="0.25">
      <c r="A287">
        <v>20</v>
      </c>
      <c r="B287">
        <f>0+13.3+0</f>
        <v>13.3</v>
      </c>
    </row>
    <row r="288" spans="1:10" x14ac:dyDescent="0.25">
      <c r="A288">
        <v>21</v>
      </c>
      <c r="B288">
        <f>0+0</f>
        <v>0</v>
      </c>
      <c r="J288">
        <v>40.799999999999997</v>
      </c>
    </row>
    <row r="289" spans="1:16" x14ac:dyDescent="0.25">
      <c r="A289">
        <v>22</v>
      </c>
      <c r="B289">
        <f>8.5+0</f>
        <v>8.5</v>
      </c>
    </row>
    <row r="290" spans="1:16" x14ac:dyDescent="0.25">
      <c r="A290">
        <v>23</v>
      </c>
      <c r="B290">
        <f>0</f>
        <v>0</v>
      </c>
      <c r="D290" s="18"/>
      <c r="H290">
        <v>31.3</v>
      </c>
    </row>
    <row r="291" spans="1:16" x14ac:dyDescent="0.25">
      <c r="A291">
        <v>24</v>
      </c>
      <c r="B291">
        <v>14.5</v>
      </c>
      <c r="D291" s="18"/>
    </row>
    <row r="292" spans="1:16" x14ac:dyDescent="0.25">
      <c r="A292">
        <v>25</v>
      </c>
      <c r="B292">
        <v>0</v>
      </c>
    </row>
    <row r="293" spans="1:16" x14ac:dyDescent="0.25">
      <c r="A293">
        <v>26</v>
      </c>
      <c r="B293">
        <v>0</v>
      </c>
    </row>
    <row r="294" spans="1:16" x14ac:dyDescent="0.25">
      <c r="A294">
        <v>27</v>
      </c>
      <c r="K294">
        <v>63.8</v>
      </c>
    </row>
    <row r="298" spans="1:16" x14ac:dyDescent="0.25">
      <c r="A298" s="2"/>
      <c r="B298" s="2"/>
      <c r="C298" s="2"/>
      <c r="D298" s="2"/>
      <c r="E298" s="2"/>
      <c r="F298" s="2"/>
      <c r="G298" s="2"/>
      <c r="H298" s="2"/>
      <c r="I298" s="2"/>
      <c r="K298" s="1" t="s">
        <v>155</v>
      </c>
      <c r="L298" s="1" t="s">
        <v>136</v>
      </c>
      <c r="M298" s="1" t="s">
        <v>137</v>
      </c>
      <c r="N298" s="1" t="s">
        <v>50</v>
      </c>
      <c r="O298" s="1" t="s">
        <v>156</v>
      </c>
      <c r="P298" s="1" t="s">
        <v>157</v>
      </c>
    </row>
    <row r="299" spans="1:16" x14ac:dyDescent="0.25">
      <c r="A299" s="2"/>
      <c r="B299" s="2"/>
      <c r="C299" s="13" t="s">
        <v>133</v>
      </c>
      <c r="D299" s="13" t="s">
        <v>72</v>
      </c>
      <c r="E299" s="13" t="s">
        <v>134</v>
      </c>
      <c r="F299" s="13" t="s">
        <v>135</v>
      </c>
      <c r="G299" s="13" t="s">
        <v>57</v>
      </c>
      <c r="H299" s="2"/>
      <c r="I299" s="2"/>
      <c r="K299">
        <v>1</v>
      </c>
      <c r="L299" t="s">
        <v>45</v>
      </c>
      <c r="M299" t="s">
        <v>51</v>
      </c>
      <c r="N299" s="18">
        <v>53.2</v>
      </c>
      <c r="O299" s="18"/>
      <c r="P299" s="18"/>
    </row>
    <row r="300" spans="1:16" x14ac:dyDescent="0.25">
      <c r="A300" s="31" t="s">
        <v>45</v>
      </c>
      <c r="B300" s="24" t="s">
        <v>8</v>
      </c>
      <c r="C300" s="11">
        <v>6.8181818181818183</v>
      </c>
      <c r="D300" s="11"/>
      <c r="E300" s="12">
        <v>8.295310395418058</v>
      </c>
      <c r="F300" s="11">
        <v>1</v>
      </c>
      <c r="G300" s="25">
        <v>15.113492213599876</v>
      </c>
      <c r="H300" s="3"/>
      <c r="I300" s="2"/>
      <c r="K300">
        <v>2</v>
      </c>
      <c r="N300" s="18"/>
      <c r="O300" s="18"/>
      <c r="P300" s="18"/>
    </row>
    <row r="301" spans="1:16" x14ac:dyDescent="0.25">
      <c r="A301" s="2"/>
      <c r="B301" s="24" t="s">
        <v>53</v>
      </c>
      <c r="C301" s="11" t="e">
        <v>#REF!</v>
      </c>
      <c r="D301" s="11"/>
      <c r="E301" s="12" t="e">
        <v>#REF!</v>
      </c>
      <c r="F301" s="11">
        <v>1</v>
      </c>
      <c r="G301" s="25" t="e">
        <v>#REF!</v>
      </c>
      <c r="H301" s="3"/>
      <c r="I301" s="2"/>
      <c r="N301" s="18"/>
      <c r="O301" s="18"/>
      <c r="P301" s="18"/>
    </row>
    <row r="302" spans="1:16" x14ac:dyDescent="0.25">
      <c r="A302" s="31" t="s">
        <v>51</v>
      </c>
      <c r="B302" s="24" t="s">
        <v>9</v>
      </c>
      <c r="C302" s="11">
        <v>0.4</v>
      </c>
      <c r="D302" s="11"/>
      <c r="E302" s="12">
        <v>16.915128314356469</v>
      </c>
      <c r="F302" s="11">
        <v>1</v>
      </c>
      <c r="G302" s="25">
        <v>17.315128314356468</v>
      </c>
      <c r="H302" s="3"/>
      <c r="I302" s="2"/>
      <c r="K302">
        <v>3</v>
      </c>
      <c r="L302" t="s">
        <v>45</v>
      </c>
      <c r="M302" t="s">
        <v>51</v>
      </c>
      <c r="N302" s="18">
        <v>31.6</v>
      </c>
      <c r="O302" s="18"/>
      <c r="P302" s="18"/>
    </row>
    <row r="303" spans="1:16" x14ac:dyDescent="0.25">
      <c r="A303" s="2" t="s">
        <v>45</v>
      </c>
      <c r="B303" s="24" t="s">
        <v>50</v>
      </c>
      <c r="C303" s="11">
        <v>40</v>
      </c>
      <c r="D303" s="11"/>
      <c r="E303" s="12">
        <v>24.146043780495898</v>
      </c>
      <c r="F303" s="11">
        <v>1</v>
      </c>
      <c r="G303" s="25">
        <v>0</v>
      </c>
      <c r="H303" s="3"/>
      <c r="I303" s="2"/>
      <c r="K303">
        <v>4</v>
      </c>
      <c r="N303" s="18"/>
      <c r="O303" s="18"/>
      <c r="P303" s="18"/>
    </row>
    <row r="304" spans="1:16" x14ac:dyDescent="0.25">
      <c r="A304" s="2" t="s">
        <v>51</v>
      </c>
      <c r="B304" s="24" t="s">
        <v>139</v>
      </c>
      <c r="C304" s="11"/>
      <c r="D304" s="11"/>
      <c r="E304" s="11"/>
      <c r="F304" s="11">
        <v>0.76923076923076927</v>
      </c>
      <c r="G304" s="26">
        <v>0</v>
      </c>
      <c r="H304" s="3" t="s">
        <v>159</v>
      </c>
      <c r="I304" s="2"/>
      <c r="K304">
        <v>5</v>
      </c>
      <c r="L304" t="s">
        <v>45</v>
      </c>
      <c r="M304" t="s">
        <v>51</v>
      </c>
      <c r="N304" s="18">
        <v>106.2</v>
      </c>
      <c r="O304" s="18"/>
      <c r="P304" s="18"/>
    </row>
    <row r="305" spans="1:16" x14ac:dyDescent="0.25">
      <c r="A305" s="2" t="s">
        <v>51</v>
      </c>
      <c r="B305" s="24" t="s">
        <v>13</v>
      </c>
      <c r="C305" s="11">
        <v>10.916666666666666</v>
      </c>
      <c r="D305" s="11"/>
      <c r="E305" s="12">
        <v>0.17522116281634817</v>
      </c>
      <c r="F305" s="11">
        <v>1</v>
      </c>
      <c r="G305" s="25">
        <v>11.091887829483014</v>
      </c>
      <c r="H305" s="3" t="s">
        <v>160</v>
      </c>
      <c r="I305" s="2"/>
      <c r="K305">
        <v>6</v>
      </c>
      <c r="N305" s="18"/>
      <c r="O305" s="18"/>
      <c r="P305" s="18"/>
    </row>
    <row r="306" spans="1:16" x14ac:dyDescent="0.25">
      <c r="A306" s="2" t="s">
        <v>51</v>
      </c>
      <c r="B306" s="24" t="s">
        <v>11</v>
      </c>
      <c r="C306" s="11">
        <v>5.7045454545454541</v>
      </c>
      <c r="D306" s="11"/>
      <c r="E306" s="12">
        <v>0.39310635303210117</v>
      </c>
      <c r="F306" s="11">
        <v>1</v>
      </c>
      <c r="G306" s="25">
        <v>6.097651807577555</v>
      </c>
      <c r="H306" s="3" t="s">
        <v>160</v>
      </c>
      <c r="I306" s="2"/>
      <c r="K306">
        <v>7</v>
      </c>
      <c r="L306" t="s">
        <v>45</v>
      </c>
      <c r="M306" t="s">
        <v>51</v>
      </c>
      <c r="N306" s="18">
        <v>42.5</v>
      </c>
      <c r="O306" s="18"/>
      <c r="P306" s="18"/>
    </row>
    <row r="307" spans="1:16" x14ac:dyDescent="0.25">
      <c r="A307" s="2" t="s">
        <v>51</v>
      </c>
      <c r="B307" s="24" t="s">
        <v>19</v>
      </c>
      <c r="C307" s="11">
        <v>53</v>
      </c>
      <c r="D307" s="11"/>
      <c r="E307" s="12">
        <v>1.1400408301690828</v>
      </c>
      <c r="F307" s="11">
        <v>1</v>
      </c>
      <c r="G307" s="25">
        <v>54.140040830169085</v>
      </c>
      <c r="H307" s="3" t="s">
        <v>160</v>
      </c>
      <c r="I307" s="2"/>
      <c r="K307">
        <v>8</v>
      </c>
      <c r="N307" s="18"/>
      <c r="O307" s="18"/>
      <c r="P307" s="18"/>
    </row>
    <row r="308" spans="1:16" x14ac:dyDescent="0.25">
      <c r="A308" s="2"/>
      <c r="B308" s="2"/>
      <c r="C308" s="2"/>
      <c r="D308" s="2"/>
      <c r="E308" s="2"/>
      <c r="F308" s="2"/>
      <c r="G308" s="2"/>
      <c r="H308" s="2"/>
      <c r="I308" s="2"/>
      <c r="K308">
        <v>9</v>
      </c>
      <c r="L308" t="s">
        <v>45</v>
      </c>
      <c r="M308" t="s">
        <v>51</v>
      </c>
      <c r="N308" s="18">
        <v>0</v>
      </c>
      <c r="O308" s="18"/>
      <c r="P308" s="18"/>
    </row>
    <row r="309" spans="1:16" x14ac:dyDescent="0.25">
      <c r="K309">
        <v>9.1</v>
      </c>
      <c r="L309" t="s">
        <v>51</v>
      </c>
      <c r="M309" t="s">
        <v>45</v>
      </c>
      <c r="N309" s="18">
        <v>12</v>
      </c>
      <c r="O309" s="18">
        <v>2.916666666666667</v>
      </c>
      <c r="P309" s="18"/>
    </row>
    <row r="310" spans="1:16" x14ac:dyDescent="0.25">
      <c r="K310">
        <v>10</v>
      </c>
      <c r="L310" t="s">
        <v>51</v>
      </c>
      <c r="M310" t="s">
        <v>45</v>
      </c>
      <c r="N310" s="18">
        <v>12.9</v>
      </c>
      <c r="O310" s="18"/>
      <c r="P310" s="18"/>
    </row>
    <row r="311" spans="1:16" x14ac:dyDescent="0.25">
      <c r="K311">
        <v>10.1</v>
      </c>
      <c r="L311" t="s">
        <v>51</v>
      </c>
      <c r="M311" t="s">
        <v>45</v>
      </c>
      <c r="N311" s="18">
        <v>14.7</v>
      </c>
      <c r="O311" s="18"/>
      <c r="P311" s="18"/>
    </row>
    <row r="312" spans="1:16" x14ac:dyDescent="0.25">
      <c r="A312" s="1" t="s">
        <v>47</v>
      </c>
      <c r="B312" s="1" t="s">
        <v>1</v>
      </c>
      <c r="C312" s="1" t="s">
        <v>46</v>
      </c>
      <c r="D312" s="1" t="s">
        <v>140</v>
      </c>
      <c r="E312" s="1" t="s">
        <v>141</v>
      </c>
      <c r="F312" s="1" t="s">
        <v>153</v>
      </c>
      <c r="G312" s="1" t="s">
        <v>154</v>
      </c>
      <c r="H312" s="1" t="s">
        <v>145</v>
      </c>
      <c r="K312">
        <v>11</v>
      </c>
      <c r="L312" t="s">
        <v>45</v>
      </c>
      <c r="M312" t="s">
        <v>51</v>
      </c>
      <c r="N312" s="18">
        <v>65.900000000000006</v>
      </c>
      <c r="O312" s="18"/>
      <c r="P312" s="18"/>
    </row>
    <row r="313" spans="1:16" x14ac:dyDescent="0.25">
      <c r="A313" t="s">
        <v>45</v>
      </c>
      <c r="B313" s="18" t="s">
        <v>23</v>
      </c>
      <c r="C313" s="18">
        <v>16</v>
      </c>
      <c r="D313" s="18">
        <v>127</v>
      </c>
      <c r="E313" s="18">
        <v>241.5</v>
      </c>
      <c r="F313" s="18">
        <v>25.066666666666666</v>
      </c>
      <c r="G313" s="18">
        <v>28.666666666666668</v>
      </c>
      <c r="H313" s="18"/>
      <c r="K313">
        <v>11.1</v>
      </c>
      <c r="L313" t="s">
        <v>51</v>
      </c>
      <c r="M313" t="s">
        <v>45</v>
      </c>
      <c r="N313" s="18">
        <v>0</v>
      </c>
      <c r="O313" s="18"/>
      <c r="P313" s="18"/>
    </row>
    <row r="314" spans="1:16" x14ac:dyDescent="0.25">
      <c r="A314" t="s">
        <v>51</v>
      </c>
      <c r="B314" s="18" t="s">
        <v>26</v>
      </c>
      <c r="C314" s="18">
        <v>21</v>
      </c>
      <c r="D314" s="18">
        <v>-454.9</v>
      </c>
      <c r="E314" s="18">
        <v>105</v>
      </c>
      <c r="F314" s="18">
        <v>40.5</v>
      </c>
      <c r="G314" s="18">
        <v>43.416666666666664</v>
      </c>
      <c r="H314" s="18" t="s">
        <v>150</v>
      </c>
      <c r="K314">
        <v>11.2</v>
      </c>
      <c r="L314" t="s">
        <v>51</v>
      </c>
      <c r="M314" t="s">
        <v>45</v>
      </c>
      <c r="N314" s="18">
        <v>9.1999999999999993</v>
      </c>
      <c r="O314" s="18"/>
      <c r="P314" s="18"/>
    </row>
    <row r="315" spans="1:16" x14ac:dyDescent="0.25">
      <c r="A315" t="s">
        <v>51</v>
      </c>
      <c r="B315" s="18" t="s">
        <v>26</v>
      </c>
      <c r="C315" s="18">
        <v>21</v>
      </c>
      <c r="D315" s="18">
        <v>-454.9</v>
      </c>
      <c r="E315" s="18">
        <v>105</v>
      </c>
      <c r="F315" s="18">
        <v>40.5</v>
      </c>
      <c r="G315" s="18">
        <v>43.416666666666664</v>
      </c>
      <c r="H315" s="18" t="s">
        <v>150</v>
      </c>
      <c r="K315">
        <v>12</v>
      </c>
      <c r="L315" t="s">
        <v>51</v>
      </c>
      <c r="M315" t="s">
        <v>45</v>
      </c>
      <c r="N315" s="18">
        <v>0</v>
      </c>
      <c r="O315" s="18"/>
      <c r="P315" s="18"/>
    </row>
    <row r="316" spans="1:16" x14ac:dyDescent="0.25">
      <c r="A316" t="s">
        <v>51</v>
      </c>
      <c r="B316" s="18" t="s">
        <v>26</v>
      </c>
      <c r="C316" s="18">
        <v>21</v>
      </c>
      <c r="D316" s="18">
        <v>-454.9</v>
      </c>
      <c r="E316" s="18">
        <v>105</v>
      </c>
      <c r="F316" s="18">
        <v>40.5</v>
      </c>
      <c r="G316" s="18">
        <v>43.416666666666664</v>
      </c>
      <c r="H316" s="18" t="s">
        <v>158</v>
      </c>
      <c r="K316">
        <v>12.1</v>
      </c>
      <c r="L316" t="s">
        <v>51</v>
      </c>
      <c r="M316" t="s">
        <v>45</v>
      </c>
      <c r="N316" s="18">
        <v>14.1</v>
      </c>
      <c r="O316" s="18"/>
      <c r="P316" s="18"/>
    </row>
    <row r="317" spans="1:16" x14ac:dyDescent="0.25">
      <c r="A317" t="s">
        <v>51</v>
      </c>
      <c r="B317" s="18" t="s">
        <v>26</v>
      </c>
      <c r="C317" s="18">
        <v>21</v>
      </c>
      <c r="D317" s="18">
        <v>-454.9</v>
      </c>
      <c r="E317" s="18">
        <v>105</v>
      </c>
      <c r="F317" s="18">
        <v>40.5</v>
      </c>
      <c r="G317" s="18">
        <v>43.416666666666664</v>
      </c>
      <c r="H317" s="18" t="s">
        <v>150</v>
      </c>
      <c r="K317">
        <v>12.2</v>
      </c>
      <c r="L317" t="s">
        <v>51</v>
      </c>
      <c r="M317" t="s">
        <v>45</v>
      </c>
      <c r="N317" s="18">
        <v>9.1</v>
      </c>
      <c r="O317" s="18"/>
      <c r="P317" s="18"/>
    </row>
    <row r="318" spans="1:16" x14ac:dyDescent="0.25">
      <c r="A318" t="s">
        <v>51</v>
      </c>
      <c r="B318" s="18" t="s">
        <v>26</v>
      </c>
      <c r="C318" s="18">
        <v>21</v>
      </c>
      <c r="D318" s="18">
        <v>-454.9</v>
      </c>
      <c r="E318" s="18">
        <v>105</v>
      </c>
      <c r="F318" s="18">
        <v>40.5</v>
      </c>
      <c r="G318" s="18">
        <v>43.416666666666664</v>
      </c>
      <c r="H318" s="18" t="s">
        <v>150</v>
      </c>
      <c r="K318">
        <v>13</v>
      </c>
      <c r="L318" t="s">
        <v>45</v>
      </c>
      <c r="M318" t="s">
        <v>51</v>
      </c>
      <c r="N318" s="18">
        <v>67.900000000000006</v>
      </c>
      <c r="O318" s="18"/>
      <c r="P318" s="18"/>
    </row>
    <row r="319" spans="1:16" x14ac:dyDescent="0.25">
      <c r="A319" t="s">
        <v>51</v>
      </c>
      <c r="B319" s="18" t="s">
        <v>26</v>
      </c>
      <c r="C319" s="18">
        <v>21</v>
      </c>
      <c r="D319" s="18">
        <v>-454.9</v>
      </c>
      <c r="E319" s="18">
        <v>105</v>
      </c>
      <c r="F319" s="18">
        <v>40.5</v>
      </c>
      <c r="G319" s="18">
        <v>43.416666666666664</v>
      </c>
      <c r="H319" s="18" t="s">
        <v>149</v>
      </c>
      <c r="K319">
        <v>13.1</v>
      </c>
      <c r="L319" t="s">
        <v>51</v>
      </c>
      <c r="M319" t="s">
        <v>45</v>
      </c>
      <c r="N319" s="18">
        <v>9.6999999999999993</v>
      </c>
      <c r="O319" s="18"/>
      <c r="P319" s="18"/>
    </row>
    <row r="320" spans="1:16" x14ac:dyDescent="0.25">
      <c r="A320" t="s">
        <v>51</v>
      </c>
      <c r="B320" s="18" t="s">
        <v>26</v>
      </c>
      <c r="C320" s="18">
        <v>21</v>
      </c>
      <c r="D320" s="18">
        <v>-454.9</v>
      </c>
      <c r="E320" s="18">
        <v>105</v>
      </c>
      <c r="F320" s="18">
        <v>40.5</v>
      </c>
      <c r="G320" s="18">
        <v>43.416666666666664</v>
      </c>
      <c r="H320" s="18" t="s">
        <v>150</v>
      </c>
      <c r="K320">
        <v>13.2</v>
      </c>
      <c r="L320" t="s">
        <v>51</v>
      </c>
      <c r="M320" t="s">
        <v>45</v>
      </c>
      <c r="N320" s="18">
        <v>0</v>
      </c>
      <c r="O320" s="18"/>
      <c r="P320" s="18"/>
    </row>
    <row r="321" spans="1:16" x14ac:dyDescent="0.25">
      <c r="A321" t="s">
        <v>51</v>
      </c>
      <c r="B321" s="18" t="s">
        <v>26</v>
      </c>
      <c r="C321" s="18">
        <v>21</v>
      </c>
      <c r="D321" s="18">
        <v>-454.9</v>
      </c>
      <c r="E321" s="18">
        <v>105</v>
      </c>
      <c r="F321" s="18">
        <v>40.5</v>
      </c>
      <c r="G321" s="18">
        <v>43.416666666666664</v>
      </c>
      <c r="H321" s="18" t="s">
        <v>149</v>
      </c>
      <c r="K321">
        <v>14</v>
      </c>
      <c r="L321" t="s">
        <v>51</v>
      </c>
      <c r="M321" t="s">
        <v>45</v>
      </c>
      <c r="N321" s="18">
        <v>0</v>
      </c>
      <c r="O321" s="18"/>
      <c r="P321" s="18"/>
    </row>
    <row r="322" spans="1:16" x14ac:dyDescent="0.25">
      <c r="A322" t="s">
        <v>51</v>
      </c>
      <c r="B322" s="18" t="s">
        <v>26</v>
      </c>
      <c r="C322" s="18">
        <v>21</v>
      </c>
      <c r="D322" s="18">
        <v>-454.9</v>
      </c>
      <c r="E322" s="18">
        <v>105</v>
      </c>
      <c r="F322" s="18">
        <v>40.5</v>
      </c>
      <c r="G322" s="18">
        <v>43.416666666666664</v>
      </c>
      <c r="H322" s="18" t="s">
        <v>149</v>
      </c>
      <c r="K322">
        <v>14.1</v>
      </c>
      <c r="L322" t="s">
        <v>51</v>
      </c>
      <c r="M322" t="s">
        <v>45</v>
      </c>
      <c r="N322" s="18">
        <v>0</v>
      </c>
      <c r="O322" s="18"/>
      <c r="P322" s="18"/>
    </row>
    <row r="323" spans="1:16" x14ac:dyDescent="0.25">
      <c r="K323">
        <v>14.2</v>
      </c>
      <c r="L323" t="s">
        <v>51</v>
      </c>
      <c r="M323" t="s">
        <v>45</v>
      </c>
      <c r="N323" s="18">
        <v>9.3000000000000007</v>
      </c>
      <c r="O323" s="18"/>
      <c r="P323" s="18"/>
    </row>
    <row r="324" spans="1:16" x14ac:dyDescent="0.25">
      <c r="K324">
        <v>15</v>
      </c>
      <c r="L324" t="s">
        <v>45</v>
      </c>
      <c r="M324" t="s">
        <v>51</v>
      </c>
      <c r="N324" s="18">
        <v>50.6</v>
      </c>
      <c r="O324" s="18">
        <v>3.6</v>
      </c>
    </row>
    <row r="325" spans="1:16" x14ac:dyDescent="0.25">
      <c r="K325">
        <v>15.1</v>
      </c>
      <c r="L325" t="s">
        <v>51</v>
      </c>
      <c r="M325" t="s">
        <v>45</v>
      </c>
      <c r="N325" s="18">
        <v>0</v>
      </c>
      <c r="O325" s="18"/>
      <c r="P325" s="18"/>
    </row>
    <row r="326" spans="1:16" x14ac:dyDescent="0.25">
      <c r="K326">
        <v>15.2</v>
      </c>
      <c r="L326" t="s">
        <v>51</v>
      </c>
      <c r="M326" t="s">
        <v>45</v>
      </c>
      <c r="N326" s="18">
        <v>14.8</v>
      </c>
      <c r="O326" s="18"/>
      <c r="P326" s="18"/>
    </row>
    <row r="327" spans="1:16" x14ac:dyDescent="0.25">
      <c r="K327">
        <v>16</v>
      </c>
      <c r="L327" t="s">
        <v>51</v>
      </c>
      <c r="M327" t="s">
        <v>45</v>
      </c>
      <c r="N327" s="18">
        <v>0</v>
      </c>
      <c r="O327" s="18"/>
      <c r="P327" s="18"/>
    </row>
    <row r="328" spans="1:16" x14ac:dyDescent="0.25">
      <c r="K328">
        <v>16.100000000000001</v>
      </c>
      <c r="L328" t="s">
        <v>51</v>
      </c>
      <c r="M328" t="s">
        <v>45</v>
      </c>
      <c r="N328" s="18">
        <v>0</v>
      </c>
      <c r="O328" s="18"/>
      <c r="P328" s="18"/>
    </row>
    <row r="329" spans="1:16" x14ac:dyDescent="0.25">
      <c r="K329">
        <v>17</v>
      </c>
      <c r="L329" t="s">
        <v>45</v>
      </c>
      <c r="M329" t="s">
        <v>51</v>
      </c>
      <c r="N329" s="18">
        <v>75.099999999999994</v>
      </c>
      <c r="O329" s="18"/>
      <c r="P329" s="18"/>
    </row>
    <row r="330" spans="1:16" x14ac:dyDescent="0.25">
      <c r="K330">
        <v>17.100000000000001</v>
      </c>
      <c r="L330" t="s">
        <v>51</v>
      </c>
      <c r="M330" t="s">
        <v>45</v>
      </c>
      <c r="N330" s="18">
        <v>8.6999999999999993</v>
      </c>
      <c r="O330" s="18"/>
      <c r="P330" s="18"/>
    </row>
    <row r="331" spans="1:16" x14ac:dyDescent="0.25">
      <c r="K331">
        <v>18</v>
      </c>
      <c r="L331" t="s">
        <v>51</v>
      </c>
      <c r="M331" t="s">
        <v>45</v>
      </c>
      <c r="N331" s="18">
        <v>0</v>
      </c>
      <c r="O331" s="18"/>
      <c r="P331" s="18"/>
    </row>
    <row r="332" spans="1:16" x14ac:dyDescent="0.25">
      <c r="K332">
        <v>19</v>
      </c>
      <c r="L332" t="s">
        <v>45</v>
      </c>
      <c r="M332" t="s">
        <v>51</v>
      </c>
      <c r="N332" s="18">
        <v>66.900000000000006</v>
      </c>
      <c r="O332" s="18"/>
      <c r="P332" s="18"/>
    </row>
  </sheetData>
  <mergeCells count="10">
    <mergeCell ref="G190:I190"/>
    <mergeCell ref="J190:M190"/>
    <mergeCell ref="N190:P190"/>
    <mergeCell ref="R190:T190"/>
    <mergeCell ref="V190:W190"/>
    <mergeCell ref="G197:I197"/>
    <mergeCell ref="J197:M197"/>
    <mergeCell ref="N197:P197"/>
    <mergeCell ref="R197:T197"/>
    <mergeCell ref="V197:W197"/>
  </mergeCells>
  <dataValidations count="2">
    <dataValidation type="list" allowBlank="1" showInputMessage="1" showErrorMessage="1" sqref="B208:C208" xr:uid="{605C8630-B0BC-4DB7-8E8F-8A6B69239C15}">
      <formula1>$H$23:$H$32</formula1>
    </dataValidation>
    <dataValidation type="list" allowBlank="1" showInputMessage="1" showErrorMessage="1" sqref="L299:M332" xr:uid="{804F0AFC-E07C-4B9B-A3FD-AEB68EC6AC1C}">
      <formula1>$A$18:$A$27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7"/>
  <sheetViews>
    <sheetView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60</v>
      </c>
      <c r="B3" s="1" t="s">
        <v>92</v>
      </c>
      <c r="C3" s="1" t="s">
        <v>61</v>
      </c>
    </row>
    <row r="4" spans="1:3" x14ac:dyDescent="0.25">
      <c r="A4" t="s">
        <v>62</v>
      </c>
      <c r="B4" s="9">
        <v>45629</v>
      </c>
      <c r="C4" t="s">
        <v>63</v>
      </c>
    </row>
    <row r="5" spans="1:3" x14ac:dyDescent="0.25">
      <c r="A5" t="s">
        <v>79</v>
      </c>
      <c r="B5" s="9">
        <v>45630</v>
      </c>
      <c r="C5" t="s">
        <v>80</v>
      </c>
    </row>
    <row r="6" spans="1:3" x14ac:dyDescent="0.25">
      <c r="A6" t="s">
        <v>85</v>
      </c>
      <c r="B6" s="9">
        <v>45630</v>
      </c>
      <c r="C6" t="s">
        <v>86</v>
      </c>
    </row>
    <row r="7" spans="1:3" x14ac:dyDescent="0.25">
      <c r="A7" t="s">
        <v>93</v>
      </c>
      <c r="B7" s="9">
        <v>45630</v>
      </c>
      <c r="C7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87</v>
      </c>
      <c r="B3" s="1" t="s">
        <v>89</v>
      </c>
      <c r="C3" s="1" t="s">
        <v>88</v>
      </c>
    </row>
    <row r="4" spans="1:3" x14ac:dyDescent="0.25">
      <c r="A4" s="9">
        <v>45629</v>
      </c>
      <c r="B4" t="s">
        <v>91</v>
      </c>
      <c r="C4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Species</vt:lpstr>
      <vt:lpstr>_TMPLT_Character</vt:lpstr>
      <vt:lpstr>Calculator</vt:lpstr>
      <vt:lpstr>Wryonin</vt:lpstr>
      <vt:lpstr>Cat Soldier</vt:lpstr>
      <vt:lpstr>Weapons</vt:lpstr>
      <vt:lpstr>Features</vt:lpstr>
      <vt:lpstr>Features (Species)</vt:lpstr>
      <vt:lpstr>STAT COSTS</vt:lpstr>
      <vt:lpstr>_TEST_Characters</vt:lpstr>
      <vt:lpstr>_TEST_Runs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2024-12-05T20:00:58Z</dcterms:modified>
</cp:coreProperties>
</file>